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Y:\BD\Energie\Energiegesetz Uri\Vollzug Energiegesetz\Vollzugshilfen neues EnG Uri 2026\Heizkostenrechner UR\"/>
    </mc:Choice>
  </mc:AlternateContent>
  <xr:revisionPtr revIDLastSave="0" documentId="13_ncr:1_{667D6A21-ADD9-4EF6-AF7D-601A166B60F0}" xr6:coauthVersionLast="47" xr6:coauthVersionMax="47" xr10:uidLastSave="{00000000-0000-0000-0000-000000000000}"/>
  <bookViews>
    <workbookView xWindow="-120" yWindow="-120" windowWidth="38640" windowHeight="21120" tabRatio="899" xr2:uid="{00000000-000D-0000-FFFF-FFFF00000000}"/>
  </bookViews>
  <sheets>
    <sheet name="Berechnung" sheetId="1" r:id="rId1"/>
    <sheet name="Bild_Heizkosten" sheetId="16" r:id="rId2"/>
    <sheet name="GWR" sheetId="15" r:id="rId3"/>
    <sheet name="Berechnungsgrundlagen" sheetId="7" r:id="rId4"/>
    <sheet name="Quellen" sheetId="4" r:id="rId5"/>
    <sheet name="2.1 Nutzungsgrad" sheetId="8" r:id="rId6"/>
    <sheet name="2.3 Energiepreise" sheetId="12" r:id="rId7"/>
    <sheet name="3.1-4.1 Investitionskosten" sheetId="9" r:id="rId8"/>
    <sheet name="3.5 Förderbeitrag (Kanton)" sheetId="5" r:id="rId9"/>
    <sheet name="5.1 Raumbedarf" sheetId="14" r:id="rId10"/>
    <sheet name="7.2 Kalkulationszinssatz" sheetId="3" r:id="rId11"/>
    <sheet name="Log-Journal" sheetId="13" state="hidden" r:id="rId12"/>
  </sheets>
  <definedNames>
    <definedName name="Alternativen1_ref">Berechnungsgrundlagen!$B$39:$B$46</definedName>
    <definedName name="Alternativen2_ref">Berechnungsgrundlagen!$B$46:$B$48</definedName>
    <definedName name="Anzahl_Jahre">#REF!</definedName>
    <definedName name="Bauvorhaben_ref">Berechnungsgrundlagen!$B$34:$B$36</definedName>
    <definedName name="Betriebszeit">Berechnungsgrundlagen!$C$18</definedName>
    <definedName name="_xlnm.Print_Area" localSheetId="0">Berechnung!$A$1:$M$67</definedName>
    <definedName name="EBF">Berechnung!$J$13</definedName>
    <definedName name="Energiepreise_ref">Berechnungsgrundlagen!$B$51:$E$62</definedName>
    <definedName name="Faktor">'5.1 Raumbedarf'!$C$5</definedName>
    <definedName name="Fernwärme">Berechnung!$H$17</definedName>
    <definedName name="Fernwärme_Invest_ref">'3.1-4.1 Investitionskosten'!$B$4:$G$8</definedName>
    <definedName name="Förderbeiträge">Berechnungsgrundlagen!$B$83:$C$91</definedName>
    <definedName name="Gasheizung_Invest_ref">'3.1-4.1 Investitionskosten'!$B$54:$G$58</definedName>
    <definedName name="Gebäudekategorie_ref">Berechnungsgrundlagen!$B$2:$B$14</definedName>
    <definedName name="Heizgradtage">Berechnungsgrundlagen!$C$17</definedName>
    <definedName name="Heizleistungsbedarf">Berechnung!$J$14</definedName>
    <definedName name="Heizwerk">Berechnung!$H$18</definedName>
    <definedName name="Investition_ref">Berechnungsgrundlagen!$B$70:$F$81</definedName>
    <definedName name="MWST">'2.3 Energiepreise'!$D$12</definedName>
    <definedName name="NEB">Berechnung!$J$16</definedName>
    <definedName name="NEB_manuell">Berechnung!$L$16</definedName>
    <definedName name="Nutzungsgrad_max">Berechnungsgrundlagen!$B$51:$D$62</definedName>
    <definedName name="Nutzungsgrad_ref">Berechnungsgrundlagen!$B$51:$C$62</definedName>
    <definedName name="Nutzungsgrad_Tabelle">'2.1 Nutzungsgrad'!$B$4:$F$50</definedName>
    <definedName name="Oelheizung_Invest_ref">'3.1-4.1 Investitionskosten'!$B$49:$G$53</definedName>
    <definedName name="Pellets_Invest_ref">'3.1-4.1 Investitionskosten'!$B$34:$G$38</definedName>
    <definedName name="Preis_Fernwärme_ref">Berechnungsgrundlagen!$B$65:$C$66</definedName>
    <definedName name="Raumbedarf_ref">Berechnungsgrundlagen!$B$95:$C$106</definedName>
    <definedName name="Schnitzel_Invest_ref">'3.1-4.1 Investitionskosten'!$B$39:$G$43</definedName>
    <definedName name="Spez_Raumkosten">Berechnungsgrundlagen!$C$108</definedName>
    <definedName name="Strompreis_ref">'2.3 Energiepreise'!$B$18:$D$47</definedName>
    <definedName name="Stromverbrauch_ref">Berechnungsgrundlagen!$B$2:$C$14</definedName>
    <definedName name="Stückholz_Invest_ref">'3.1-4.1 Investitionskosten'!$B$44:$G$48</definedName>
    <definedName name="System_1">Berechnung!$D$20</definedName>
    <definedName name="System_1b">Berechnung!$F$20</definedName>
    <definedName name="System_2">Berechnung!$H$20</definedName>
    <definedName name="System_3">Berechnung!$J$20</definedName>
    <definedName name="System_4">Berechnung!$L$20</definedName>
    <definedName name="Ta">Berechnungsgrundlagen!$C$20</definedName>
    <definedName name="Ti">Berechnungsgrundlagen!$C$19</definedName>
    <definedName name="Wärmeverteil">Berechnung!#REF!</definedName>
    <definedName name="Warmwasserbedarf">Berechnung!$J$15</definedName>
    <definedName name="Warmwasserbedarf_ref">Berechnungsgrundlagen!$B$3:$D$14</definedName>
    <definedName name="Warmwasserbedarf_ref2">Berechnung!#REF!</definedName>
    <definedName name="Wartung_Unterhalt_ref">Berechnungsgrundlagen!$B$50:$F$62</definedName>
    <definedName name="WP_Luft_Liste">Berechnungsgrundlagen!$B$40:$B$41</definedName>
    <definedName name="WPAbsropt_Invest_ref">'3.1-4.1 Investitionskosten'!$B$59:$G$63</definedName>
    <definedName name="WPLuft_Invest_ref">'3.1-4.1 Investitionskosten'!$B$14:$G$18</definedName>
    <definedName name="WPLufti_Invest_ref">'3.1-4.1 Investitionskosten'!$B$19:$G$23</definedName>
    <definedName name="WPSonde_Invest_ref">'3.1-4.1 Investitionskosten'!$B$24:$G$28</definedName>
    <definedName name="WPWasser_Invest_ref">'3.1-4.1 Investitionskosten'!$B$29:$G$33</definedName>
    <definedName name="WPZeolyth_Invest_ref">'3.1-4.1 Investitionskosten'!$B$64:$G$68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a="1"/>
  <c r="C74" i="7"/>
  <c r="G4" i="1"/>
  <c r="J15" i="1"/>
  <c r="J16" i="1" s="1"/>
  <c r="V48" i="9"/>
  <c r="U48" i="9"/>
  <c r="T48" i="9"/>
  <c r="S48" i="9"/>
  <c r="R48" i="9"/>
  <c r="Q48" i="9"/>
  <c r="P48" i="9"/>
  <c r="O48" i="9"/>
  <c r="D48" i="9" s="1"/>
  <c r="V47" i="9"/>
  <c r="U47" i="9"/>
  <c r="G47" i="9" s="1"/>
  <c r="T47" i="9"/>
  <c r="S47" i="9"/>
  <c r="F47" i="9" s="1"/>
  <c r="R47" i="9"/>
  <c r="Q47" i="9"/>
  <c r="E47" i="9" s="1"/>
  <c r="P47" i="9"/>
  <c r="O47" i="9"/>
  <c r="V46" i="9"/>
  <c r="U46" i="9"/>
  <c r="T46" i="9"/>
  <c r="S46" i="9"/>
  <c r="F46" i="9" s="1"/>
  <c r="R46" i="9"/>
  <c r="Q46" i="9"/>
  <c r="E46" i="9" s="1"/>
  <c r="D77" i="7" s="1"/>
  <c r="P46" i="9"/>
  <c r="O46" i="9"/>
  <c r="D46" i="9" s="1"/>
  <c r="V45" i="9"/>
  <c r="U45" i="9"/>
  <c r="G45" i="9" s="1"/>
  <c r="T45" i="9"/>
  <c r="S45" i="9"/>
  <c r="F45" i="9" s="1"/>
  <c r="R45" i="9"/>
  <c r="Q45" i="9"/>
  <c r="P45" i="9"/>
  <c r="O45" i="9"/>
  <c r="D34" i="9"/>
  <c r="G48" i="9"/>
  <c r="F48" i="9"/>
  <c r="E48" i="9"/>
  <c r="D47" i="9"/>
  <c r="G46" i="9"/>
  <c r="E45" i="9"/>
  <c r="D45" i="9"/>
  <c r="C77" i="7" s="1"/>
  <c r="G44" i="9"/>
  <c r="F44" i="9"/>
  <c r="E44" i="9"/>
  <c r="D44" i="9"/>
  <c r="E58" i="7"/>
  <c r="J63" i="12"/>
  <c r="K63" i="12"/>
  <c r="L63" i="12"/>
  <c r="M63" i="12"/>
  <c r="N63" i="12"/>
  <c r="H63" i="12"/>
  <c r="E63" i="12" s="1" a="1"/>
  <c r="I63" i="12"/>
  <c r="I58" i="12"/>
  <c r="D58" i="7"/>
  <c r="C58" i="7"/>
  <c r="E77" i="7" l="1"/>
  <c r="B66" i="7"/>
  <c r="B67" i="7"/>
  <c r="B65" i="7"/>
  <c r="C91" i="7"/>
  <c r="C90" i="7"/>
  <c r="C89" i="7"/>
  <c r="C87" i="7"/>
  <c r="C88" i="7"/>
  <c r="C86" i="7"/>
  <c r="C85" i="7"/>
  <c r="F31" i="1" s="1"/>
  <c r="C84" i="7"/>
  <c r="O5" i="9"/>
  <c r="J31" i="1" l="1"/>
  <c r="H31" i="1"/>
  <c r="C54" i="7"/>
  <c r="O6" i="9"/>
  <c r="C51" i="7"/>
  <c r="E18" i="12" a="1"/>
  <c r="J12" i="1"/>
  <c r="D20" i="1"/>
  <c r="D24" i="1" l="1"/>
  <c r="D31" i="1"/>
  <c r="F29" i="1"/>
  <c r="D29" i="1"/>
  <c r="H29" i="1"/>
  <c r="J29" i="1"/>
  <c r="D33" i="14"/>
  <c r="C101" i="7" s="1"/>
  <c r="D37" i="14"/>
  <c r="C102" i="7" s="1"/>
  <c r="D29" i="14"/>
  <c r="D22" i="1"/>
  <c r="D37" i="1"/>
  <c r="J37" i="1"/>
  <c r="J30" i="1"/>
  <c r="J9" i="12"/>
  <c r="J10" i="12" s="1"/>
  <c r="D23" i="1" l="1"/>
  <c r="D25" i="1" s="1"/>
  <c r="F2" i="16"/>
  <c r="L32" i="1"/>
  <c r="L37" i="1"/>
  <c r="L33" i="1"/>
  <c r="L31" i="1"/>
  <c r="J11" i="12"/>
  <c r="K50" i="12"/>
  <c r="K51" i="12" s="1"/>
  <c r="K58" i="12"/>
  <c r="K9" i="12" l="1"/>
  <c r="K10" i="12" s="1"/>
  <c r="K67" i="12" s="1"/>
  <c r="K68" i="12" s="1"/>
  <c r="K11" i="12" l="1"/>
  <c r="K74" i="12" s="1"/>
  <c r="K75" i="12" s="1"/>
  <c r="E32" i="12"/>
  <c r="E30" i="12"/>
  <c r="C2" i="16" l="1"/>
  <c r="D2" i="16"/>
  <c r="H37" i="1" l="1"/>
  <c r="F37" i="1"/>
  <c r="G131" i="7"/>
  <c r="F131" i="7"/>
  <c r="E131" i="7"/>
  <c r="D131" i="7"/>
  <c r="C131" i="7"/>
  <c r="H58" i="12" l="1"/>
  <c r="J58" i="12"/>
  <c r="L58" i="12"/>
  <c r="M58" i="12"/>
  <c r="N58" i="12"/>
  <c r="O58" i="12"/>
  <c r="P58" i="12"/>
  <c r="G58" i="12"/>
  <c r="E58" i="12" s="1" a="1"/>
  <c r="B1" i="15"/>
  <c r="B3" i="15" s="1"/>
  <c r="O8" i="1" l="1"/>
  <c r="C3" i="15"/>
  <c r="E7" i="1" s="1"/>
  <c r="D3" i="15"/>
  <c r="B2" i="15"/>
  <c r="D52" i="7"/>
  <c r="D53" i="7"/>
  <c r="D54" i="7"/>
  <c r="D55" i="7"/>
  <c r="D56" i="7"/>
  <c r="D57" i="7"/>
  <c r="D59" i="7"/>
  <c r="D60" i="7"/>
  <c r="D51" i="7"/>
  <c r="B5" i="15" l="1"/>
  <c r="B6" i="15" s="1"/>
  <c r="D17" i="15" s="1"/>
  <c r="C17" i="15" s="1"/>
  <c r="B17" i="15" s="1"/>
  <c r="O7" i="1"/>
  <c r="C52" i="7"/>
  <c r="F22" i="1" s="1"/>
  <c r="F23" i="1" s="1"/>
  <c r="C53" i="7"/>
  <c r="C55" i="7"/>
  <c r="C56" i="7"/>
  <c r="C57" i="7"/>
  <c r="H22" i="1" s="1"/>
  <c r="C59" i="7"/>
  <c r="L22" i="1" s="1"/>
  <c r="C60" i="7"/>
  <c r="J22" i="1" l="1"/>
  <c r="D14" i="15"/>
  <c r="C14" i="15" s="1"/>
  <c r="B14" i="15" s="1"/>
  <c r="D12" i="15"/>
  <c r="C12" i="15" s="1"/>
  <c r="B12" i="15" s="1"/>
  <c r="D15" i="15"/>
  <c r="C15" i="15" s="1"/>
  <c r="B15" i="15" s="1"/>
  <c r="K8" i="1" s="1"/>
  <c r="D9" i="15"/>
  <c r="C9" i="15" s="1"/>
  <c r="B9" i="15" s="1"/>
  <c r="K7" i="1" s="1"/>
  <c r="D11" i="15"/>
  <c r="C11" i="15" s="1"/>
  <c r="B11" i="15" s="1"/>
  <c r="E8" i="1" s="1"/>
  <c r="D13" i="15"/>
  <c r="C13" i="15" s="1"/>
  <c r="B13" i="15" s="1"/>
  <c r="D16" i="15"/>
  <c r="C16" i="15" s="1"/>
  <c r="B16" i="15" s="1"/>
  <c r="D10" i="15"/>
  <c r="C10" i="15" s="1"/>
  <c r="B10" i="15" s="1"/>
  <c r="E47" i="14"/>
  <c r="E46" i="14"/>
  <c r="E45" i="14"/>
  <c r="E44" i="14"/>
  <c r="E43" i="14"/>
  <c r="E42" i="14"/>
  <c r="E41" i="14"/>
  <c r="D9" i="14"/>
  <c r="D58" i="14"/>
  <c r="D57" i="14"/>
  <c r="D14" i="14" s="1"/>
  <c r="D56" i="14"/>
  <c r="D13" i="14" s="1"/>
  <c r="D55" i="14"/>
  <c r="D12" i="14" s="1"/>
  <c r="D54" i="14"/>
  <c r="D11" i="14" s="1"/>
  <c r="D53" i="14"/>
  <c r="C103" i="7" l="1"/>
  <c r="L39" i="1" s="1"/>
  <c r="D15" i="14"/>
  <c r="C104" i="7"/>
  <c r="D10" i="14"/>
  <c r="C80" i="7"/>
  <c r="D80" i="7"/>
  <c r="E80" i="7"/>
  <c r="F80" i="7"/>
  <c r="C81" i="7"/>
  <c r="D81" i="7"/>
  <c r="E81" i="7"/>
  <c r="F81" i="7"/>
  <c r="C96" i="7" l="1"/>
  <c r="C99" i="7"/>
  <c r="C95" i="7"/>
  <c r="D39" i="1" s="1"/>
  <c r="C98" i="7"/>
  <c r="H30" i="1"/>
  <c r="B2" i="16" l="1"/>
  <c r="D24" i="14"/>
  <c r="D23" i="14"/>
  <c r="D22" i="14"/>
  <c r="D21" i="14"/>
  <c r="D20" i="14"/>
  <c r="D19" i="14"/>
  <c r="C3" i="14"/>
  <c r="F30" i="1"/>
  <c r="C97" i="7" l="1"/>
  <c r="F39" i="1"/>
  <c r="E49" i="9" l="1"/>
  <c r="E54" i="9"/>
  <c r="V33" i="9"/>
  <c r="U33" i="9"/>
  <c r="G33" i="9" s="1"/>
  <c r="T33" i="9"/>
  <c r="S33" i="9"/>
  <c r="R33" i="9"/>
  <c r="Q33" i="9"/>
  <c r="P33" i="9"/>
  <c r="O33" i="9"/>
  <c r="G54" i="9"/>
  <c r="F54" i="9"/>
  <c r="D54" i="9"/>
  <c r="G49" i="9"/>
  <c r="F49" i="9"/>
  <c r="D49" i="9"/>
  <c r="G34" i="9"/>
  <c r="E34" i="9"/>
  <c r="F34" i="9"/>
  <c r="V58" i="9"/>
  <c r="U58" i="9"/>
  <c r="T58" i="9"/>
  <c r="S58" i="9"/>
  <c r="F58" i="9" s="1"/>
  <c r="R58" i="9"/>
  <c r="Q58" i="9"/>
  <c r="P58" i="9"/>
  <c r="O58" i="9"/>
  <c r="D58" i="9" s="1"/>
  <c r="V57" i="9"/>
  <c r="U57" i="9"/>
  <c r="T57" i="9"/>
  <c r="S57" i="9"/>
  <c r="R57" i="9"/>
  <c r="Q57" i="9"/>
  <c r="P57" i="9"/>
  <c r="O57" i="9"/>
  <c r="V56" i="9"/>
  <c r="U56" i="9"/>
  <c r="T56" i="9"/>
  <c r="S56" i="9"/>
  <c r="R56" i="9"/>
  <c r="Q56" i="9"/>
  <c r="E56" i="9" s="1"/>
  <c r="P56" i="9"/>
  <c r="O56" i="9"/>
  <c r="D56" i="9" s="1"/>
  <c r="V55" i="9"/>
  <c r="U55" i="9"/>
  <c r="T55" i="9"/>
  <c r="S55" i="9"/>
  <c r="R55" i="9"/>
  <c r="Q55" i="9"/>
  <c r="E55" i="9" s="1"/>
  <c r="P55" i="9"/>
  <c r="O55" i="9"/>
  <c r="V53" i="9"/>
  <c r="U53" i="9"/>
  <c r="T53" i="9"/>
  <c r="S53" i="9"/>
  <c r="R53" i="9"/>
  <c r="Q53" i="9"/>
  <c r="E53" i="9" s="1"/>
  <c r="P53" i="9"/>
  <c r="O53" i="9"/>
  <c r="V52" i="9"/>
  <c r="U52" i="9"/>
  <c r="T52" i="9"/>
  <c r="S52" i="9"/>
  <c r="R52" i="9"/>
  <c r="Q52" i="9"/>
  <c r="E52" i="9" s="1"/>
  <c r="P52" i="9"/>
  <c r="O52" i="9"/>
  <c r="V51" i="9"/>
  <c r="U51" i="9"/>
  <c r="T51" i="9"/>
  <c r="S51" i="9"/>
  <c r="R51" i="9"/>
  <c r="Q51" i="9"/>
  <c r="E51" i="9" s="1"/>
  <c r="P51" i="9"/>
  <c r="O51" i="9"/>
  <c r="V50" i="9"/>
  <c r="U50" i="9"/>
  <c r="T50" i="9"/>
  <c r="S50" i="9"/>
  <c r="R50" i="9"/>
  <c r="Q50" i="9"/>
  <c r="P50" i="9"/>
  <c r="O50" i="9"/>
  <c r="D50" i="9" s="1"/>
  <c r="V43" i="9"/>
  <c r="U43" i="9"/>
  <c r="T43" i="9"/>
  <c r="S43" i="9"/>
  <c r="R43" i="9"/>
  <c r="Q43" i="9"/>
  <c r="P43" i="9"/>
  <c r="O43" i="9"/>
  <c r="D43" i="9" s="1"/>
  <c r="V42" i="9"/>
  <c r="U42" i="9"/>
  <c r="T42" i="9"/>
  <c r="S42" i="9"/>
  <c r="R42" i="9"/>
  <c r="Q42" i="9"/>
  <c r="E42" i="9" s="1"/>
  <c r="P42" i="9"/>
  <c r="O42" i="9"/>
  <c r="D42" i="9" s="1"/>
  <c r="V41" i="9"/>
  <c r="U41" i="9"/>
  <c r="T41" i="9"/>
  <c r="S41" i="9"/>
  <c r="R41" i="9"/>
  <c r="Q41" i="9"/>
  <c r="E41" i="9" s="1"/>
  <c r="P41" i="9"/>
  <c r="O41" i="9"/>
  <c r="D41" i="9" s="1"/>
  <c r="V38" i="9"/>
  <c r="U38" i="9"/>
  <c r="T38" i="9"/>
  <c r="S38" i="9"/>
  <c r="R38" i="9"/>
  <c r="Q38" i="9"/>
  <c r="E38" i="9" s="1"/>
  <c r="P38" i="9"/>
  <c r="O38" i="9"/>
  <c r="D38" i="9" s="1"/>
  <c r="V37" i="9"/>
  <c r="U37" i="9"/>
  <c r="T37" i="9"/>
  <c r="S37" i="9"/>
  <c r="R37" i="9"/>
  <c r="Q37" i="9"/>
  <c r="E37" i="9" s="1"/>
  <c r="P37" i="9"/>
  <c r="O37" i="9"/>
  <c r="V36" i="9"/>
  <c r="U36" i="9"/>
  <c r="T36" i="9"/>
  <c r="S36" i="9"/>
  <c r="R36" i="9"/>
  <c r="Q36" i="9"/>
  <c r="E36" i="9" s="1"/>
  <c r="P36" i="9"/>
  <c r="O36" i="9"/>
  <c r="D36" i="9" s="1"/>
  <c r="V35" i="9"/>
  <c r="U35" i="9"/>
  <c r="T35" i="9"/>
  <c r="S35" i="9"/>
  <c r="R35" i="9"/>
  <c r="Q35" i="9"/>
  <c r="P35" i="9"/>
  <c r="O35" i="9"/>
  <c r="D35" i="9" s="1"/>
  <c r="V28" i="9"/>
  <c r="U28" i="9"/>
  <c r="T28" i="9"/>
  <c r="S28" i="9"/>
  <c r="R28" i="9"/>
  <c r="Q28" i="9"/>
  <c r="E28" i="9" s="1"/>
  <c r="P28" i="9"/>
  <c r="O28" i="9"/>
  <c r="D28" i="9" s="1"/>
  <c r="V27" i="9"/>
  <c r="U27" i="9"/>
  <c r="T27" i="9"/>
  <c r="S27" i="9"/>
  <c r="R27" i="9"/>
  <c r="Q27" i="9"/>
  <c r="E27" i="9" s="1"/>
  <c r="P27" i="9"/>
  <c r="O27" i="9"/>
  <c r="D27" i="9" s="1"/>
  <c r="V26" i="9"/>
  <c r="U26" i="9"/>
  <c r="T26" i="9"/>
  <c r="S26" i="9"/>
  <c r="R26" i="9"/>
  <c r="Q26" i="9"/>
  <c r="E26" i="9" s="1"/>
  <c r="P26" i="9"/>
  <c r="O26" i="9"/>
  <c r="D26" i="9" s="1"/>
  <c r="V25" i="9"/>
  <c r="U25" i="9"/>
  <c r="T25" i="9"/>
  <c r="S25" i="9"/>
  <c r="R25" i="9"/>
  <c r="Q25" i="9"/>
  <c r="E25" i="9" s="1"/>
  <c r="P25" i="9"/>
  <c r="O25" i="9"/>
  <c r="D25" i="9" s="1"/>
  <c r="V22" i="9"/>
  <c r="U22" i="9"/>
  <c r="T22" i="9"/>
  <c r="S22" i="9"/>
  <c r="R22" i="9"/>
  <c r="Q22" i="9"/>
  <c r="E22" i="9" s="1"/>
  <c r="E23" i="9" s="1"/>
  <c r="P22" i="9"/>
  <c r="O22" i="9"/>
  <c r="V21" i="9"/>
  <c r="U21" i="9"/>
  <c r="T21" i="9"/>
  <c r="S21" i="9"/>
  <c r="R21" i="9"/>
  <c r="Q21" i="9"/>
  <c r="E21" i="9" s="1"/>
  <c r="P21" i="9"/>
  <c r="O21" i="9"/>
  <c r="D21" i="9" s="1"/>
  <c r="V20" i="9"/>
  <c r="U20" i="9"/>
  <c r="T20" i="9"/>
  <c r="S20" i="9"/>
  <c r="R20" i="9"/>
  <c r="Q20" i="9"/>
  <c r="P20" i="9"/>
  <c r="O20" i="9"/>
  <c r="D20" i="9" s="1"/>
  <c r="V17" i="9"/>
  <c r="U17" i="9"/>
  <c r="T17" i="9"/>
  <c r="S17" i="9"/>
  <c r="R17" i="9"/>
  <c r="Q17" i="9"/>
  <c r="E17" i="9" s="1"/>
  <c r="E18" i="9" s="1"/>
  <c r="P17" i="9"/>
  <c r="O17" i="9"/>
  <c r="V16" i="9"/>
  <c r="U16" i="9"/>
  <c r="T16" i="9"/>
  <c r="S16" i="9"/>
  <c r="R16" i="9"/>
  <c r="Q16" i="9"/>
  <c r="E16" i="9" s="1"/>
  <c r="P16" i="9"/>
  <c r="O16" i="9"/>
  <c r="D16" i="9" s="1"/>
  <c r="V15" i="9"/>
  <c r="U15" i="9"/>
  <c r="T15" i="9"/>
  <c r="S15" i="9"/>
  <c r="R15" i="9"/>
  <c r="Q15" i="9"/>
  <c r="P15" i="9"/>
  <c r="O15" i="9"/>
  <c r="D15" i="9" s="1"/>
  <c r="V13" i="9"/>
  <c r="U13" i="9"/>
  <c r="T13" i="9"/>
  <c r="S13" i="9"/>
  <c r="R13" i="9"/>
  <c r="Q13" i="9"/>
  <c r="E13" i="9" s="1"/>
  <c r="P13" i="9"/>
  <c r="O13" i="9"/>
  <c r="D13" i="9" s="1"/>
  <c r="V12" i="9"/>
  <c r="U12" i="9"/>
  <c r="T12" i="9"/>
  <c r="S12" i="9"/>
  <c r="R12" i="9"/>
  <c r="Q12" i="9"/>
  <c r="E12" i="9" s="1"/>
  <c r="P12" i="9"/>
  <c r="O12" i="9"/>
  <c r="V11" i="9"/>
  <c r="U11" i="9"/>
  <c r="T11" i="9"/>
  <c r="S11" i="9"/>
  <c r="R11" i="9"/>
  <c r="Q11" i="9"/>
  <c r="E11" i="9" s="1"/>
  <c r="P11" i="9"/>
  <c r="O11" i="9"/>
  <c r="D11" i="9" s="1"/>
  <c r="V10" i="9"/>
  <c r="U10" i="9"/>
  <c r="T10" i="9"/>
  <c r="S10" i="9"/>
  <c r="R10" i="9"/>
  <c r="Q10" i="9"/>
  <c r="P10" i="9"/>
  <c r="O10" i="9"/>
  <c r="D10" i="9" s="1"/>
  <c r="P6" i="9"/>
  <c r="R6" i="9"/>
  <c r="Q6" i="9"/>
  <c r="T6" i="9"/>
  <c r="S6" i="9"/>
  <c r="V6" i="9"/>
  <c r="U6" i="9"/>
  <c r="G6" i="9" s="1"/>
  <c r="P7" i="9"/>
  <c r="O7" i="9"/>
  <c r="R7" i="9"/>
  <c r="Q7" i="9"/>
  <c r="T7" i="9"/>
  <c r="S7" i="9"/>
  <c r="F7" i="9" s="1"/>
  <c r="V7" i="9"/>
  <c r="U7" i="9"/>
  <c r="P8" i="9"/>
  <c r="O8" i="9"/>
  <c r="R8" i="9"/>
  <c r="Q8" i="9"/>
  <c r="E8" i="9" s="1"/>
  <c r="T8" i="9"/>
  <c r="S8" i="9"/>
  <c r="F8" i="9" s="1"/>
  <c r="V8" i="9"/>
  <c r="U8" i="9"/>
  <c r="G8" i="9" s="1"/>
  <c r="U5" i="9"/>
  <c r="V5" i="9"/>
  <c r="S5" i="9"/>
  <c r="T5" i="9"/>
  <c r="Q5" i="9"/>
  <c r="R5" i="9"/>
  <c r="P5" i="9"/>
  <c r="C76" i="7" l="1"/>
  <c r="D53" i="9"/>
  <c r="D55" i="9"/>
  <c r="E15" i="9"/>
  <c r="D17" i="9"/>
  <c r="D18" i="9" s="1"/>
  <c r="D57" i="9"/>
  <c r="G5" i="9"/>
  <c r="F6" i="9"/>
  <c r="G7" i="9"/>
  <c r="E10" i="9"/>
  <c r="D12" i="9"/>
  <c r="E20" i="9"/>
  <c r="D22" i="9"/>
  <c r="D23" i="9" s="1"/>
  <c r="E35" i="9"/>
  <c r="D37" i="9"/>
  <c r="E50" i="9"/>
  <c r="D52" i="9"/>
  <c r="F56" i="9"/>
  <c r="E58" i="9"/>
  <c r="E43" i="9"/>
  <c r="D76" i="7" s="1"/>
  <c r="D51" i="9"/>
  <c r="E57" i="9"/>
  <c r="F33" i="9"/>
  <c r="G11" i="9"/>
  <c r="G13" i="9"/>
  <c r="G16" i="9"/>
  <c r="G20" i="9"/>
  <c r="E33" i="9"/>
  <c r="G22" i="9"/>
  <c r="G23" i="9" s="1"/>
  <c r="G26" i="9"/>
  <c r="G28" i="9"/>
  <c r="L4" i="1"/>
  <c r="F5" i="9"/>
  <c r="G36" i="9"/>
  <c r="G38" i="9"/>
  <c r="G42" i="9"/>
  <c r="G50" i="9"/>
  <c r="G52" i="9"/>
  <c r="G55" i="9"/>
  <c r="G56" i="9"/>
  <c r="G57" i="9"/>
  <c r="G58" i="9"/>
  <c r="G35" i="9"/>
  <c r="G37" i="9"/>
  <c r="G41" i="9"/>
  <c r="G43" i="9"/>
  <c r="G51" i="9"/>
  <c r="G53" i="9"/>
  <c r="D5" i="9"/>
  <c r="E5" i="9"/>
  <c r="E7" i="9"/>
  <c r="E6" i="9"/>
  <c r="F10" i="9"/>
  <c r="F11" i="9"/>
  <c r="F12" i="9"/>
  <c r="F13" i="9"/>
  <c r="F15" i="9"/>
  <c r="F16" i="9"/>
  <c r="F17" i="9"/>
  <c r="F18" i="9" s="1"/>
  <c r="F20" i="9"/>
  <c r="F21" i="9"/>
  <c r="F22" i="9"/>
  <c r="F23" i="9" s="1"/>
  <c r="F25" i="9"/>
  <c r="F26" i="9"/>
  <c r="F27" i="9"/>
  <c r="F28" i="9"/>
  <c r="F35" i="9"/>
  <c r="F36" i="9"/>
  <c r="F37" i="9"/>
  <c r="F38" i="9"/>
  <c r="F41" i="9"/>
  <c r="E76" i="7" s="1"/>
  <c r="F42" i="9"/>
  <c r="F43" i="9"/>
  <c r="F50" i="9"/>
  <c r="F51" i="9"/>
  <c r="F52" i="9"/>
  <c r="F53" i="9"/>
  <c r="F55" i="9"/>
  <c r="F57" i="9"/>
  <c r="D33" i="9"/>
  <c r="E85" i="7" s="1"/>
  <c r="D8" i="9"/>
  <c r="D7" i="9"/>
  <c r="D6" i="9"/>
  <c r="G10" i="9"/>
  <c r="G12" i="9"/>
  <c r="G15" i="9"/>
  <c r="G17" i="9"/>
  <c r="G18" i="9" s="1"/>
  <c r="G21" i="9"/>
  <c r="G25" i="9"/>
  <c r="G27" i="9"/>
  <c r="E4" i="9"/>
  <c r="F4" i="9"/>
  <c r="G4" i="9"/>
  <c r="C70" i="7" l="1"/>
  <c r="D30" i="1" l="1"/>
  <c r="E54" i="12" l="1"/>
  <c r="E9" i="9"/>
  <c r="F9" i="9"/>
  <c r="G9" i="9"/>
  <c r="D9" i="9"/>
  <c r="D4" i="9"/>
  <c r="D1" i="9"/>
  <c r="F79" i="7" l="1"/>
  <c r="F78" i="7"/>
  <c r="L36" i="1" s="1"/>
  <c r="E78" i="7"/>
  <c r="L28" i="1" s="1"/>
  <c r="D78" i="7"/>
  <c r="C78" i="7"/>
  <c r="E75" i="7"/>
  <c r="D75" i="7"/>
  <c r="C75" i="7"/>
  <c r="H27" i="1" s="1"/>
  <c r="F74" i="7"/>
  <c r="E74" i="7"/>
  <c r="D74" i="7"/>
  <c r="F72" i="7"/>
  <c r="F71" i="7"/>
  <c r="F36" i="1" s="1"/>
  <c r="F70" i="7"/>
  <c r="D36" i="1" s="1"/>
  <c r="E70" i="7"/>
  <c r="D28" i="1" s="1"/>
  <c r="D70" i="7"/>
  <c r="D27" i="1" s="1"/>
  <c r="D34" i="1" l="1"/>
  <c r="D43" i="1" s="1"/>
  <c r="L27" i="1"/>
  <c r="H67" i="12"/>
  <c r="H68" i="12" s="1"/>
  <c r="I67" i="12"/>
  <c r="I68" i="12" s="1"/>
  <c r="J67" i="12"/>
  <c r="J68" i="12" s="1"/>
  <c r="H50" i="12"/>
  <c r="H51" i="12" s="1"/>
  <c r="I50" i="12"/>
  <c r="I51" i="12" s="1"/>
  <c r="J50" i="12"/>
  <c r="J51" i="12" s="1"/>
  <c r="L50" i="12"/>
  <c r="L51" i="12" s="1"/>
  <c r="M50" i="12"/>
  <c r="M51" i="12" s="1"/>
  <c r="N50" i="12"/>
  <c r="N51" i="12" s="1"/>
  <c r="O50" i="12"/>
  <c r="O51" i="12" s="1"/>
  <c r="P50" i="12"/>
  <c r="P51" i="12" s="1"/>
  <c r="H74" i="12"/>
  <c r="H75" i="12" s="1"/>
  <c r="I74" i="12"/>
  <c r="I75" i="12" s="1"/>
  <c r="J74" i="12"/>
  <c r="J75" i="12" s="1"/>
  <c r="G74" i="12"/>
  <c r="G75" i="12" s="1"/>
  <c r="G67" i="12"/>
  <c r="G68" i="12" s="1"/>
  <c r="G50" i="12"/>
  <c r="G51" i="12" s="1"/>
  <c r="P11" i="12"/>
  <c r="P74" i="12" s="1"/>
  <c r="P75" i="12" s="1"/>
  <c r="Q11" i="12"/>
  <c r="Q74" i="12" s="1"/>
  <c r="Q75" i="12" s="1"/>
  <c r="R11" i="12"/>
  <c r="R74" i="12" s="1"/>
  <c r="R75" i="12" s="1"/>
  <c r="S11" i="12"/>
  <c r="S74" i="12" s="1"/>
  <c r="S75" i="12" s="1"/>
  <c r="T11" i="12"/>
  <c r="T74" i="12" s="1"/>
  <c r="T75" i="12" s="1"/>
  <c r="U11" i="12"/>
  <c r="U74" i="12" s="1"/>
  <c r="U75" i="12" s="1"/>
  <c r="V11" i="12"/>
  <c r="V74" i="12" s="1"/>
  <c r="V75" i="12" s="1"/>
  <c r="W11" i="12"/>
  <c r="W74" i="12" s="1"/>
  <c r="W75" i="12" s="1"/>
  <c r="X11" i="12"/>
  <c r="X74" i="12" s="1"/>
  <c r="X75" i="12" s="1"/>
  <c r="Y11" i="12"/>
  <c r="Y74" i="12" s="1"/>
  <c r="Y75" i="12" s="1"/>
  <c r="Z11" i="12"/>
  <c r="Z74" i="12" s="1"/>
  <c r="Z75" i="12" s="1"/>
  <c r="AA11" i="12"/>
  <c r="AA74" i="12" s="1"/>
  <c r="AA75" i="12" s="1"/>
  <c r="AB11" i="12"/>
  <c r="AB74" i="12" s="1"/>
  <c r="AB75" i="12" s="1"/>
  <c r="AC11" i="12"/>
  <c r="AC74" i="12" s="1"/>
  <c r="AC75" i="12" s="1"/>
  <c r="AD11" i="12"/>
  <c r="AD74" i="12" s="1"/>
  <c r="AD75" i="12" s="1"/>
  <c r="AE11" i="12"/>
  <c r="AE74" i="12" s="1"/>
  <c r="AE75" i="12" s="1"/>
  <c r="AF11" i="12"/>
  <c r="AF74" i="12" s="1"/>
  <c r="AF75" i="12" s="1"/>
  <c r="AG11" i="12"/>
  <c r="AG74" i="12" s="1"/>
  <c r="AG75" i="12" s="1"/>
  <c r="AH11" i="12"/>
  <c r="AH74" i="12" s="1"/>
  <c r="AH75" i="12" s="1"/>
  <c r="AI11" i="12"/>
  <c r="AI74" i="12" s="1"/>
  <c r="AI75" i="12" s="1"/>
  <c r="AJ11" i="12"/>
  <c r="AJ74" i="12" s="1"/>
  <c r="AJ75" i="12" s="1"/>
  <c r="AK11" i="12"/>
  <c r="AK74" i="12" s="1"/>
  <c r="AK75" i="12" s="1"/>
  <c r="AL11" i="12"/>
  <c r="AL74" i="12" s="1"/>
  <c r="AL75" i="12" s="1"/>
  <c r="AM11" i="12"/>
  <c r="AM74" i="12" s="1"/>
  <c r="AM75" i="12" s="1"/>
  <c r="AN11" i="12"/>
  <c r="AN74" i="12" s="1"/>
  <c r="AN75" i="12" s="1"/>
  <c r="AO11" i="12"/>
  <c r="AO74" i="12" s="1"/>
  <c r="AO75" i="12" s="1"/>
  <c r="AP11" i="12"/>
  <c r="AP74" i="12" s="1"/>
  <c r="AP75" i="12" s="1"/>
  <c r="AQ11" i="12"/>
  <c r="AQ74" i="12" s="1"/>
  <c r="AQ75" i="12" s="1"/>
  <c r="AR11" i="12"/>
  <c r="AR74" i="12" s="1"/>
  <c r="AR75" i="12" s="1"/>
  <c r="AS11" i="12"/>
  <c r="AS74" i="12" s="1"/>
  <c r="AS75" i="12" s="1"/>
  <c r="O11" i="12"/>
  <c r="O74" i="12" s="1"/>
  <c r="O75" i="12" s="1"/>
  <c r="P10" i="12"/>
  <c r="P67" i="12" s="1"/>
  <c r="P68" i="12" s="1"/>
  <c r="Q10" i="12"/>
  <c r="Q67" i="12" s="1"/>
  <c r="Q68" i="12" s="1"/>
  <c r="R10" i="12"/>
  <c r="R67" i="12" s="1"/>
  <c r="R68" i="12" s="1"/>
  <c r="S10" i="12"/>
  <c r="S67" i="12" s="1"/>
  <c r="S68" i="12" s="1"/>
  <c r="T10" i="12"/>
  <c r="T67" i="12" s="1"/>
  <c r="T68" i="12" s="1"/>
  <c r="U10" i="12"/>
  <c r="U67" i="12" s="1"/>
  <c r="U68" i="12" s="1"/>
  <c r="V10" i="12"/>
  <c r="V67" i="12" s="1"/>
  <c r="V68" i="12" s="1"/>
  <c r="W10" i="12"/>
  <c r="W67" i="12" s="1"/>
  <c r="W68" i="12" s="1"/>
  <c r="X10" i="12"/>
  <c r="X67" i="12" s="1"/>
  <c r="X68" i="12" s="1"/>
  <c r="Y10" i="12"/>
  <c r="Y67" i="12" s="1"/>
  <c r="Y68" i="12" s="1"/>
  <c r="Z10" i="12"/>
  <c r="Z67" i="12" s="1"/>
  <c r="Z68" i="12" s="1"/>
  <c r="AA10" i="12"/>
  <c r="AA67" i="12" s="1"/>
  <c r="AA68" i="12" s="1"/>
  <c r="AB10" i="12"/>
  <c r="AB67" i="12" s="1"/>
  <c r="AB68" i="12" s="1"/>
  <c r="AC10" i="12"/>
  <c r="AC67" i="12" s="1"/>
  <c r="AC68" i="12" s="1"/>
  <c r="AD10" i="12"/>
  <c r="AD67" i="12" s="1"/>
  <c r="AD68" i="12" s="1"/>
  <c r="AE10" i="12"/>
  <c r="AE67" i="12" s="1"/>
  <c r="AE68" i="12" s="1"/>
  <c r="AF10" i="12"/>
  <c r="AF67" i="12" s="1"/>
  <c r="AF68" i="12" s="1"/>
  <c r="AG10" i="12"/>
  <c r="AG67" i="12" s="1"/>
  <c r="AG68" i="12" s="1"/>
  <c r="AH10" i="12"/>
  <c r="AH67" i="12" s="1"/>
  <c r="AH68" i="12" s="1"/>
  <c r="AI10" i="12"/>
  <c r="AI67" i="12" s="1"/>
  <c r="AI68" i="12" s="1"/>
  <c r="AJ10" i="12"/>
  <c r="AJ67" i="12" s="1"/>
  <c r="AJ68" i="12" s="1"/>
  <c r="AK10" i="12"/>
  <c r="AK67" i="12" s="1"/>
  <c r="AK68" i="12" s="1"/>
  <c r="AL10" i="12"/>
  <c r="AL67" i="12" s="1"/>
  <c r="AL68" i="12" s="1"/>
  <c r="AM10" i="12"/>
  <c r="AM67" i="12" s="1"/>
  <c r="AM68" i="12" s="1"/>
  <c r="AN10" i="12"/>
  <c r="AN67" i="12" s="1"/>
  <c r="AN68" i="12" s="1"/>
  <c r="AO10" i="12"/>
  <c r="AO67" i="12" s="1"/>
  <c r="AO68" i="12" s="1"/>
  <c r="AP10" i="12"/>
  <c r="AP67" i="12" s="1"/>
  <c r="AP68" i="12" s="1"/>
  <c r="AQ10" i="12"/>
  <c r="AQ67" i="12" s="1"/>
  <c r="AQ68" i="12" s="1"/>
  <c r="AR10" i="12"/>
  <c r="AR67" i="12" s="1"/>
  <c r="AR68" i="12" s="1"/>
  <c r="AS10" i="12"/>
  <c r="AS67" i="12" s="1"/>
  <c r="AS68" i="12" s="1"/>
  <c r="O10" i="12"/>
  <c r="O67" i="12" s="1"/>
  <c r="O68" i="12" s="1"/>
  <c r="D12" i="12"/>
  <c r="E34" i="12"/>
  <c r="E36" i="12"/>
  <c r="E38" i="12"/>
  <c r="E40" i="12"/>
  <c r="E42" i="12"/>
  <c r="E44" i="12"/>
  <c r="E46" i="12"/>
  <c r="E20" i="12"/>
  <c r="E22" i="12"/>
  <c r="E24" i="12"/>
  <c r="E26" i="12"/>
  <c r="E28" i="12"/>
  <c r="D8" i="12"/>
  <c r="D7" i="12"/>
  <c r="L34" i="1" l="1"/>
  <c r="L43" i="1" s="1"/>
  <c r="D35" i="12"/>
  <c r="D59" i="12"/>
  <c r="D19" i="12"/>
  <c r="D31" i="12"/>
  <c r="D33" i="12"/>
  <c r="L45" i="1"/>
  <c r="L47" i="1"/>
  <c r="L48" i="1"/>
  <c r="L40" i="1"/>
  <c r="L41" i="1" s="1"/>
  <c r="D21" i="12"/>
  <c r="D29" i="12"/>
  <c r="D43" i="12"/>
  <c r="D27" i="12"/>
  <c r="D41" i="12"/>
  <c r="D55" i="12"/>
  <c r="D25" i="12"/>
  <c r="D47" i="12"/>
  <c r="D39" i="12"/>
  <c r="D23" i="12"/>
  <c r="D45" i="12"/>
  <c r="D37" i="12"/>
  <c r="C71" i="7"/>
  <c r="F73" i="7"/>
  <c r="J36" i="1" s="1"/>
  <c r="E57" i="7" l="1"/>
  <c r="E52" i="7"/>
  <c r="F24" i="1" s="1"/>
  <c r="F25" i="1" s="1"/>
  <c r="J23" i="1"/>
  <c r="L23" i="1"/>
  <c r="J39" i="1"/>
  <c r="C4" i="14"/>
  <c r="D71" i="7"/>
  <c r="F27" i="1" s="1"/>
  <c r="E73" i="7"/>
  <c r="J28" i="1" s="1"/>
  <c r="D79" i="7"/>
  <c r="C79" i="7"/>
  <c r="C72" i="7"/>
  <c r="E79" i="7"/>
  <c r="D73" i="7"/>
  <c r="E71" i="7"/>
  <c r="D72" i="7"/>
  <c r="E72" i="7"/>
  <c r="C73" i="7"/>
  <c r="E55" i="7"/>
  <c r="E54" i="7"/>
  <c r="E53" i="7"/>
  <c r="C114" i="7"/>
  <c r="J27" i="1" l="1"/>
  <c r="J45" i="1" s="1"/>
  <c r="J24" i="1"/>
  <c r="J25" i="1" s="1"/>
  <c r="D112" i="7"/>
  <c r="C121" i="7"/>
  <c r="L46" i="1"/>
  <c r="C100" i="7"/>
  <c r="H39" i="1" s="1"/>
  <c r="F125" i="7"/>
  <c r="F121" i="7"/>
  <c r="D121" i="7"/>
  <c r="D125" i="7"/>
  <c r="E121" i="7"/>
  <c r="E125" i="7"/>
  <c r="L9" i="12"/>
  <c r="M9" i="12"/>
  <c r="M10" i="12" s="1"/>
  <c r="M67" i="12" s="1"/>
  <c r="M68" i="12" s="1"/>
  <c r="N9" i="12"/>
  <c r="N10" i="12" s="1"/>
  <c r="N67" i="12" s="1"/>
  <c r="N68" i="12" s="1"/>
  <c r="G9" i="12"/>
  <c r="G10" i="12" s="1"/>
  <c r="Q50" i="12"/>
  <c r="Q51" i="12" s="1"/>
  <c r="R50" i="12"/>
  <c r="R51" i="12" s="1"/>
  <c r="S50" i="12"/>
  <c r="S51" i="12" s="1"/>
  <c r="T50" i="12"/>
  <c r="T51" i="12" s="1"/>
  <c r="U50" i="12"/>
  <c r="U51" i="12" s="1"/>
  <c r="V50" i="12"/>
  <c r="V51" i="12" s="1"/>
  <c r="W50" i="12"/>
  <c r="W51" i="12" s="1"/>
  <c r="X50" i="12"/>
  <c r="X51" i="12" s="1"/>
  <c r="Y50" i="12"/>
  <c r="Y51" i="12" s="1"/>
  <c r="Z50" i="12"/>
  <c r="Z51" i="12" s="1"/>
  <c r="AA50" i="12"/>
  <c r="AA51" i="12" s="1"/>
  <c r="AB50" i="12"/>
  <c r="AB51" i="12" s="1"/>
  <c r="AC50" i="12"/>
  <c r="AC51" i="12" s="1"/>
  <c r="E51" i="12"/>
  <c r="P9" i="12"/>
  <c r="Q9" i="12"/>
  <c r="R9" i="12"/>
  <c r="O9" i="12"/>
  <c r="J46" i="1" l="1"/>
  <c r="J50" i="1"/>
  <c r="J47" i="1"/>
  <c r="J34" i="1"/>
  <c r="J43" i="1" s="1"/>
  <c r="J40" i="1"/>
  <c r="J41" i="1" s="1"/>
  <c r="J48" i="1"/>
  <c r="D52" i="12"/>
  <c r="E56" i="7" s="1"/>
  <c r="L11" i="12"/>
  <c r="L74" i="12" s="1"/>
  <c r="L75" i="12" s="1"/>
  <c r="L10" i="12"/>
  <c r="L67" i="12" s="1"/>
  <c r="L68" i="12" s="1"/>
  <c r="E68" i="12" s="1" a="1"/>
  <c r="G11" i="12"/>
  <c r="D9" i="12"/>
  <c r="N11" i="12"/>
  <c r="N74" i="12" s="1"/>
  <c r="N75" i="12" s="1"/>
  <c r="E75" i="12" s="1"/>
  <c r="D76" i="12" s="1"/>
  <c r="M11" i="12"/>
  <c r="M74" i="12" s="1"/>
  <c r="M75" i="12" s="1"/>
  <c r="D69" i="12" l="1"/>
  <c r="D77" i="12"/>
  <c r="D70" i="12" l="1"/>
  <c r="D71" i="12" s="1"/>
  <c r="E59" i="7" s="1"/>
  <c r="L24" i="1" s="1"/>
  <c r="L25" i="1" s="1"/>
  <c r="E62" i="7"/>
  <c r="E61" i="7"/>
  <c r="E60" i="7"/>
  <c r="C125" i="7"/>
  <c r="F112" i="7"/>
  <c r="E112" i="7"/>
  <c r="D122" i="7"/>
  <c r="C112" i="7"/>
  <c r="C122" i="7" s="1"/>
  <c r="F111" i="7"/>
  <c r="E111" i="7"/>
  <c r="D111" i="7"/>
  <c r="C111" i="7"/>
  <c r="D50" i="1" l="1"/>
  <c r="F50" i="1"/>
  <c r="L50" i="1"/>
  <c r="E135" i="7"/>
  <c r="F135" i="7"/>
  <c r="C135" i="7"/>
  <c r="G135" i="7"/>
  <c r="D135" i="7"/>
  <c r="E126" i="7"/>
  <c r="E122" i="7"/>
  <c r="F126" i="7"/>
  <c r="F122" i="7"/>
  <c r="C126" i="7"/>
  <c r="L51" i="1" s="1"/>
  <c r="D126" i="7"/>
  <c r="D62" i="7"/>
  <c r="D61" i="7"/>
  <c r="C62" i="7"/>
  <c r="C61" i="7"/>
  <c r="J51" i="1" l="1"/>
  <c r="F28" i="1" l="1"/>
  <c r="F34" i="1" s="1"/>
  <c r="D130" i="7" l="1"/>
  <c r="D134" i="7" s="1"/>
  <c r="F40" i="1"/>
  <c r="F46" i="1"/>
  <c r="F43" i="1" l="1"/>
  <c r="F51" i="1" s="1"/>
  <c r="C4" i="16" s="1"/>
  <c r="F41" i="1"/>
  <c r="D132" i="7" s="1"/>
  <c r="D136" i="7" s="1"/>
  <c r="D129" i="7"/>
  <c r="D133" i="7" s="1"/>
  <c r="F14" i="1"/>
  <c r="D137" i="7" l="1"/>
  <c r="C3" i="16"/>
  <c r="E2" i="16"/>
  <c r="F52" i="1" l="1"/>
  <c r="C5" i="16" s="1"/>
  <c r="C6" i="16" s="1"/>
  <c r="F53" i="1" l="1"/>
  <c r="F56" i="1" s="1"/>
  <c r="H23" i="1"/>
  <c r="D40" i="1" l="1"/>
  <c r="D41" i="1" s="1"/>
  <c r="C130" i="7"/>
  <c r="C134" i="7" s="1"/>
  <c r="H36" i="1"/>
  <c r="H28" i="1"/>
  <c r="D51" i="1" l="1"/>
  <c r="H34" i="1"/>
  <c r="E130" i="7"/>
  <c r="E134" i="7" s="1"/>
  <c r="F130" i="7"/>
  <c r="F134" i="7" s="1"/>
  <c r="G130" i="7"/>
  <c r="G134" i="7" s="1"/>
  <c r="H47" i="1"/>
  <c r="H46" i="1"/>
  <c r="H40" i="1"/>
  <c r="H41" i="1" s="1"/>
  <c r="H48" i="1"/>
  <c r="D46" i="1"/>
  <c r="D47" i="1"/>
  <c r="D48" i="1"/>
  <c r="H45" i="1"/>
  <c r="D45" i="1"/>
  <c r="H24" i="1"/>
  <c r="H25" i="1" s="1"/>
  <c r="B3" i="16" l="1"/>
  <c r="F4" i="16"/>
  <c r="B4" i="16"/>
  <c r="E129" i="7"/>
  <c r="E133" i="7" s="1"/>
  <c r="H43" i="1"/>
  <c r="H51" i="1" s="1"/>
  <c r="D4" i="16" s="1"/>
  <c r="F132" i="7"/>
  <c r="F136" i="7" s="1"/>
  <c r="C132" i="7"/>
  <c r="C136" i="7" s="1"/>
  <c r="G129" i="7"/>
  <c r="G133" i="7" s="1"/>
  <c r="F129" i="7"/>
  <c r="F133" i="7" s="1"/>
  <c r="E4" i="16"/>
  <c r="C129" i="7"/>
  <c r="C133" i="7" s="1"/>
  <c r="E132" i="7"/>
  <c r="E136" i="7" s="1"/>
  <c r="G132" i="7"/>
  <c r="G136" i="7" s="1"/>
  <c r="B67" i="1"/>
  <c r="C137" i="7" l="1"/>
  <c r="D52" i="1" s="1"/>
  <c r="E137" i="7"/>
  <c r="F137" i="7"/>
  <c r="G137" i="7"/>
  <c r="L52" i="1" s="1"/>
  <c r="L53" i="1" s="1"/>
  <c r="L56" i="1" s="1"/>
  <c r="F57" i="1" s="1"/>
  <c r="F3" i="16"/>
  <c r="D53" i="1" l="1"/>
  <c r="D56" i="1" s="1"/>
  <c r="D57" i="1" s="1"/>
  <c r="J52" i="1"/>
  <c r="J53" i="1" s="1"/>
  <c r="J56" i="1" s="1"/>
  <c r="J57" i="1" s="1"/>
  <c r="H52" i="1"/>
  <c r="D5" i="16" s="1"/>
  <c r="E3" i="16"/>
  <c r="H50" i="1"/>
  <c r="B5" i="16" l="1"/>
  <c r="B6" i="16" s="1"/>
  <c r="E5" i="16"/>
  <c r="E6" i="16" s="1"/>
  <c r="F5" i="16"/>
  <c r="F6" i="16" s="1"/>
  <c r="B8" i="16" s="1"/>
  <c r="H53" i="1"/>
  <c r="H56" i="1" s="1"/>
  <c r="D3" i="16"/>
  <c r="D6" i="16" s="1"/>
  <c r="H57" i="1" l="1"/>
  <c r="L58" i="1" s="1"/>
  <c r="E7" i="16"/>
  <c r="C8" i="16"/>
  <c r="D8" i="16" s="1"/>
  <c r="E8" i="16" s="1"/>
  <c r="F8" i="16"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<sst xmlns="http://schemas.openxmlformats.org/spreadsheetml/2006/main" count="989" uniqueCount="621">
  <si>
    <t>Gebäudedaten</t>
  </si>
  <si>
    <t>Gebäudekategorie</t>
  </si>
  <si>
    <t>02 Wohnen EFH</t>
  </si>
  <si>
    <t>Umbau</t>
  </si>
  <si>
    <t>kW</t>
  </si>
  <si>
    <t>Nutzenergiebedarf</t>
  </si>
  <si>
    <t>kWh/a</t>
  </si>
  <si>
    <t>01 Wohnen MFH</t>
  </si>
  <si>
    <t>03 Verwaltung</t>
  </si>
  <si>
    <t>04 Schulen</t>
  </si>
  <si>
    <t>05 Verkauf</t>
  </si>
  <si>
    <t>06 Restaurants</t>
  </si>
  <si>
    <t>07 Versammlungslokale</t>
  </si>
  <si>
    <t>08 Spitäler</t>
  </si>
  <si>
    <t>09 Industrie</t>
  </si>
  <si>
    <t>10 Lager</t>
  </si>
  <si>
    <t>11 Sportbauten</t>
  </si>
  <si>
    <t>12 Hallenbäder</t>
  </si>
  <si>
    <t>Art de Bauvorhabens</t>
  </si>
  <si>
    <t>Neubau</t>
  </si>
  <si>
    <t>Betriebszeit</t>
  </si>
  <si>
    <t>h/d</t>
  </si>
  <si>
    <t>Ti</t>
  </si>
  <si>
    <t>°C</t>
  </si>
  <si>
    <t>Ta</t>
  </si>
  <si>
    <t>Alternative Systeme</t>
  </si>
  <si>
    <t>Fossile Heizung</t>
  </si>
  <si>
    <t>Vergleich Heizungssysteme</t>
  </si>
  <si>
    <t>WP-Luft</t>
  </si>
  <si>
    <t>Oelheizung</t>
  </si>
  <si>
    <t>Heizungssystem</t>
  </si>
  <si>
    <t>Nutzungsgrad / JAZ</t>
  </si>
  <si>
    <t>-</t>
  </si>
  <si>
    <t>Energiebedarf</t>
  </si>
  <si>
    <t>Rp/kWh</t>
  </si>
  <si>
    <t>Jahreskosten für Energie</t>
  </si>
  <si>
    <t>Fr.</t>
  </si>
  <si>
    <t>Spezifische Raumkosten</t>
  </si>
  <si>
    <t>Total Raumkosten</t>
  </si>
  <si>
    <t>Wartung und Unterhalt</t>
  </si>
  <si>
    <t>Berechnungsgrundlagen</t>
  </si>
  <si>
    <t>Betrachtungsdauer</t>
  </si>
  <si>
    <t>Jahre</t>
  </si>
  <si>
    <t>Kalkulationszinssatz</t>
  </si>
  <si>
    <t>%</t>
  </si>
  <si>
    <t>Kostensteigerung Energiepreise</t>
  </si>
  <si>
    <t>Kostensteigerung Wartung und Unterhalt</t>
  </si>
  <si>
    <t>Energiekosten</t>
  </si>
  <si>
    <t>Kapitalkosten</t>
  </si>
  <si>
    <t>Total Jahreskosten</t>
  </si>
  <si>
    <t>Ergebnis</t>
  </si>
  <si>
    <t>Mittl. Wärmegestehungskosten (Nutzenergie)</t>
  </si>
  <si>
    <t>Vergleich</t>
  </si>
  <si>
    <t>Fossile Anlage zulässig</t>
  </si>
  <si>
    <t>Heizungssysteme</t>
  </si>
  <si>
    <t>Holz-Pellets</t>
  </si>
  <si>
    <t>Holz-Schnitzel</t>
  </si>
  <si>
    <t>WP-Sonde</t>
  </si>
  <si>
    <t>WP-Wasser</t>
  </si>
  <si>
    <t>Gasheizung</t>
  </si>
  <si>
    <t>WP-Absorpt.</t>
  </si>
  <si>
    <t>WP-Zeolyth</t>
  </si>
  <si>
    <t>Fernwärme</t>
  </si>
  <si>
    <t>Spezifische Raumkosten [Fr./m3]</t>
  </si>
  <si>
    <t>Betrachtungsdauer [Jahre]</t>
  </si>
  <si>
    <t>Annuität</t>
  </si>
  <si>
    <t>Kalkulationszinssatz [%]</t>
  </si>
  <si>
    <t>Kalkulationszinsatz</t>
  </si>
  <si>
    <t>Jährliche Kostensteigerung Energiepreise [%]</t>
  </si>
  <si>
    <t>Jährliche Kostensteigerung Wartung/Unterhalt [%]</t>
  </si>
  <si>
    <t>Faktor Energiepreissteigerung</t>
  </si>
  <si>
    <t>Faktor Kostensteigerung Wartung/Unterhalt</t>
  </si>
  <si>
    <t>Total Raumkosten (5.4)</t>
  </si>
  <si>
    <t>Total Kapitalkosten</t>
  </si>
  <si>
    <t>2.1 Nutzungsgrad / JAZ</t>
  </si>
  <si>
    <t>2.3 Energiepreise [Rp/kWh]</t>
  </si>
  <si>
    <t>1.1 Gebäudekategorien</t>
  </si>
  <si>
    <t>Nr.</t>
  </si>
  <si>
    <t>Name</t>
  </si>
  <si>
    <t>Quelle</t>
  </si>
  <si>
    <t>Energiepreise (Strom)</t>
  </si>
  <si>
    <t>Energiepreise (Holz-Schnitzel)</t>
  </si>
  <si>
    <t>Ist ein Anschluss an Fernwärme möglich?</t>
  </si>
  <si>
    <t>Ja</t>
  </si>
  <si>
    <t>Nein</t>
  </si>
  <si>
    <r>
      <t>Energiepreis (inkl. MWST und CO</t>
    </r>
    <r>
      <rPr>
        <vertAlign val="subscript"/>
        <sz val="9"/>
        <rFont val="Arial"/>
        <family val="2"/>
      </rPr>
      <t>2</t>
    </r>
    <r>
      <rPr>
        <sz val="9"/>
        <rFont val="Arial"/>
        <family val="2"/>
      </rPr>
      <t>-Abgabe)</t>
    </r>
  </si>
  <si>
    <t>Total Installationskosten (inkl. Förderung)</t>
  </si>
  <si>
    <t>Holz-Pellets / Holz-Schnitzel</t>
  </si>
  <si>
    <t>WP-Sonde / WP-Wasser</t>
  </si>
  <si>
    <t>Investitionskosten (Amortisationszeit 20 Jahre)</t>
  </si>
  <si>
    <t>Investitionskosten (Amortisationszeit 40 Jahre)</t>
  </si>
  <si>
    <t>2.1/2.3/6.1</t>
  </si>
  <si>
    <t>6.1 Wartung und Unterhalt [%]</t>
  </si>
  <si>
    <t>Erdwärmesonde, Elektrozuleitung (4.1)</t>
  </si>
  <si>
    <t>Total Installationskosten (3.5)</t>
  </si>
  <si>
    <t>Total Installationskosten auf 20 Jahre</t>
  </si>
  <si>
    <t>Total</t>
  </si>
  <si>
    <t>Energiepreise</t>
  </si>
  <si>
    <t>Durchschnitt letzte vier Jahre</t>
  </si>
  <si>
    <t>m²</t>
  </si>
  <si>
    <t>m³</t>
  </si>
  <si>
    <t>Fr./m³</t>
  </si>
  <si>
    <t>Nutzenergiebedarf (Berechnung oder gemäss Nachweis)</t>
  </si>
  <si>
    <t>Falls Fernwärme möglich, welcher Anbieter?</t>
  </si>
  <si>
    <t>Anschluss an Fernwärme</t>
  </si>
  <si>
    <t>Fernwärme Anbieter</t>
  </si>
  <si>
    <t>Nutzungsgrad / JAZ (Standardwert / Nachweis)</t>
  </si>
  <si>
    <t>Raumbedarf (Standardwert / Nachweis)</t>
  </si>
  <si>
    <t>Jährliche Wartung und Unterhalt</t>
  </si>
  <si>
    <t>Kosten (Standardwert / Nachweis)</t>
  </si>
  <si>
    <t>Energiepreise Fernwärme [Rp/kWh]</t>
  </si>
  <si>
    <t>FEHLER</t>
  </si>
  <si>
    <t>Wärmeerzeugung</t>
  </si>
  <si>
    <t>Kurztext</t>
  </si>
  <si>
    <t>Text</t>
  </si>
  <si>
    <t>Ölfeuerung</t>
  </si>
  <si>
    <t>Ölheizung kondensierend</t>
  </si>
  <si>
    <t>Ölfeuerung kondensierend nur Heizung</t>
  </si>
  <si>
    <t>Ölfeuerung kondens. Warmwasser</t>
  </si>
  <si>
    <t>Ölfeuerung kondensierend nur Warmwasser</t>
  </si>
  <si>
    <t>Gasfeuerung</t>
  </si>
  <si>
    <t>Gasheizung kondensierend</t>
  </si>
  <si>
    <t>Gasfeuerung kondensierend nur Heizung</t>
  </si>
  <si>
    <t>Gas kondensierend Warmwasser</t>
  </si>
  <si>
    <t>Gasfeuerung kondensierend nur Warmwasser</t>
  </si>
  <si>
    <t>Gas - Wassererwärmer</t>
  </si>
  <si>
    <t>Holzfeuerung</t>
  </si>
  <si>
    <t>Pelletfeuerung</t>
  </si>
  <si>
    <t>Fernwärme (&lt;=50% nicht erneuerbar)</t>
  </si>
  <si>
    <t>Fernwärme (inkl. Abwärme aus KVA,ARA), &lt;=50% nicht erneuerbar</t>
  </si>
  <si>
    <t>Elektrospeicher-Zentralheizung</t>
  </si>
  <si>
    <t>Elektro direkt</t>
  </si>
  <si>
    <t>Elektro-Wassererwärmer</t>
  </si>
  <si>
    <t>WKK - thermischer+elektr. Anteil</t>
  </si>
  <si>
    <t>WKK (fossil) - thermischer + elektrischer Anteil</t>
  </si>
  <si>
    <t>WKK Holz - therm.+elektr. Anteil</t>
  </si>
  <si>
    <t>WKK (Holz) - thermischer + elektrischer Anteil</t>
  </si>
  <si>
    <t>Luft-Wärmepumpe, Heizung</t>
  </si>
  <si>
    <t>Wärmepumpe Aussenluft, nur Heizung</t>
  </si>
  <si>
    <t>Luft-Wärmepumpe, Warmwasser</t>
  </si>
  <si>
    <t>Wärmepumpe, Aussenluft, nur Warmwasser</t>
  </si>
  <si>
    <t>Erdsonden-WP, Heizung</t>
  </si>
  <si>
    <t>Wärmepumpe, Erdwärmesonde, nur Heizung</t>
  </si>
  <si>
    <t>Erdsonden-WP, Warmwasser</t>
  </si>
  <si>
    <t>Wärmepumpe, Erdwärmesonde, nur Warmwasser</t>
  </si>
  <si>
    <t>Abwasser-WP (direkt), Heizung</t>
  </si>
  <si>
    <t>Wärmepumpe, Abwasser, nur Heizung</t>
  </si>
  <si>
    <t>Abwasser-WP direkt, Warmwasser</t>
  </si>
  <si>
    <t>Wärmepumpe, Abwasser, nur Warmwasser</t>
  </si>
  <si>
    <t>Wasser-Wärmepumpe, Heizung</t>
  </si>
  <si>
    <t>Wasser-Wärmepumpe, nur Heizung</t>
  </si>
  <si>
    <t>Wasser-WP, Warmwasser</t>
  </si>
  <si>
    <t>Wasser-Wärmepumpe, nur Warmwasser</t>
  </si>
  <si>
    <t>Grundwasser-WP direkt, Heizung</t>
  </si>
  <si>
    <t>Wärmepumpe, Grundwasser, direkt, nur Heizung</t>
  </si>
  <si>
    <t>Grundwasser-WP dir. Warmwasser</t>
  </si>
  <si>
    <t>Wärmepumpe, Grundwasser, direkt, nur Warmwasser</t>
  </si>
  <si>
    <t>Grundwasser-WP, indir, Heizung</t>
  </si>
  <si>
    <t>Wärmepumpe, Grundwasser, indirekt, nur Heizung</t>
  </si>
  <si>
    <t>Grundwasser-WP, indir, Warmw.</t>
  </si>
  <si>
    <t>Wärmepumpe, Grundwasser, indirekt, nur Warmwaser</t>
  </si>
  <si>
    <t>Erdregister-WP, Heizung</t>
  </si>
  <si>
    <t>Wärmepumpe Erdregister, nur Heizung</t>
  </si>
  <si>
    <t>Erdregister-WP, Warmwasser</t>
  </si>
  <si>
    <t>Wärmepumpe Erdregister, nur Warmwasser</t>
  </si>
  <si>
    <t>Solarenergie thermisch, Heizung</t>
  </si>
  <si>
    <t>Solarenergie thermisch, nur Heizung</t>
  </si>
  <si>
    <t>Solarenergie therm. Warmwasser</t>
  </si>
  <si>
    <t>Solarenergie thermisch, nur Warmwasser</t>
  </si>
  <si>
    <t>Solarenergie Heizung + WW</t>
  </si>
  <si>
    <t>Solarenergie thermisch, Heizung + WW</t>
  </si>
  <si>
    <t>Warmhaltebänder</t>
  </si>
  <si>
    <t>Abwärme aus Klimakälte</t>
  </si>
  <si>
    <t>Abwärme aus Gewerbekälte oder EDV</t>
  </si>
  <si>
    <t>Ab- / Zuluft-WP + WRG</t>
  </si>
  <si>
    <t>Lüftungsgerät mit Abluft / Zuluft - Wärmepumpe plus WRG</t>
  </si>
  <si>
    <t>Ab- / Zuluft-WP ohne WRG</t>
  </si>
  <si>
    <t>Lüftungsgerät mit Abluft / Zuluft - Wärmepumpe ohne WRG</t>
  </si>
  <si>
    <t>Abluft-Wärmepumpe ohne ZUL</t>
  </si>
  <si>
    <t>Lüftungsgerät mit Abluft-Wärmepumpe (keine Zuluft)</t>
  </si>
  <si>
    <t>Kompakt-WP + WRG</t>
  </si>
  <si>
    <t>Kompakt-WP mit Zu- &amp; Abluft / WW plus WRG</t>
  </si>
  <si>
    <t>Kompakt-WP ohne WRG, Heizteil</t>
  </si>
  <si>
    <t>Kompakt-WP mit Zu- &amp; Abluft / WW ohne WRG (nur Heizung)</t>
  </si>
  <si>
    <t>Kompakt-WP ohne WRG, WW</t>
  </si>
  <si>
    <t>Kompakt-WP mit Zu- &amp; Abluft / WW ohne WRG (nur WW)</t>
  </si>
  <si>
    <t>Biomasse, eingebunden</t>
  </si>
  <si>
    <t>Biomasse, hydraulisch eingebunden</t>
  </si>
  <si>
    <t>Fernwärme (&gt;75% nicht erneuerbar)</t>
  </si>
  <si>
    <t>Fernwärme (inkl. Abwärme aus KVA,ARA), &gt;75% nicht erneuerbar</t>
  </si>
  <si>
    <t>Fernwärme (&lt;=75% nicht erneuerbar)</t>
  </si>
  <si>
    <t>Fernwärme (inkl. Abwärme aus KVA,ARA), &lt;=75% nicht erneuerbar</t>
  </si>
  <si>
    <t>Fernwärme (&lt;=25% nicht erneuerbar)</t>
  </si>
  <si>
    <t>Fernwärme (inkl. Abwärme aus KVA,ARA), &lt;=25% nicht erneuerbar</t>
  </si>
  <si>
    <t>Gaswärmepumpe, Heizung</t>
  </si>
  <si>
    <t>Gaswärmepumpe, nur Heizung</t>
  </si>
  <si>
    <t>Gaswärmepumpe, Warmwasser</t>
  </si>
  <si>
    <t>Gaswärmepumpe, nur Warmwasser</t>
  </si>
  <si>
    <t>Standard</t>
  </si>
  <si>
    <t>Maximal</t>
  </si>
  <si>
    <t>2.1 Nutzungsgrad / JAZ Maximal</t>
  </si>
  <si>
    <t>Formel</t>
  </si>
  <si>
    <t>Tsd. Fr.</t>
  </si>
  <si>
    <t>Total Raumkosten auf 40 Jahre (5.4)</t>
  </si>
  <si>
    <t>Formular gültig bis:</t>
  </si>
  <si>
    <t>Raumkosten (Amortisationszeit 40 Jahre)</t>
  </si>
  <si>
    <t>Wärmeerzeuger, Warmwassererwärmer, Regelung, Brennstofflager, Oeltank, Abgasanlage, Umwälzpumpen, Gasleitung, Transport, Montage etc. Richtwerte können durch manuelle Eingabe übersteuert werden.</t>
  </si>
  <si>
    <t>Heizleistungsbedarf</t>
  </si>
  <si>
    <t>Heizgradtage Zürich Fluntern (Klimastation SMA, MeteoSchweiz)</t>
  </si>
  <si>
    <t>2. Heizungssysteme</t>
  </si>
  <si>
    <t>Energiebezugsfläche</t>
  </si>
  <si>
    <t>Energiepreise (Heizöl, Gas, Holz-Pellets)</t>
  </si>
  <si>
    <t>https://www.bfs.admin.ch/bfs/de/home/statistiken/preise/landesindex-konsumentenpreise/detailresultate.assetdetail.13407088.html</t>
  </si>
  <si>
    <t>Amortisationszeit (paritätische Lebensdauertabelle)</t>
  </si>
  <si>
    <t>https://intern.mieterverband.ch/ldt/objekte.php?Gid=1 (MV) oder https://ldt.innov8.ch/objekte.php?HEV=1&amp;Gid=1 (HEV)</t>
  </si>
  <si>
    <t>Investitionskosten Technik</t>
  </si>
  <si>
    <t xml:space="preserve">investitionskosten Bauseitige Arbeiten </t>
  </si>
  <si>
    <t>https://www.zh.ch/de/umwelt-tiere/energie/energiefoerderung.html</t>
  </si>
  <si>
    <t>Investitionskosten Erdwärmesonde, Elektrozuleitung</t>
  </si>
  <si>
    <t>Felder zum Auffüllen, sobald Daten verfügbar</t>
  </si>
  <si>
    <r>
      <t>Raumbedarf SIA 384/1 [m</t>
    </r>
    <r>
      <rPr>
        <b/>
        <vertAlign val="superscript"/>
        <sz val="9"/>
        <rFont val="Arial"/>
        <family val="2"/>
      </rPr>
      <t>3</t>
    </r>
    <r>
      <rPr>
        <b/>
        <sz val="9"/>
        <rFont val="Arial"/>
        <family val="2"/>
      </rPr>
      <t>]</t>
    </r>
  </si>
  <si>
    <t>Annuitätsfaktor-Prozentsatz =rmz(Zinssatz, Zeitraum, -1)</t>
  </si>
  <si>
    <t>gültig ab</t>
  </si>
  <si>
    <t>Stichtag der Erhebung</t>
  </si>
  <si>
    <t>zugrunde liegender Durchschnittszinssatz</t>
  </si>
  <si>
    <t>Kalkulationszinsatz (Referenzssinsatz gemäss VMWG): https://www.bwo.admin.ch/bwo/de/home/mietrecht/referenzzinssatz/entwicklung-referenzzinssatz-und-durchschnittszinssatz.html</t>
  </si>
  <si>
    <t>Aktueller Wert:</t>
  </si>
  <si>
    <t>https://www.bwo.admin.ch/bwo/de/home/mietrecht/referenzzinssatz/entwicklung-referenzzinssatz-und-durchschnittszinssatz.html</t>
  </si>
  <si>
    <t>Investitionskosten</t>
  </si>
  <si>
    <t>Honorare</t>
  </si>
  <si>
    <t>Leistung [kW]</t>
  </si>
  <si>
    <t>Technisches [CHF]</t>
  </si>
  <si>
    <t>Bauliches [CHF]</t>
  </si>
  <si>
    <t>Honorare [CHF]</t>
  </si>
  <si>
    <t>Leistung (range) [kW]</t>
  </si>
  <si>
    <t>3.1 Technisches</t>
  </si>
  <si>
    <t>3.1 Bauliches</t>
  </si>
  <si>
    <t>3.2 Honorare</t>
  </si>
  <si>
    <t>Stromverbraucherprofil</t>
  </si>
  <si>
    <t>1.1/1.5</t>
  </si>
  <si>
    <t>1.2 Stromverbrauchsprofil</t>
  </si>
  <si>
    <t>H6</t>
  </si>
  <si>
    <t>H7</t>
  </si>
  <si>
    <t>C7</t>
  </si>
  <si>
    <t>C3</t>
  </si>
  <si>
    <t>C4</t>
  </si>
  <si>
    <t>C5</t>
  </si>
  <si>
    <t>C6</t>
  </si>
  <si>
    <t>WP-Luft (i)</t>
  </si>
  <si>
    <t>WP-Luft (a)</t>
  </si>
  <si>
    <t>Unterschriften</t>
  </si>
  <si>
    <t>Name und Adresse bzw. Firmenstempel</t>
  </si>
  <si>
    <t>Ort, Datum, Unterschrift</t>
  </si>
  <si>
    <t>Nachweis erarbeitet durch</t>
  </si>
  <si>
    <t>Nachweisprüfung / Private Kontrolle</t>
  </si>
  <si>
    <t>Aktueller Wert</t>
  </si>
  <si>
    <r>
      <t>Durchschnitt der max. und eigentlichen CO</t>
    </r>
    <r>
      <rPr>
        <vertAlign val="subscript"/>
        <sz val="11"/>
        <rFont val="Calibri"/>
        <family val="2"/>
        <scheme val="minor"/>
      </rPr>
      <t>2</t>
    </r>
    <r>
      <rPr>
        <sz val="11"/>
        <rFont val="Calibri"/>
        <family val="2"/>
        <scheme val="minor"/>
      </rPr>
      <t>-Abgabe [Fr./t CO</t>
    </r>
    <r>
      <rPr>
        <vertAlign val="subscript"/>
        <sz val="11"/>
        <rFont val="Calibri"/>
        <family val="2"/>
        <scheme val="minor"/>
      </rPr>
      <t>2</t>
    </r>
    <r>
      <rPr>
        <sz val="11"/>
        <rFont val="Calibri"/>
        <family val="2"/>
        <scheme val="minor"/>
      </rPr>
      <t>]</t>
    </r>
  </si>
  <si>
    <t>H1</t>
  </si>
  <si>
    <t>H2</t>
  </si>
  <si>
    <t>H3</t>
  </si>
  <si>
    <t>H4</t>
  </si>
  <si>
    <t>H5</t>
  </si>
  <si>
    <t>H8</t>
  </si>
  <si>
    <t>C1</t>
  </si>
  <si>
    <t>C2</t>
  </si>
  <si>
    <t>Resultat für Berechnungsgrundlage</t>
  </si>
  <si>
    <t>Holzpellets [Rp./kWh exkl. MwSt.]</t>
  </si>
  <si>
    <t>Holzpellets [Rp./kWh inkl. aktueller MwSt.]</t>
  </si>
  <si>
    <t>bis 7</t>
  </si>
  <si>
    <t>ab 7 bis 28</t>
  </si>
  <si>
    <t>ab 28 bis 68</t>
  </si>
  <si>
    <t>ab 68 bis 190</t>
  </si>
  <si>
    <t>ab 190</t>
  </si>
  <si>
    <t>1)</t>
  </si>
  <si>
    <r>
      <t>Max. CO</t>
    </r>
    <r>
      <rPr>
        <vertAlign val="subscript"/>
        <sz val="11"/>
        <rFont val="Calibri"/>
        <family val="2"/>
        <scheme val="minor"/>
      </rPr>
      <t>2</t>
    </r>
    <r>
      <rPr>
        <sz val="11"/>
        <rFont val="Calibri"/>
        <family val="2"/>
        <scheme val="minor"/>
      </rPr>
      <t>-Abgabe laut Gesetz [Fr./t CO</t>
    </r>
    <r>
      <rPr>
        <vertAlign val="subscript"/>
        <sz val="11"/>
        <rFont val="Calibri"/>
        <family val="2"/>
        <scheme val="minor"/>
      </rPr>
      <t>2</t>
    </r>
    <r>
      <rPr>
        <sz val="11"/>
        <rFont val="Calibri"/>
        <family val="2"/>
        <scheme val="minor"/>
      </rPr>
      <t>]</t>
    </r>
    <r>
      <rPr>
        <vertAlign val="superscript"/>
        <sz val="11"/>
        <rFont val="Calibri"/>
        <family val="2"/>
        <scheme val="minor"/>
      </rPr>
      <t>1)</t>
    </r>
  </si>
  <si>
    <t>2)</t>
  </si>
  <si>
    <t>3)</t>
  </si>
  <si>
    <t>4)</t>
  </si>
  <si>
    <t>5)</t>
  </si>
  <si>
    <t>6)</t>
  </si>
  <si>
    <t>7)</t>
  </si>
  <si>
    <t>8)</t>
  </si>
  <si>
    <t>9)</t>
  </si>
  <si>
    <t>10)</t>
  </si>
  <si>
    <t>11)</t>
  </si>
  <si>
    <t>12)</t>
  </si>
  <si>
    <t>13)</t>
  </si>
  <si>
    <t>14)</t>
  </si>
  <si>
    <t>15)</t>
  </si>
  <si>
    <t>Quellen</t>
  </si>
  <si>
    <t>https://www.bafu.admin.ch/co2-abgabe, https://www.bafu.admin.ch/bafu/de/home/themen/klima/mitteilungen.msg-id-58016.html</t>
  </si>
  <si>
    <r>
      <t>CO</t>
    </r>
    <r>
      <rPr>
        <vertAlign val="subscript"/>
        <sz val="11"/>
        <rFont val="Calibri"/>
        <family val="2"/>
        <scheme val="minor"/>
      </rPr>
      <t>2</t>
    </r>
    <r>
      <rPr>
        <sz val="11"/>
        <rFont val="Calibri"/>
        <family val="2"/>
        <scheme val="minor"/>
      </rPr>
      <t>-Abgabe [Fr./t CO</t>
    </r>
    <r>
      <rPr>
        <vertAlign val="subscript"/>
        <sz val="11"/>
        <rFont val="Calibri"/>
        <family val="2"/>
        <scheme val="minor"/>
      </rPr>
      <t>2</t>
    </r>
    <r>
      <rPr>
        <sz val="11"/>
        <rFont val="Calibri"/>
        <family val="2"/>
        <scheme val="minor"/>
      </rPr>
      <t>]</t>
    </r>
    <r>
      <rPr>
        <vertAlign val="superscript"/>
        <sz val="11"/>
        <rFont val="Calibri"/>
        <family val="2"/>
        <scheme val="minor"/>
      </rPr>
      <t>2)</t>
    </r>
  </si>
  <si>
    <r>
      <t>CO</t>
    </r>
    <r>
      <rPr>
        <vertAlign val="subscript"/>
        <sz val="11"/>
        <rFont val="Calibri"/>
        <family val="2"/>
        <scheme val="minor"/>
      </rPr>
      <t>2</t>
    </r>
    <r>
      <rPr>
        <sz val="11"/>
        <rFont val="Calibri"/>
        <family val="2"/>
        <scheme val="minor"/>
      </rPr>
      <t>-Abgabe [Fr./l Heizöl]</t>
    </r>
    <r>
      <rPr>
        <vertAlign val="superscript"/>
        <sz val="11"/>
        <rFont val="Calibri"/>
        <family val="2"/>
        <scheme val="minor"/>
      </rPr>
      <t>3)</t>
    </r>
  </si>
  <si>
    <t>https://www.klimaneutral-handeln.de/php/kompens-berechnen.php 1 Liter Heizöl =&gt; 2.9 kg CO2</t>
  </si>
  <si>
    <r>
      <t>CO</t>
    </r>
    <r>
      <rPr>
        <vertAlign val="subscript"/>
        <sz val="11"/>
        <rFont val="Calibri"/>
        <family val="2"/>
        <scheme val="minor"/>
      </rPr>
      <t>2</t>
    </r>
    <r>
      <rPr>
        <sz val="11"/>
        <rFont val="Calibri"/>
        <family val="2"/>
        <scheme val="minor"/>
      </rPr>
      <t>-Abgabe [Fr./kWh Erdgas]</t>
    </r>
    <r>
      <rPr>
        <vertAlign val="superscript"/>
        <sz val="11"/>
        <rFont val="Calibri"/>
        <family val="2"/>
        <scheme val="minor"/>
      </rPr>
      <t>4)</t>
    </r>
  </si>
  <si>
    <t>https://www.klimaneutral-handeln.de/php/kompens-berechnen.php 1 kWh Erdgas =&gt; 0.22 kg CO2</t>
  </si>
  <si>
    <r>
      <t>MwSt. [%]</t>
    </r>
    <r>
      <rPr>
        <vertAlign val="superscript"/>
        <sz val="11"/>
        <rFont val="Calibri"/>
        <family val="2"/>
        <scheme val="minor"/>
      </rPr>
      <t>5)</t>
    </r>
  </si>
  <si>
    <t>https://www.estv.admin.ch/estv/de/home/mehrwertsteuer/fachinformationen/steuersaetze/entwicklung-mwst.html</t>
  </si>
  <si>
    <r>
      <t>Teuerungsindex [%]</t>
    </r>
    <r>
      <rPr>
        <vertAlign val="superscript"/>
        <sz val="11"/>
        <rFont val="Calibri"/>
        <family val="2"/>
        <scheme val="minor"/>
      </rPr>
      <t>6)</t>
    </r>
  </si>
  <si>
    <r>
      <t>Landesindex der Konsumentengüter (Sep 1966=100)</t>
    </r>
    <r>
      <rPr>
        <vertAlign val="superscript"/>
        <sz val="11"/>
        <rFont val="Calibri"/>
        <family val="2"/>
        <scheme val="minor"/>
      </rPr>
      <t>6)</t>
    </r>
  </si>
  <si>
    <r>
      <t>Strompreis (H2)</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</si>
  <si>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(H2)</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</si>
  <si>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(H3)</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</si>
  <si>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(H3)</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</si>
  <si>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(H4)</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</si>
  <si>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(H4)</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</si>
  <si>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(H5)</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</si>
  <si>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(H5)</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</si>
  <si>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(H6)</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</si>
  <si>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(H6)</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</si>
  <si>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(H7)</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</si>
  <si>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(H7)</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</si>
  <si>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(H8)</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</si>
  <si>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(H8)</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</si>
  <si>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(C1)</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</si>
  <si>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(C1)</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</si>
  <si>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(C2)</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</si>
  <si>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(C2)</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</si>
  <si>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(C3)</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</si>
  <si>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(C3)</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</si>
  <si>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(C4)</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</si>
  <si>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(C4)</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</si>
  <si>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(C5)</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</si>
  <si>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(C5)</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</si>
  <si>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Strompreis (C6)</t>
    </r>
    <r>
      <rPr>
        <vertAlign val="superscript"/>
        <sz val="11"/>
        <color theme="9" tint="-0.249977111117893"/>
        <rFont val="Calibri"/>
        <family val="2"/>
        <scheme val="minor"/>
      </rPr>
      <t>7)</t>
    </r>
    <r>
      <rPr>
        <sz val="11"/>
        <color theme="9" tint="-0.249977111117893"/>
        <rFont val="Calibri"/>
        <family val="2"/>
        <scheme val="minor"/>
      </rPr>
      <t xml:space="preserve"> [Rp./kWh exkl. MwSt.]</t>
    </r>
    <r>
      <rPr>
        <vertAlign val="superscript"/>
        <sz val="11"/>
        <color theme="9" tint="-0.249977111117893"/>
        <rFont val="Calibri"/>
        <family val="2"/>
        <scheme val="minor"/>
      </rPr>
      <t>8)</t>
    </r>
  </si>
  <si>
    <r>
      <t>Strompreis (C6)</t>
    </r>
    <r>
      <rPr>
        <vertAlign val="superscript"/>
        <sz val="11"/>
        <color theme="9" tint="-0.249977111117893"/>
        <rFont val="Calibri"/>
        <family val="2"/>
        <scheme val="minor"/>
      </rPr>
      <t>7)</t>
    </r>
    <r>
      <rPr>
        <sz val="11"/>
        <color theme="9" tint="-0.249977111117893"/>
        <rFont val="Calibri"/>
        <family val="2"/>
        <scheme val="minor"/>
      </rPr>
      <t xml:space="preserve"> [Rp./kWh inkl. aktueller MwSt.]</t>
    </r>
  </si>
  <si>
    <r>
      <t>Holzpellets [Fr./6000 kg inkl. MwSt.]</t>
    </r>
    <r>
      <rPr>
        <vertAlign val="superscript"/>
        <sz val="11"/>
        <color rgb="FF7030A0"/>
        <rFont val="Calibri"/>
        <family val="2"/>
        <scheme val="minor"/>
      </rPr>
      <t>9)</t>
    </r>
  </si>
  <si>
    <r>
      <t>Holzpellets [Rp./kWh inkl. MwSt.]</t>
    </r>
    <r>
      <rPr>
        <vertAlign val="superscript"/>
        <sz val="11"/>
        <color rgb="FF7030A0"/>
        <rFont val="Calibri"/>
        <family val="2"/>
        <scheme val="minor"/>
      </rPr>
      <t>10)</t>
    </r>
  </si>
  <si>
    <t>Heizwert von Holzpellets = 4.8 kWh/kg https://www.effizienzhaus-online.de/heizwert-von-pellets/#:~:text=Der%20Heizwert%20von%20Holzpellets%20liegt,Pellets%20etwa%20einem%20Liter%20Heiz%C3%B6l.</t>
  </si>
  <si>
    <t>Erfahrungswerte von Andreas Keel, Holzenergie Schweiz</t>
  </si>
  <si>
    <r>
      <t>Heizöl (6'001-9'000 l) [Fr./100 l inkl. MwSt. und inkl. CO</t>
    </r>
    <r>
      <rPr>
        <vertAlign val="subscript"/>
        <sz val="11"/>
        <color theme="7" tint="-0.249977111117893"/>
        <rFont val="Calibri"/>
        <family val="2"/>
        <scheme val="minor"/>
      </rPr>
      <t>2</t>
    </r>
    <r>
      <rPr>
        <sz val="11"/>
        <color theme="7" tint="-0.249977111117893"/>
        <rFont val="Calibri"/>
        <family val="2"/>
        <scheme val="minor"/>
      </rPr>
      <t>-Abgabe]</t>
    </r>
    <r>
      <rPr>
        <vertAlign val="superscript"/>
        <sz val="11"/>
        <color theme="7" tint="-0.249977111117893"/>
        <rFont val="Calibri"/>
        <family val="2"/>
        <scheme val="minor"/>
      </rPr>
      <t>9)</t>
    </r>
  </si>
  <si>
    <r>
      <t>Heizöl (6'001-9'000 l) [Fr./100 l inkl. MwSt. und exkl. CO</t>
    </r>
    <r>
      <rPr>
        <vertAlign val="subscript"/>
        <sz val="11"/>
        <color theme="7" tint="-0.249977111117893"/>
        <rFont val="Calibri"/>
        <family val="2"/>
        <scheme val="minor"/>
      </rPr>
      <t>2</t>
    </r>
    <r>
      <rPr>
        <sz val="11"/>
        <color theme="7" tint="-0.249977111117893"/>
        <rFont val="Calibri"/>
        <family val="2"/>
        <scheme val="minor"/>
      </rPr>
      <t>-Abgabe]</t>
    </r>
    <r>
      <rPr>
        <vertAlign val="superscript"/>
        <sz val="11"/>
        <color theme="7" tint="-0.249977111117893"/>
        <rFont val="Calibri"/>
        <family val="2"/>
        <scheme val="minor"/>
      </rPr>
      <t>9)</t>
    </r>
  </si>
  <si>
    <r>
      <t>Heizöl (6'001-9'000 l) [Fr./100 l exkl. MwSt. und exkl. CO</t>
    </r>
    <r>
      <rPr>
        <vertAlign val="subscript"/>
        <sz val="11"/>
        <color theme="7" tint="-0.249977111117893"/>
        <rFont val="Calibri"/>
        <family val="2"/>
        <scheme val="minor"/>
      </rPr>
      <t>2</t>
    </r>
    <r>
      <rPr>
        <sz val="11"/>
        <color theme="7" tint="-0.249977111117893"/>
        <rFont val="Calibri"/>
        <family val="2"/>
        <scheme val="minor"/>
      </rPr>
      <t>-Abgabe]</t>
    </r>
    <r>
      <rPr>
        <vertAlign val="superscript"/>
        <sz val="11"/>
        <color theme="7" tint="-0.249977111117893"/>
        <rFont val="Calibri"/>
        <family val="2"/>
        <scheme val="minor"/>
      </rPr>
      <t>9)</t>
    </r>
  </si>
  <si>
    <r>
      <t>Heizöl (6'001-9'000 l) [Fr./100 l exkl. MwSt. und inkl. aktueller Durchschnitts-CO</t>
    </r>
    <r>
      <rPr>
        <vertAlign val="subscript"/>
        <sz val="11"/>
        <color theme="7" tint="-0.249977111117893"/>
        <rFont val="Calibri"/>
        <family val="2"/>
        <scheme val="minor"/>
      </rPr>
      <t>2</t>
    </r>
    <r>
      <rPr>
        <sz val="11"/>
        <color theme="7" tint="-0.249977111117893"/>
        <rFont val="Calibri"/>
        <family val="2"/>
        <scheme val="minor"/>
      </rPr>
      <t>-Abgabe]</t>
    </r>
    <r>
      <rPr>
        <vertAlign val="superscript"/>
        <sz val="11"/>
        <color theme="7" tint="-0.249977111117893"/>
        <rFont val="Calibri"/>
        <family val="2"/>
        <scheme val="minor"/>
      </rPr>
      <t>9)</t>
    </r>
  </si>
  <si>
    <r>
      <t>Heizöl (6'001-9'000 l) [Fr./100 l inkl. aktueller MwSt. und inkl. aktueller Durchschnitts-CO</t>
    </r>
    <r>
      <rPr>
        <vertAlign val="subscript"/>
        <sz val="11"/>
        <color theme="7" tint="-0.249977111117893"/>
        <rFont val="Calibri"/>
        <family val="2"/>
        <scheme val="minor"/>
      </rPr>
      <t>2</t>
    </r>
    <r>
      <rPr>
        <sz val="11"/>
        <color theme="7" tint="-0.249977111117893"/>
        <rFont val="Calibri"/>
        <family val="2"/>
        <scheme val="minor"/>
      </rPr>
      <t>-Abgabe]</t>
    </r>
    <r>
      <rPr>
        <vertAlign val="superscript"/>
        <sz val="11"/>
        <color theme="7" tint="-0.249977111117893"/>
        <rFont val="Calibri"/>
        <family val="2"/>
        <scheme val="minor"/>
      </rPr>
      <t>9)</t>
    </r>
  </si>
  <si>
    <r>
      <t>Heizöl (6'001-9'000 l) [Rp./kWh inkl. aktueller MwSt. und inkl. aktueller Durchschnitts-CO</t>
    </r>
    <r>
      <rPr>
        <vertAlign val="subscript"/>
        <sz val="11"/>
        <color theme="7" tint="-0.249977111117893"/>
        <rFont val="Calibri"/>
        <family val="2"/>
        <scheme val="minor"/>
      </rPr>
      <t>2</t>
    </r>
    <r>
      <rPr>
        <sz val="11"/>
        <color theme="7" tint="-0.249977111117893"/>
        <rFont val="Calibri"/>
        <family val="2"/>
        <scheme val="minor"/>
      </rPr>
      <t>-Abgabe]</t>
    </r>
    <r>
      <rPr>
        <vertAlign val="superscript"/>
        <sz val="11"/>
        <color theme="7" tint="-0.249977111117893"/>
        <rFont val="Calibri"/>
        <family val="2"/>
        <scheme val="minor"/>
      </rPr>
      <t>9)12)</t>
    </r>
  </si>
  <si>
    <t>Der Energiegehalt von 100l Heizöl ist (0.0426 TJ/t * 0.84 t/m3 * 0.13 m3/l * 100l =) 0.0035784 TJ, dies entspricht 994 kWh</t>
  </si>
  <si>
    <r>
      <t>Gaspreis (20'000 kWh) [Fr./kWh inkl. MwSt. und inkl. CO</t>
    </r>
    <r>
      <rPr>
        <vertAlign val="subscript"/>
        <sz val="11"/>
        <color theme="8" tint="-0.249977111117893"/>
        <rFont val="Calibri"/>
        <family val="2"/>
        <scheme val="minor"/>
      </rPr>
      <t>2</t>
    </r>
    <r>
      <rPr>
        <sz val="11"/>
        <color theme="8" tint="-0.249977111117893"/>
        <rFont val="Calibri"/>
        <family val="2"/>
        <scheme val="minor"/>
      </rPr>
      <t>-Abgabe]</t>
    </r>
    <r>
      <rPr>
        <vertAlign val="superscript"/>
        <sz val="11"/>
        <color theme="8" tint="-0.249977111117893"/>
        <rFont val="Calibri"/>
        <family val="2"/>
        <scheme val="minor"/>
      </rPr>
      <t>9)</t>
    </r>
  </si>
  <si>
    <r>
      <t>Gaspreis (20'000 kWh) [Fr./kWh inkl. MwSt. und exkl. CO</t>
    </r>
    <r>
      <rPr>
        <vertAlign val="subscript"/>
        <sz val="11"/>
        <color theme="8" tint="-0.249977111117893"/>
        <rFont val="Calibri"/>
        <family val="2"/>
        <scheme val="minor"/>
      </rPr>
      <t>2</t>
    </r>
    <r>
      <rPr>
        <sz val="11"/>
        <color theme="8" tint="-0.249977111117893"/>
        <rFont val="Calibri"/>
        <family val="2"/>
        <scheme val="minor"/>
      </rPr>
      <t>-Abgabe]</t>
    </r>
    <r>
      <rPr>
        <vertAlign val="superscript"/>
        <sz val="11"/>
        <color theme="8" tint="-0.249977111117893"/>
        <rFont val="Calibri"/>
        <family val="2"/>
        <scheme val="minor"/>
      </rPr>
      <t>9)</t>
    </r>
  </si>
  <si>
    <r>
      <t>Gaspreis (20'000 kWh) [Fr./kWh exkl. MwSt. und exkl. CO</t>
    </r>
    <r>
      <rPr>
        <vertAlign val="subscript"/>
        <sz val="11"/>
        <color theme="8" tint="-0.249977111117893"/>
        <rFont val="Calibri"/>
        <family val="2"/>
        <scheme val="minor"/>
      </rPr>
      <t>2</t>
    </r>
    <r>
      <rPr>
        <sz val="11"/>
        <color theme="8" tint="-0.249977111117893"/>
        <rFont val="Calibri"/>
        <family val="2"/>
        <scheme val="minor"/>
      </rPr>
      <t>-Abgabe]</t>
    </r>
    <r>
      <rPr>
        <vertAlign val="superscript"/>
        <sz val="11"/>
        <color theme="8" tint="-0.249977111117893"/>
        <rFont val="Calibri"/>
        <family val="2"/>
        <scheme val="minor"/>
      </rPr>
      <t>9)</t>
    </r>
  </si>
  <si>
    <r>
      <t>Gaspreis (20'000 kWh) [Fr./kWh exkl. MwSt. und inkl. Aktueller Durchschnitts-CO</t>
    </r>
    <r>
      <rPr>
        <vertAlign val="subscript"/>
        <sz val="11"/>
        <color theme="8" tint="-0.249977111117893"/>
        <rFont val="Calibri"/>
        <family val="2"/>
        <scheme val="minor"/>
      </rPr>
      <t>2</t>
    </r>
    <r>
      <rPr>
        <sz val="11"/>
        <color theme="8" tint="-0.249977111117893"/>
        <rFont val="Calibri"/>
        <family val="2"/>
        <scheme val="minor"/>
      </rPr>
      <t>-Abgabe]</t>
    </r>
    <r>
      <rPr>
        <vertAlign val="superscript"/>
        <sz val="11"/>
        <color theme="8" tint="-0.249977111117893"/>
        <rFont val="Calibri"/>
        <family val="2"/>
        <scheme val="minor"/>
      </rPr>
      <t>9)</t>
    </r>
  </si>
  <si>
    <r>
      <t>Gaspreis (20'000 kWh) [Fr./kWh inkl. MwSt. und inkl. Aktueller Durchschnitts-CO</t>
    </r>
    <r>
      <rPr>
        <vertAlign val="subscript"/>
        <sz val="11"/>
        <color theme="8" tint="-0.249977111117893"/>
        <rFont val="Calibri"/>
        <family val="2"/>
        <scheme val="minor"/>
      </rPr>
      <t>2</t>
    </r>
    <r>
      <rPr>
        <sz val="11"/>
        <color theme="8" tint="-0.249977111117893"/>
        <rFont val="Calibri"/>
        <family val="2"/>
        <scheme val="minor"/>
      </rPr>
      <t>-Abgabe]</t>
    </r>
    <r>
      <rPr>
        <vertAlign val="superscript"/>
        <sz val="11"/>
        <color theme="8" tint="-0.249977111117893"/>
        <rFont val="Calibri"/>
        <family val="2"/>
        <scheme val="minor"/>
      </rPr>
      <t>9)</t>
    </r>
  </si>
  <si>
    <t>3.1 Bauliches 
(gerundet auf Tsd)</t>
  </si>
  <si>
    <t>3.1 Technik 
(gerundet auf Tsd)</t>
  </si>
  <si>
    <t>3.2 Honorare 
(gerundet auf Tsd)</t>
  </si>
  <si>
    <t>Gleich wie Heizölpreis (Quelle 9))</t>
  </si>
  <si>
    <t>Strom wird in Verbrauchskategorien angegeben: Verbrauchsprofile typischer Haushalte:
H1: 1'600 kWh/Jahr: 2-Zimmerwohnung mit Elektroherd
H2: 2'500 kWh/Jahr: 4-Zimmerwohnung mit Elektroherd
H3: 4'500 kWh/Jahr: 4-Zimmerwohnung mit Elektroherd und Elektroboiler
H4: 4'500 kWh/Jahr: 5-Zimmerwohnung mit Elektroherd und Tumbler (ohne Elektroboiler)
H5: 7'500 kWh/Jahr: 5-Zimmer-Einfamilienhaus mit Elektroherd, Elektroboiler und Tumbler
H6: 25'000 kWh/Jahr: 5-Zimmer-Einfamilienhaus mit Elektroherd, Elektroboiler, Tumbler und mit elektrischer Widerstandsheizung -&gt; Berechnungsgrundlage
H7: 13'000 kWh/Jahr: 5-Zimmer-Einfamilienhaus mit Elektroherd, Elektroboiler, Tumbler, Wärmepumpe 5 kW zur Beheizung
H8: 7'500 kWh/Jahr: Grosse, hoch elektrifizierte Eigentumswohnung
Verbrauchsprofile von Gewerbe- und Industriebetrieben:
C1: 8'000 kWh/Jahr: Kleinstbetrieb, max. beanspruchte Leistung: 8 kW
C2: 30'000 kWh/Jahr: Kleinbetrieb, max. beanspruchte Leistung: 15 kW
C3: 150'000 kWh/Jahr: Mittlerer Betrieb, max. beanspruchte Leistung: 50 kW
C4: 500'000 kWh/Jahr: Grosser Betrieb , max. beanspruchte Leistung: 150 kW, Niederspannung
C5: 500'000 kWh/Jahr: Grosser Betrieb, max. beanspruchte Leistung: 150 kW, Mittelspannung, eigene Transformatorenstation
C6: 1'500'000 kWh/Jahr: Grosser Betrieb, max. beanspruchte Leistung: 400 kW, Mittelspannung, eigene Transformatorenstation
C7: 7'500'000 kWh/Jahr: Grosser Betrieb, max. beanspruchte Leistung: 1'630 kW, Mittelspannung, eigene Transformatorenstation</t>
  </si>
  <si>
    <t>Ergebnisse für:</t>
  </si>
  <si>
    <t>K.A.</t>
  </si>
  <si>
    <r>
      <t>Holzschnitzel [für 190 kW Kesselleistung, Rp./kWh exkl. MwSt.]</t>
    </r>
    <r>
      <rPr>
        <vertAlign val="superscript"/>
        <sz val="11"/>
        <color rgb="FF002060"/>
        <rFont val="Calibri"/>
        <family val="2"/>
        <scheme val="minor"/>
      </rPr>
      <t>11)</t>
    </r>
  </si>
  <si>
    <t>Holzschnitzel [für 190 kW Kesselleistung, Rp./kWh inkl. aktueller MwSt.]</t>
  </si>
  <si>
    <t>Förderbeitrag berechnet aus dem kantonalen Fördermodell. Bei der Fernwärme können die Förderbeiträge abweichen (evtl. von Netzbetreiber beansprucht). In diesem Fall Beitrag in hellgelbes Feld eintragen.</t>
  </si>
  <si>
    <t>Erdwärmesonde, Elektrozuleitung, Fernwärme</t>
  </si>
  <si>
    <t>Elektrozuleitung bei WP-Anlagen prüfen! Richtwerte können durch manuelle Eingabe übersteuert werden. Bei Fernwärme: Anschlussgebühren und Unterstation.</t>
  </si>
  <si>
    <r>
      <t>1.5 Warmwasserbedarf nach SIA380/1 [kWh/m</t>
    </r>
    <r>
      <rPr>
        <b/>
        <vertAlign val="superscript"/>
        <sz val="9"/>
        <color theme="1"/>
        <rFont val="Arial"/>
        <family val="2"/>
      </rPr>
      <t>2</t>
    </r>
    <r>
      <rPr>
        <b/>
        <sz val="9"/>
        <color theme="1"/>
        <rFont val="Arial"/>
        <family val="2"/>
      </rPr>
      <t>a]</t>
    </r>
  </si>
  <si>
    <t>kWh/m²a</t>
  </si>
  <si>
    <t>Warmwasserbedarf nach SIA 380/1 Ausgabe 2016</t>
  </si>
  <si>
    <t>4.1 Erdsonde / Elektrozuleitung / Anschlussgebühren FW</t>
  </si>
  <si>
    <t>4.1 Erdwärmesonde / Elektrozuleitung / Anschluss Fernwärme
(gerundet auf Tsd)</t>
  </si>
  <si>
    <t>Erdsonde / Elektrozuleitung / Anschlussgebühren FW [CHF]</t>
  </si>
  <si>
    <t>Hypothekarischer Referenzzinssatz bei Mietverhältnissen</t>
  </si>
  <si>
    <t>Preise für Fernwärme EKZ</t>
  </si>
  <si>
    <t>Erdsonde/…/Anschlussg.</t>
  </si>
  <si>
    <t>Berechnungsgrundlagen - Stützwerte</t>
  </si>
  <si>
    <t xml:space="preserve">Berechnung der linearen Regression y= ax+b mit  a:Steigung  b:Achsenabschnitt </t>
  </si>
  <si>
    <t>b</t>
  </si>
  <si>
    <t>a</t>
  </si>
  <si>
    <t xml:space="preserve"> kW Heizleistungsbedarf</t>
  </si>
  <si>
    <t>Kostenformeln ausgewertet bei diesem Heizleistungsbedarf</t>
  </si>
  <si>
    <t>Log-Journal zu dieser Datei</t>
  </si>
  <si>
    <t>Datum</t>
  </si>
  <si>
    <t>Wer</t>
  </si>
  <si>
    <t>Version</t>
  </si>
  <si>
    <t>Änderung</t>
  </si>
  <si>
    <t>Form.gültig</t>
  </si>
  <si>
    <t xml:space="preserve">Gültig bis: </t>
  </si>
  <si>
    <t xml:space="preserve">Version: </t>
  </si>
  <si>
    <t>Letzte Revision:</t>
  </si>
  <si>
    <t>Objekt</t>
  </si>
  <si>
    <r>
      <t>Landesindex der Konsumentengüter (Mai 2000=100)</t>
    </r>
    <r>
      <rPr>
        <vertAlign val="superscript"/>
        <sz val="11"/>
        <rFont val="Calibri"/>
        <family val="2"/>
        <scheme val="minor"/>
      </rPr>
      <t>6)</t>
    </r>
  </si>
  <si>
    <t>https://www.bfs.admin.ch/asset/de/cc-d-05.02.08   resp.     https://www.bfs.admin.ch/bfs/de/home/statistiken/preise/landesindex-konsumentenpreise.assetdetail.13407072.html</t>
  </si>
  <si>
    <t>https://www.bfs.admin.ch/asset/de/su-d-05.02.91    resp.      https://www.bfs.admin.ch/bfs/de/home/statistiken/preise/landesindex-konsumentenpreise/detailresultate.assetdetail.13407088.html</t>
  </si>
  <si>
    <t xml:space="preserve"> </t>
  </si>
  <si>
    <t>Voraussichtlicher Förderbeitrag (Gemeinde)</t>
  </si>
  <si>
    <t>Voraussichtlicher Förderbeitrag (Kanton)</t>
  </si>
  <si>
    <t>Förderbeitrag von der Gemeinde (meistens mit der Förderung des Kantons kombinierbar).</t>
  </si>
  <si>
    <t>Voraussichtlicher Förderbeitrag (Weitere)</t>
  </si>
  <si>
    <t>Förderbeitrag von Weiteren (bspw. Energie Zukunft Schweiz AG oder MyClimate). Diese Förderung ist meistens nicht mit der Förderung des Kantons kombinierbar. In diesem Fall bitte Förderung des Kantons im hellgelben Feld auf 0 setzen.</t>
  </si>
  <si>
    <t>Elektro, Baumeister etc. Richtwerte können durch manuelle Eingabe in das gelbe Feld übersteuert werden.</t>
  </si>
  <si>
    <t>3./4./5.</t>
  </si>
  <si>
    <t>https://www.strompreis.elcom.admin.ch/</t>
  </si>
  <si>
    <t>https://www.strompreis.elcom.admin.ch/ (Preise = Totalpreise von Standardprodukt / ab 2018 Standartprodukt, vorher günstigstes Produkt)</t>
  </si>
  <si>
    <t>https://www.bafu.admin.ch/bafu/de/home/themen/klima/fachinformationen/verminderungsmassnahmen/co2-abgabe.html</t>
  </si>
  <si>
    <t>Technik und Bauliches (Standardwert / Nachweis)</t>
  </si>
  <si>
    <t>Honorare (Standardwert / Nachweis)</t>
  </si>
  <si>
    <t>25-50</t>
  </si>
  <si>
    <t>Heizleistung [kW]</t>
  </si>
  <si>
    <t>= (0.2 * Heizleistung + 5) * 2.4</t>
  </si>
  <si>
    <t>= 10 * 2.4</t>
  </si>
  <si>
    <t>50-70</t>
  </si>
  <si>
    <t>= (0.1 * Heizleistung + 10) * 2.8</t>
  </si>
  <si>
    <t>= (0.1 * Heizleistung + 10) * 2.4</t>
  </si>
  <si>
    <t>70-100</t>
  </si>
  <si>
    <t>100-250</t>
  </si>
  <si>
    <t>= (0.0667 * Heizleistung + 13.333) * 2.8</t>
  </si>
  <si>
    <t>250-500</t>
  </si>
  <si>
    <t>= (0.06 * Heizleistung + 15) * 2.8</t>
  </si>
  <si>
    <t>&gt; 500</t>
  </si>
  <si>
    <t>&lt; 25</t>
  </si>
  <si>
    <t>= (0.06 * Heizleistung + 15) * 3</t>
  </si>
  <si>
    <t>Heizleistungsbedarf [kW]</t>
  </si>
  <si>
    <t>= 15 * 2.4</t>
  </si>
  <si>
    <t>= (0.4 * Heizleistung + 5) * 2.4</t>
  </si>
  <si>
    <t>= (0.2 * Heizleistung + 15) * 2.4</t>
  </si>
  <si>
    <t>= (0.2 * Heizleistung + 15) * 2.8</t>
  </si>
  <si>
    <t>= (0.1667 * Heizleistung + 18.333) * 3</t>
  </si>
  <si>
    <t>&gt;250</t>
  </si>
  <si>
    <t>= (0.16 * Heizleistung + 20) * 3.5</t>
  </si>
  <si>
    <r>
      <t>Raumbedarf [m</t>
    </r>
    <r>
      <rPr>
        <vertAlign val="superscript"/>
        <sz val="9"/>
        <color theme="1"/>
        <rFont val="Arial"/>
        <family val="2"/>
      </rPr>
      <t>3</t>
    </r>
    <r>
      <rPr>
        <sz val="9"/>
        <color theme="1"/>
        <rFont val="Arial"/>
        <family val="2"/>
      </rPr>
      <t>]</t>
    </r>
  </si>
  <si>
    <t>3.5 Voraussichtlicher Förderbeitrag (Kanton)</t>
  </si>
  <si>
    <t>Vorgabe erfüllt mit folgender Massnahme</t>
  </si>
  <si>
    <t>= Faktor * Raumbedarf Gasheizung</t>
  </si>
  <si>
    <t>Formel Heizkessel</t>
  </si>
  <si>
    <t>Formel Raumbedarf</t>
  </si>
  <si>
    <t>= Heizleistung * 2000 / 10 / 1000 * 1.3</t>
  </si>
  <si>
    <r>
      <t>Raumbedarf + Heizkessel [m</t>
    </r>
    <r>
      <rPr>
        <vertAlign val="superscript"/>
        <sz val="9"/>
        <color theme="1"/>
        <rFont val="Arial"/>
        <family val="2"/>
      </rPr>
      <t>3</t>
    </r>
    <r>
      <rPr>
        <sz val="9"/>
        <color theme="1"/>
        <rFont val="Arial"/>
        <family val="2"/>
      </rPr>
      <t>]</t>
    </r>
  </si>
  <si>
    <t>Faktor für Umrechnung Raumbedarf Gasheizung zu Fernwärme, WP-Luft (a), WP-Wasser, WP-Sonde</t>
  </si>
  <si>
    <t>Gebäudeinformationen</t>
  </si>
  <si>
    <t>Gebäudeinformationen bereinigt</t>
  </si>
  <si>
    <t>EBF</t>
  </si>
  <si>
    <t>Energie-/Wärmequelle 1</t>
  </si>
  <si>
    <t>Energie-/Wärmequelle 2</t>
  </si>
  <si>
    <t>Adresse</t>
  </si>
  <si>
    <t>Bezeichnung des Bauvorhabens</t>
  </si>
  <si>
    <t>Code</t>
  </si>
  <si>
    <t>Keine</t>
  </si>
  <si>
    <t>Luft</t>
  </si>
  <si>
    <t>Luft-Wasser Wärmepumpe</t>
  </si>
  <si>
    <t>Erdwärme (generisch)</t>
  </si>
  <si>
    <t>Sole-Wasser Wärmepumpe</t>
  </si>
  <si>
    <t>Erdwärmesonde</t>
  </si>
  <si>
    <t>Andere</t>
  </si>
  <si>
    <t>Unbestimmt</t>
  </si>
  <si>
    <t>Erdregister</t>
  </si>
  <si>
    <t>Wasser (Grundwasser, Oberflächenwasser, Abwasser)</t>
  </si>
  <si>
    <t>Gas</t>
  </si>
  <si>
    <t>Heizöl</t>
  </si>
  <si>
    <t>Holz (generisch)</t>
  </si>
  <si>
    <t>Holz (Stückholz)</t>
  </si>
  <si>
    <t>Holz (Pellets)</t>
  </si>
  <si>
    <t>Holz (Schnitzel)</t>
  </si>
  <si>
    <t>Abwärme (innerhalb des Gebäudes)</t>
  </si>
  <si>
    <t>Elektrizität</t>
  </si>
  <si>
    <t>Sonne (thermisch)</t>
  </si>
  <si>
    <t>Fernwärme (generisch)</t>
  </si>
  <si>
    <t>Fernwärme (Hochtemperatur)</t>
  </si>
  <si>
    <t>Fernwärme (Niedertemperatur)</t>
  </si>
  <si>
    <t>Luft-Luft Wärmepumpe</t>
  </si>
  <si>
    <t>Ölheizung</t>
  </si>
  <si>
    <t>Holzheizung</t>
  </si>
  <si>
    <t>Stückholzheizung</t>
  </si>
  <si>
    <t>Pelletsheizung</t>
  </si>
  <si>
    <t>Schnitzelheizung</t>
  </si>
  <si>
    <t>Abwärme</t>
  </si>
  <si>
    <t>Elektroheizung</t>
  </si>
  <si>
    <t>Thermische Solaranlage</t>
  </si>
  <si>
    <t>Unbekannt</t>
  </si>
  <si>
    <t>Daten gemäss Eidg. Gebäude- und Wohnungsregister (GWR)</t>
  </si>
  <si>
    <t>= Nutzenergiebedarf / (5.5 kWh/kg * 600 kg/m³ * 0.7)</t>
  </si>
  <si>
    <t>Nutzenergiebedarf [kWh]</t>
  </si>
  <si>
    <t>alle</t>
  </si>
  <si>
    <t>= Nutzenergiebedarf / (1000 kWh/m³ * 0.7)</t>
  </si>
  <si>
    <t>Holzschnitzel [Rp./kWh inkl. aktueller MwSt.]</t>
  </si>
  <si>
    <r>
      <t>Holzschnitzel [Referenzpreis 2019 exkl. MwSt.]</t>
    </r>
    <r>
      <rPr>
        <vertAlign val="superscript"/>
        <sz val="11"/>
        <color rgb="FF002060"/>
        <rFont val="Calibri"/>
        <family val="2"/>
        <scheme val="minor"/>
      </rPr>
      <t>11)</t>
    </r>
  </si>
  <si>
    <t>20)</t>
  </si>
  <si>
    <r>
      <t>Holzschnitzel Preisindex Schnitzel</t>
    </r>
    <r>
      <rPr>
        <vertAlign val="superscript"/>
        <sz val="11"/>
        <color rgb="FF002060"/>
        <rFont val="Calibri"/>
        <family val="2"/>
        <scheme val="minor"/>
      </rPr>
      <t>20)</t>
    </r>
  </si>
  <si>
    <r>
      <t>Holzschnitzel [Rp./kWh exkl. MwSt.]</t>
    </r>
    <r>
      <rPr>
        <vertAlign val="superscript"/>
        <sz val="11"/>
        <color rgb="FF002060"/>
        <rFont val="Calibri"/>
        <family val="2"/>
        <scheme val="minor"/>
      </rPr>
      <t>21)</t>
    </r>
  </si>
  <si>
    <t>21)</t>
  </si>
  <si>
    <t>Berechnung des Holzschnitzelpreises anhand des Erfahrungswerte von Andreas Keel aus dem Jahr 2019 und mit Hilfe des Preisindex: Preis 2019 x Index aktuelles Jahr / Index 2019</t>
  </si>
  <si>
    <t>Wärmeerzeuger Heizung 1</t>
  </si>
  <si>
    <t>Wärmeerzeuger Heizung 2</t>
  </si>
  <si>
    <t>Wärmeerzeuger Warmwasser 1</t>
  </si>
  <si>
    <t>Energie-/Wärmequelle Warmwasser 1</t>
  </si>
  <si>
    <t>Wärmeerzeuger Warmwasser 2</t>
  </si>
  <si>
    <t xml:space="preserve">EGID Nummer: </t>
  </si>
  <si>
    <t xml:space="preserve">Wärmeerzeuger 1: </t>
  </si>
  <si>
    <t>Energiebezugsfläche [m²]:</t>
  </si>
  <si>
    <t xml:space="preserve">Wärmeerzeuger 2: </t>
  </si>
  <si>
    <t>Fernwärme, WP-Luft (a), WP-Sonde, WP-Wasser (einheitlich zur Vereinfachung)</t>
  </si>
  <si>
    <t>Nutzungsgrad / JAZ kann in hellgelben Feldern übersteuert werden. Falls die manuelle Eingabe den üblichen Maximalwert überschreitet, erscheint er in rot.</t>
  </si>
  <si>
    <t>Weitere Baukosten mit Amortisation 40 Jahre</t>
  </si>
  <si>
    <t>Studie Externer Auftrag</t>
  </si>
  <si>
    <t>HGT</t>
  </si>
  <si>
    <t>Merkblatt SIA 2028: 2010, Korrigenda 2015</t>
  </si>
  <si>
    <t>Falls EGID und Karte nicht angezeigt werden: Adresse ergänzen/ändern.</t>
  </si>
  <si>
    <t>Erdwärmesonde, Elektro-/Gaszuleitung auf 40 Jahre (4.1)</t>
  </si>
  <si>
    <t>Weitere Kosten (4.1)</t>
  </si>
  <si>
    <t>Weitere Kosten auf 40 Jahre (4.1)</t>
  </si>
  <si>
    <t>Freier Text</t>
  </si>
  <si>
    <t>Bezeichnung des Bauvorhabens (frei wählbar).</t>
  </si>
  <si>
    <t>"Strasse Nummer PLZ Ort" des Bauvorhabens.</t>
  </si>
  <si>
    <t>Gebäudekategorie wählen mit Pulldown-Menü.</t>
  </si>
  <si>
    <t>Heizleistungsbedarf (nach SIA 384/2 oder 384.201 wenn vorhanden).</t>
  </si>
  <si>
    <t>Manuelle Eingabe in hellgelbes Feld übersteuert automatische Berechnung (mit separatem Nachweis von Verbrauchszahlen vergangener Jahre zu belegen).</t>
  </si>
  <si>
    <t>Investitionskosten, die über 40 Jahre amortisiert werden (im Gegensatz zu Investitionen in Technisches, welche über 20 Jahre amortisiert werden), Beispiel: Sockel.</t>
  </si>
  <si>
    <t>Manuelle Eingabe mit separatem Nachweis belegen, ohne Eingabe wird mit Standard-Wert gerechnet.</t>
  </si>
  <si>
    <t>Holzenergie Schweiz, Erfahrungswerte, Kontakt: Andreas Keel (keel@holzenergie.ch) und Schnitzelindex</t>
  </si>
  <si>
    <t>Wärmeerzeuger</t>
  </si>
  <si>
    <t>Kein Wärmeerzeuger</t>
  </si>
  <si>
    <t>Wärmepumpe für ein Gebäude</t>
  </si>
  <si>
    <t>Wärmepumpe für mehrere Gebäude</t>
  </si>
  <si>
    <t>Thermische Solaranlage für ein Gebäude</t>
  </si>
  <si>
    <t>Thermische Solaranlage für mehrere Gebäude</t>
  </si>
  <si>
    <t>Heizkessel (generisch) für ein Gebäude</t>
  </si>
  <si>
    <t>Heizkessel (generisch) für mehrere Gebäude</t>
  </si>
  <si>
    <t>Heizkessel nicht kondensierend für ein Gebäude</t>
  </si>
  <si>
    <t>Heizkessel nicht kondensierend für mehrere Gebäude</t>
  </si>
  <si>
    <t>Heizkessel kondensierend für ein Gebäude</t>
  </si>
  <si>
    <t>Heizkessel kondensierend für mehrere Gebäude</t>
  </si>
  <si>
    <t>Ofen</t>
  </si>
  <si>
    <t>Wärmekraftkopplungsanlage für ein Gebäude</t>
  </si>
  <si>
    <t>Wärmekraftkopplungsanlage für mehrere Gebäude</t>
  </si>
  <si>
    <t>Elektrospeicher-Zentralheizung für ein Gebäude</t>
  </si>
  <si>
    <t>Elektrospeicher-Zentralheizung für mehrere Gebäude</t>
  </si>
  <si>
    <t>Wärmetauscher (einschliesslich für Fernwärme) für ein Gebäude</t>
  </si>
  <si>
    <t>Wärmetauscher (einschliesslich für Fernwärme) für mehrere Gebäude</t>
  </si>
  <si>
    <t>Heizsystem (Übersetzung)</t>
  </si>
  <si>
    <t>Resultat</t>
  </si>
  <si>
    <t>Übersetzung</t>
  </si>
  <si>
    <t>EGID_EDID</t>
  </si>
  <si>
    <t>Webseite GWR</t>
  </si>
  <si>
    <t>Energie-/Wärmequelle Heizung/Warmwasser</t>
  </si>
  <si>
    <t>Bemerkung: Die Ergebnisse in der oberen Tabelle sind nur Richtwerte. Die Übersetzung der Energie-/Wärmequellen kann unten nachgelesen werden.</t>
  </si>
  <si>
    <t>Nutzungsgrad / Jahresarbeitszahl (gemäss Formular EN101b EnDK) und FAWA Studie</t>
  </si>
  <si>
    <t>Quelle Formular EN101b EnDK</t>
  </si>
  <si>
    <t>Formular EN101b EnDK</t>
  </si>
  <si>
    <t>Annäherung: Wie Erdwärme Sonde</t>
  </si>
  <si>
    <t>Quelle FAWA Studie</t>
  </si>
  <si>
    <t>Variabel</t>
  </si>
  <si>
    <t>GWAERZH1</t>
  </si>
  <si>
    <t>GWAERZH2</t>
  </si>
  <si>
    <t>GENH1</t>
  </si>
  <si>
    <t>GENH2</t>
  </si>
  <si>
    <t>GWAERZW1</t>
  </si>
  <si>
    <t>GWAERZW2</t>
  </si>
  <si>
    <t>GENW1</t>
  </si>
  <si>
    <t>GENW2</t>
  </si>
  <si>
    <t>GEBF</t>
  </si>
  <si>
    <t>Resultat Text</t>
  </si>
  <si>
    <t>Wärmeerzeuger Heizung</t>
  </si>
  <si>
    <t>Wärmeerzeuger Warmwasser</t>
  </si>
  <si>
    <t>Wärmepumpe</t>
  </si>
  <si>
    <t>Heizkessel (generisch)</t>
  </si>
  <si>
    <t>Heizkessel nicht kondensierend</t>
  </si>
  <si>
    <t>Heizkessel kondensierend</t>
  </si>
  <si>
    <t>Wärmekraftkopplungsanlage</t>
  </si>
  <si>
    <t>Zentraler Elektroboiler</t>
  </si>
  <si>
    <t>Kleinboiler</t>
  </si>
  <si>
    <t>Wärmetauscher (einschliesslich für Fernwärme)</t>
  </si>
  <si>
    <t>Die Daten aus dem GWR dienen nur zur Überprüfung und als Richtwert.</t>
  </si>
  <si>
    <t>Resultat (code)</t>
  </si>
  <si>
    <t>gemäss Formular EN-101b EnDK (Version 2.0) und Studie FAWA – Feldanalyse von Wärmepumpen-Anlagen</t>
  </si>
  <si>
    <t>Jahreskosten</t>
  </si>
  <si>
    <t>Heizkosten</t>
  </si>
  <si>
    <t>Sys4</t>
  </si>
  <si>
    <t>Sys5</t>
  </si>
  <si>
    <t>Sys3</t>
  </si>
  <si>
    <t>Sys2</t>
  </si>
  <si>
    <t>Sys1</t>
  </si>
  <si>
    <t>Heizsystem</t>
  </si>
  <si>
    <t>Strompreis (C7)7) [Rp./kWh exkl. MwSt.]8)</t>
  </si>
  <si>
    <t>Strompreis (C7)7) [Rp./kWh inkl. aktueller MwSt.]</t>
  </si>
  <si>
    <t>Strompreis (H1)7) [Rp./kWh exkl. MwSt.]8)</t>
  </si>
  <si>
    <t>Strompreis (H1)7) [Rp./kWh inkl. aktueller MwSt.]</t>
  </si>
  <si>
    <t>https://www.holzenergie.ch/fachthemen/preisindex-schnitzel-und-holzpellets</t>
  </si>
  <si>
    <t>V1.0</t>
  </si>
  <si>
    <t>im</t>
  </si>
  <si>
    <t>Tool erhalten und übernommen vom AWEL Zürich</t>
  </si>
  <si>
    <t>v 1.0</t>
  </si>
  <si>
    <t>Erfüllung Massnahmen EnG Art. 11 Abs. 2</t>
  </si>
  <si>
    <t>Gemäss EnG Art. 11 Abs. 2 muss beim Wiedereinbau eines fossilen Wärmeerzeugers der fossile Verbrauch durch geeignete Effizienzmassnahmen der Gebäudehülle oder der Haustechnik reduziert werden. Die Massnahmen dazu sind in der EnV Art. 18 Abs. 2 beschrieben</t>
  </si>
  <si>
    <t>Welche Massnahme wird für die Erfüllung des EnG Art. 11 Abs.2  umgesetzt? Bitte mit einem Stichwort beschreiben.</t>
  </si>
  <si>
    <t>110% - Wert</t>
  </si>
  <si>
    <t>Heizgradtage Uri Altdorf (Klimastation SMA, MeteoSchweiz)</t>
  </si>
  <si>
    <t>Stromverbraucherprofil gemäss Stromabrechnung (wird automatisch anhand der Gebäudekategorie bestimmt, kann aber überschrieben werden).</t>
  </si>
  <si>
    <t>technisches</t>
  </si>
  <si>
    <t>bauliches</t>
  </si>
  <si>
    <r>
      <t>bis 70 kW</t>
    </r>
    <r>
      <rPr>
        <vertAlign val="subscript"/>
        <sz val="9"/>
        <color theme="1"/>
        <rFont val="Arial"/>
        <family val="2"/>
      </rPr>
      <t>th</t>
    </r>
    <r>
      <rPr>
        <sz val="9"/>
        <color theme="1"/>
        <rFont val="Arial"/>
        <family val="2"/>
      </rPr>
      <t xml:space="preserve"> [Fr.]</t>
    </r>
  </si>
  <si>
    <r>
      <t>bis 70 kW</t>
    </r>
    <r>
      <rPr>
        <vertAlign val="subscript"/>
        <sz val="9"/>
        <color theme="1"/>
        <rFont val="Arial"/>
        <family val="2"/>
      </rPr>
      <t>th</t>
    </r>
    <r>
      <rPr>
        <sz val="9"/>
        <color theme="1"/>
        <rFont val="Arial"/>
        <family val="2"/>
      </rPr>
      <t xml:space="preserve"> [Fr. pro kW</t>
    </r>
    <r>
      <rPr>
        <vertAlign val="subscript"/>
        <sz val="9"/>
        <color theme="1"/>
        <rFont val="Arial"/>
        <family val="2"/>
      </rPr>
      <t>th</t>
    </r>
    <r>
      <rPr>
        <sz val="9"/>
        <color theme="1"/>
        <rFont val="Arial"/>
        <family val="2"/>
      </rPr>
      <t>]</t>
    </r>
  </si>
  <si>
    <r>
      <t>ab 70 kW</t>
    </r>
    <r>
      <rPr>
        <vertAlign val="subscript"/>
        <sz val="9"/>
        <color theme="1"/>
        <rFont val="Arial"/>
        <family val="2"/>
      </rPr>
      <t>th</t>
    </r>
    <r>
      <rPr>
        <sz val="9"/>
        <color theme="1"/>
        <rFont val="Arial"/>
        <family val="2"/>
      </rPr>
      <t xml:space="preserve"> [Fr.]</t>
    </r>
  </si>
  <si>
    <r>
      <t>ab 70 kW</t>
    </r>
    <r>
      <rPr>
        <vertAlign val="subscript"/>
        <sz val="9"/>
        <color theme="1"/>
        <rFont val="Arial"/>
        <family val="2"/>
      </rPr>
      <t>th</t>
    </r>
    <r>
      <rPr>
        <sz val="9"/>
        <color theme="1"/>
        <rFont val="Arial"/>
        <family val="2"/>
      </rPr>
      <t xml:space="preserve"> [Fr. pro kW</t>
    </r>
    <r>
      <rPr>
        <vertAlign val="subscript"/>
        <sz val="9"/>
        <color theme="1"/>
        <rFont val="Arial"/>
        <family val="2"/>
      </rPr>
      <t>th</t>
    </r>
    <r>
      <rPr>
        <sz val="9"/>
        <color theme="1"/>
        <rFont val="Arial"/>
        <family val="2"/>
      </rPr>
      <t>]</t>
    </r>
  </si>
  <si>
    <r>
      <t>ab 500 kW</t>
    </r>
    <r>
      <rPr>
        <vertAlign val="subscript"/>
        <sz val="9"/>
        <color theme="1"/>
        <rFont val="Arial"/>
        <family val="2"/>
      </rPr>
      <t>th</t>
    </r>
    <r>
      <rPr>
        <sz val="9"/>
        <color theme="1"/>
        <rFont val="Arial"/>
        <family val="2"/>
      </rPr>
      <t xml:space="preserve"> [Fr.]</t>
    </r>
  </si>
  <si>
    <r>
      <t>ab 500 kW</t>
    </r>
    <r>
      <rPr>
        <vertAlign val="subscript"/>
        <sz val="9"/>
        <color theme="1"/>
        <rFont val="Arial"/>
        <family val="2"/>
      </rPr>
      <t>th</t>
    </r>
    <r>
      <rPr>
        <sz val="9"/>
        <color theme="1"/>
        <rFont val="Arial"/>
        <family val="2"/>
      </rPr>
      <t xml:space="preserve"> [Fr. pro kW</t>
    </r>
    <r>
      <rPr>
        <vertAlign val="subscript"/>
        <sz val="9"/>
        <color theme="1"/>
        <rFont val="Arial"/>
        <family val="2"/>
      </rPr>
      <t>th</t>
    </r>
    <r>
      <rPr>
        <sz val="9"/>
        <color theme="1"/>
        <rFont val="Arial"/>
        <family val="2"/>
      </rPr>
      <t>]</t>
    </r>
  </si>
  <si>
    <r>
      <t>bis 20 kW</t>
    </r>
    <r>
      <rPr>
        <vertAlign val="subscript"/>
        <sz val="9"/>
        <color theme="1"/>
        <rFont val="Arial"/>
        <family val="2"/>
      </rPr>
      <t>th</t>
    </r>
    <r>
      <rPr>
        <sz val="9"/>
        <color theme="1"/>
        <rFont val="Arial"/>
        <family val="2"/>
      </rPr>
      <t xml:space="preserve"> [Fr.]</t>
    </r>
  </si>
  <si>
    <r>
      <t>bis 20 kW</t>
    </r>
    <r>
      <rPr>
        <vertAlign val="subscript"/>
        <sz val="9"/>
        <color theme="1"/>
        <rFont val="Arial"/>
        <family val="2"/>
      </rPr>
      <t>th</t>
    </r>
    <r>
      <rPr>
        <sz val="9"/>
        <color theme="1"/>
        <rFont val="Arial"/>
        <family val="2"/>
      </rPr>
      <t xml:space="preserve"> [Fr. pro kW</t>
    </r>
    <r>
      <rPr>
        <vertAlign val="subscript"/>
        <sz val="9"/>
        <color theme="1"/>
        <rFont val="Arial"/>
        <family val="2"/>
      </rPr>
      <t>th</t>
    </r>
    <r>
      <rPr>
        <sz val="9"/>
        <color theme="1"/>
        <rFont val="Arial"/>
        <family val="2"/>
      </rPr>
      <t>]</t>
    </r>
  </si>
  <si>
    <r>
      <t>ab 20 kW</t>
    </r>
    <r>
      <rPr>
        <vertAlign val="subscript"/>
        <sz val="9"/>
        <color theme="1"/>
        <rFont val="Arial"/>
        <family val="2"/>
      </rPr>
      <t>th</t>
    </r>
    <r>
      <rPr>
        <sz val="9"/>
        <color theme="1"/>
        <rFont val="Arial"/>
        <family val="2"/>
      </rPr>
      <t xml:space="preserve"> [Fr.]</t>
    </r>
  </si>
  <si>
    <r>
      <t>bis 30 kW</t>
    </r>
    <r>
      <rPr>
        <vertAlign val="subscript"/>
        <sz val="9"/>
        <color theme="1"/>
        <rFont val="Arial"/>
        <family val="2"/>
      </rPr>
      <t>th</t>
    </r>
    <r>
      <rPr>
        <sz val="9"/>
        <color theme="1"/>
        <rFont val="Arial"/>
        <family val="2"/>
      </rPr>
      <t xml:space="preserve"> [Fr.]</t>
    </r>
  </si>
  <si>
    <r>
      <t>bis 30 kW</t>
    </r>
    <r>
      <rPr>
        <vertAlign val="subscript"/>
        <sz val="9"/>
        <color theme="1"/>
        <rFont val="Arial"/>
        <family val="2"/>
      </rPr>
      <t>th</t>
    </r>
    <r>
      <rPr>
        <sz val="9"/>
        <color theme="1"/>
        <rFont val="Arial"/>
        <family val="2"/>
      </rPr>
      <t xml:space="preserve"> [Fr. pro kW</t>
    </r>
    <r>
      <rPr>
        <vertAlign val="subscript"/>
        <sz val="9"/>
        <color theme="1"/>
        <rFont val="Arial"/>
        <family val="2"/>
      </rPr>
      <t>th</t>
    </r>
    <r>
      <rPr>
        <sz val="9"/>
        <color theme="1"/>
        <rFont val="Arial"/>
        <family val="2"/>
      </rPr>
      <t>]</t>
    </r>
  </si>
  <si>
    <r>
      <t>ab 30 kW</t>
    </r>
    <r>
      <rPr>
        <vertAlign val="subscript"/>
        <sz val="9"/>
        <color theme="1"/>
        <rFont val="Arial"/>
        <family val="2"/>
      </rPr>
      <t>th</t>
    </r>
    <r>
      <rPr>
        <sz val="9"/>
        <color theme="1"/>
        <rFont val="Arial"/>
        <family val="2"/>
      </rPr>
      <t xml:space="preserve"> [Fr.]</t>
    </r>
  </si>
  <si>
    <t>Stückholz</t>
  </si>
  <si>
    <t>Pauschal [Fr.]</t>
  </si>
  <si>
    <t>[Fr.]</t>
  </si>
  <si>
    <r>
      <t>ab 20 kW</t>
    </r>
    <r>
      <rPr>
        <vertAlign val="subscript"/>
        <sz val="9"/>
        <color theme="1"/>
        <rFont val="Arial"/>
        <family val="2"/>
      </rPr>
      <t>th</t>
    </r>
    <r>
      <rPr>
        <sz val="9"/>
        <color theme="1"/>
        <rFont val="Arial"/>
        <family val="2"/>
      </rPr>
      <t xml:space="preserve"> [Fr. pro zusätzliches kW</t>
    </r>
    <r>
      <rPr>
        <vertAlign val="subscript"/>
        <sz val="9"/>
        <color theme="1"/>
        <rFont val="Arial"/>
        <family val="2"/>
      </rPr>
      <t>th</t>
    </r>
    <r>
      <rPr>
        <sz val="9"/>
        <color theme="1"/>
        <rFont val="Arial"/>
        <family val="2"/>
      </rPr>
      <t>]</t>
    </r>
  </si>
  <si>
    <r>
      <t>ab 30 kW</t>
    </r>
    <r>
      <rPr>
        <vertAlign val="subscript"/>
        <sz val="9"/>
        <color theme="1"/>
        <rFont val="Arial"/>
        <family val="2"/>
      </rPr>
      <t>th</t>
    </r>
    <r>
      <rPr>
        <sz val="9"/>
        <color theme="1"/>
        <rFont val="Arial"/>
        <family val="2"/>
      </rPr>
      <t xml:space="preserve"> [Fr. pro zusätzliches kW</t>
    </r>
    <r>
      <rPr>
        <vertAlign val="subscript"/>
        <sz val="9"/>
        <color theme="1"/>
        <rFont val="Arial"/>
        <family val="2"/>
      </rPr>
      <t>th</t>
    </r>
    <r>
      <rPr>
        <sz val="9"/>
        <color theme="1"/>
        <rFont val="Arial"/>
        <family val="2"/>
      </rPr>
      <t>]</t>
    </r>
  </si>
  <si>
    <t>Heizwerk A</t>
  </si>
  <si>
    <t>Heizwerk B</t>
  </si>
  <si>
    <t>Heizwerk C</t>
  </si>
  <si>
    <t>Auswahl von Anbietern</t>
  </si>
  <si>
    <t>Stückholzfeuerung</t>
  </si>
  <si>
    <t>https://www.bfs.admin.ch/bfs/de/home/statistiken/preise/produzentenpreise-importpreise/produzentenpreise.assetdetail.36853814.html</t>
  </si>
  <si>
    <t>https://www.waldschweiz.ch/holzmarkt</t>
  </si>
  <si>
    <t>Stückholz [Rp./kWh inkl. aktueller MwSt.]</t>
  </si>
  <si>
    <r>
      <t xml:space="preserve">Basispreis Oktober 2025 (Nadelholz) </t>
    </r>
    <r>
      <rPr>
        <vertAlign val="superscript"/>
        <sz val="11"/>
        <color rgb="FFC00000"/>
        <rFont val="Calibri"/>
        <family val="2"/>
        <scheme val="minor"/>
      </rPr>
      <t>14)</t>
    </r>
    <r>
      <rPr>
        <sz val="11"/>
        <color rgb="FFC00000"/>
        <rFont val="Calibri"/>
        <family val="2"/>
        <scheme val="minor"/>
      </rPr>
      <t xml:space="preserve"> [Fr./m</t>
    </r>
    <r>
      <rPr>
        <vertAlign val="superscript"/>
        <sz val="11"/>
        <color rgb="FFC00000"/>
        <rFont val="Calibri"/>
        <family val="2"/>
        <scheme val="minor"/>
      </rPr>
      <t>3</t>
    </r>
    <r>
      <rPr>
        <sz val="11"/>
        <color rgb="FFC00000"/>
        <rFont val="Calibri"/>
        <family val="2"/>
        <scheme val="minor"/>
      </rPr>
      <t xml:space="preserve"> inkl. aktueller MwSt.]</t>
    </r>
  </si>
  <si>
    <r>
      <t>Preisindex Rohholz (Energieholz in langer Form)</t>
    </r>
    <r>
      <rPr>
        <vertAlign val="superscript"/>
        <sz val="11"/>
        <color rgb="FFC00000"/>
        <rFont val="Calibri"/>
        <family val="2"/>
        <scheme val="minor"/>
      </rPr>
      <t>15)</t>
    </r>
  </si>
  <si>
    <t>= Nutzenergiebedarf / (5.5 kWh/kg * 330 kg/m³ * 0.7)</t>
  </si>
  <si>
    <t>Vergleich Gestehungskosten Heizwärme
gemäss Art. 19 EnV (RB 40.72.13)</t>
  </si>
  <si>
    <t>Energiebezugsfläche: Der Wert aus dem GWR, falls vorhanden, kann als Richtwert dienen (Zelle K7). Achtung bei Gebäuden mit Heizungen, wo mehrere Gebäude an die Heizung angehängt sind.</t>
  </si>
  <si>
    <t>Möglichkeit eines Fernwärmeanschlusses (Leitung in der Nähe)</t>
  </si>
  <si>
    <t>https://geo.ur.ch/</t>
  </si>
  <si>
    <t xml:space="preserve">Fernwärme wenn möglich: Pflicht, WP-Luft: Pflicht, WP-Sonde (wenn gemäss www.geo.ur.ch möglich): Pflicht. </t>
  </si>
  <si>
    <t>Startversion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</si>
</sst>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0.0"/>
    <numFmt numFmtId="165" formatCode="0.000000000000%"/>
    <numFmt numFmtId="166" formatCode="0&quot; W/m²&quot;"/>
    <numFmt numFmtId="167" formatCode="0,"/>
    <numFmt numFmtId="168" formatCode="0.0000"/>
    <numFmt numFmtId="169" formatCode="0.000"/>
    <numFmt numFmtId="170" formatCode="0.000000000"/>
    <numFmt numFmtId="171" formatCode="_ * #,##0_ ;_ * \-#,##0_ ;_ * &quot;-&quot;??_ ;_ @_ "/>
    <numFmt numFmtId="172" formatCode="_ * #,##0_ ;_ * \-#,##0_ "/>
    <numFmt numFmtId="173" formatCode="#,##0.0"/>
  </numFmts>
  <fonts count="65" x14ac:knownFonts="1">
    <font>
      <sz val="11"/>
      <color theme="1"/>
      <name val="Calibri"/>
      <family val="2"/>
      <scheme val="minor"/>
    </font>
    <font>
      <sz val="9"/>
      <name val="Arial"/>
      <family val="2"/>
    </font>
    <font>
      <sz val="10"/>
      <name val="Arial"/>
      <family val="2"/>
    </font>
    <font>
      <b/>
      <sz val="9"/>
      <name val="Arial"/>
      <family val="2"/>
    </font>
    <font>
      <sz val="11"/>
      <color theme="1"/>
      <name val="Arial"/>
      <family val="2"/>
    </font>
    <font>
      <sz val="9"/>
      <color theme="1"/>
      <name val="Arial"/>
      <family val="2"/>
    </font>
    <font>
      <sz val="11"/>
      <color rgb="FFFF0000"/>
      <name val="Calibri"/>
      <family val="2"/>
      <scheme val="minor"/>
    </font>
    <font>
      <sz val="9"/>
      <color rgb="FFFF0000"/>
      <name val="Arial"/>
      <family val="2"/>
    </font>
    <font>
      <u/>
      <sz val="11"/>
      <color theme="10"/>
      <name val="Calibri"/>
      <family val="2"/>
      <scheme val="minor"/>
    </font>
    <font>
      <vertAlign val="subscript"/>
      <sz val="9"/>
      <name val="Arial"/>
      <family val="2"/>
    </font>
    <font>
      <b/>
      <sz val="11"/>
      <color theme="1"/>
      <name val="Calibri"/>
      <family val="2"/>
      <scheme val="minor"/>
    </font>
    <font>
      <vertAlign val="subscript"/>
      <sz val="9"/>
      <color theme="1"/>
      <name val="Arial"/>
      <family val="2"/>
    </font>
    <font>
      <b/>
      <sz val="9"/>
      <color theme="1"/>
      <name val="Arial"/>
      <family val="2"/>
    </font>
    <font>
      <vertAlign val="superscript"/>
      <sz val="11"/>
      <color theme="1"/>
      <name val="Calibri"/>
      <family val="2"/>
      <scheme val="minor"/>
    </font>
    <font>
      <sz val="11"/>
      <name val="Calibri"/>
      <family val="2"/>
      <scheme val="minor"/>
    </font>
    <font>
      <b/>
      <vertAlign val="superscript"/>
      <sz val="9"/>
      <color theme="1"/>
      <name val="Arial"/>
      <family val="2"/>
    </font>
    <font>
      <b/>
      <sz val="11"/>
      <name val="Calibri"/>
      <family val="2"/>
      <scheme val="minor"/>
    </font>
    <font>
      <sz val="11"/>
      <color theme="1"/>
      <name val="Calibri"/>
      <family val="2"/>
      <scheme val="minor"/>
    </font>
    <font>
      <b/>
      <sz val="11"/>
      <color rgb="FF171717"/>
      <name val="Arial"/>
      <family val="2"/>
    </font>
    <font>
      <b/>
      <u/>
      <sz val="11"/>
      <color theme="10"/>
      <name val="Calibri"/>
      <family val="2"/>
      <scheme val="minor"/>
    </font>
    <font>
      <sz val="10"/>
      <name val="MS Sans Serif"/>
      <family val="2"/>
    </font>
    <font>
      <sz val="10"/>
      <name val="MS Sans Serif"/>
    </font>
    <font>
      <sz val="11"/>
      <color theme="9" tint="-0.249977111117893"/>
      <name val="Calibri"/>
      <family val="2"/>
      <scheme val="minor"/>
    </font>
    <font>
      <vertAlign val="superscript"/>
      <sz val="11"/>
      <color theme="9" tint="-0.249977111117893"/>
      <name val="Calibri"/>
      <family val="2"/>
      <scheme val="minor"/>
    </font>
    <font>
      <b/>
      <sz val="11"/>
      <color theme="9" tint="-0.249977111117893"/>
      <name val="Calibri"/>
      <family val="2"/>
      <scheme val="minor"/>
    </font>
    <font>
      <sz val="11"/>
      <color theme="8" tint="-0.249977111117893"/>
      <name val="Calibri"/>
      <family val="2"/>
      <scheme val="minor"/>
    </font>
    <font>
      <vertAlign val="subscript"/>
      <sz val="11"/>
      <color theme="8" tint="-0.249977111117893"/>
      <name val="Calibri"/>
      <family val="2"/>
      <scheme val="minor"/>
    </font>
    <font>
      <vertAlign val="superscript"/>
      <sz val="11"/>
      <color theme="8" tint="-0.249977111117893"/>
      <name val="Calibri"/>
      <family val="2"/>
      <scheme val="minor"/>
    </font>
    <font>
      <sz val="11"/>
      <color theme="7" tint="-0.249977111117893"/>
      <name val="Calibri"/>
      <family val="2"/>
      <scheme val="minor"/>
    </font>
    <font>
      <vertAlign val="subscript"/>
      <sz val="11"/>
      <color theme="7" tint="-0.249977111117893"/>
      <name val="Calibri"/>
      <family val="2"/>
      <scheme val="minor"/>
    </font>
    <font>
      <vertAlign val="superscript"/>
      <sz val="11"/>
      <color theme="7" tint="-0.249977111117893"/>
      <name val="Calibri"/>
      <family val="2"/>
      <scheme val="minor"/>
    </font>
    <font>
      <sz val="10"/>
      <name val="Arial"/>
      <family val="2"/>
    </font>
    <font>
      <sz val="11"/>
      <color rgb="FF7030A0"/>
      <name val="Calibri"/>
      <family val="2"/>
      <scheme val="minor"/>
    </font>
    <font>
      <vertAlign val="superscript"/>
      <sz val="11"/>
      <color rgb="FF7030A0"/>
      <name val="Calibri"/>
      <family val="2"/>
      <scheme val="minor"/>
    </font>
    <font>
      <b/>
      <sz val="9"/>
      <color theme="0" tint="-0.249977111117893"/>
      <name val="Arial"/>
      <family val="2"/>
    </font>
    <font>
      <sz val="9"/>
      <color theme="0" tint="-0.249977111117893"/>
      <name val="Arial"/>
      <family val="2"/>
    </font>
    <font>
      <sz val="11"/>
      <color rgb="FFCC3399"/>
      <name val="Calibri"/>
      <family val="2"/>
      <scheme val="minor"/>
    </font>
    <font>
      <b/>
      <vertAlign val="superscript"/>
      <sz val="9"/>
      <name val="Arial"/>
      <family val="2"/>
    </font>
    <font>
      <vertAlign val="subscript"/>
      <sz val="11"/>
      <name val="Calibri"/>
      <family val="2"/>
      <scheme val="minor"/>
    </font>
    <font>
      <vertAlign val="superscript"/>
      <sz val="11"/>
      <name val="Calibri"/>
      <family val="2"/>
      <scheme val="minor"/>
    </font>
    <font>
      <b/>
      <sz val="11"/>
      <color rgb="FF7030A0"/>
      <name val="Calibri"/>
      <family val="2"/>
      <scheme val="minor"/>
    </font>
    <font>
      <b/>
      <sz val="11"/>
      <color theme="7" tint="-0.249977111117893"/>
      <name val="Calibri"/>
      <family val="2"/>
      <scheme val="minor"/>
    </font>
    <font>
      <b/>
      <sz val="11"/>
      <color theme="8" tint="-0.249977111117893"/>
      <name val="Calibri"/>
      <family val="2"/>
      <scheme val="minor"/>
    </font>
    <font>
      <sz val="11"/>
      <color rgb="FF002060"/>
      <name val="Calibri"/>
      <family val="2"/>
      <scheme val="minor"/>
    </font>
    <font>
      <b/>
      <sz val="11"/>
      <color rgb="FF002060"/>
      <name val="Calibri"/>
      <family val="2"/>
      <scheme val="minor"/>
    </font>
    <font>
      <u/>
      <sz val="11"/>
      <name val="Calibri"/>
      <family val="2"/>
      <scheme val="minor"/>
    </font>
    <font>
      <vertAlign val="superscript"/>
      <sz val="11"/>
      <color rgb="FF002060"/>
      <name val="Calibri"/>
      <family val="2"/>
      <scheme val="minor"/>
    </font>
    <font>
      <sz val="11"/>
      <color theme="2" tint="-9.9978637043366805E-2"/>
      <name val="Calibri"/>
      <family val="2"/>
      <scheme val="minor"/>
    </font>
    <font>
      <b/>
      <sz val="14"/>
      <color theme="1"/>
      <name val="Calibri"/>
      <family val="2"/>
      <scheme val="minor"/>
    </font>
    <font>
      <b/>
      <sz val="11"/>
      <color rgb="FF0070C0"/>
      <name val="Calibri"/>
      <family val="2"/>
      <scheme val="minor"/>
    </font>
    <font>
      <sz val="9"/>
      <color theme="0"/>
      <name val="Arial"/>
      <family val="2"/>
    </font>
    <font>
      <sz val="11"/>
      <color theme="0"/>
      <name val="Arial"/>
      <family val="2"/>
    </font>
    <font>
      <sz val="9"/>
      <color rgb="FF0070C0"/>
      <name val="Arial"/>
      <family val="2"/>
    </font>
    <font>
      <sz val="11"/>
      <color rgb="FFFF0000"/>
      <name val="Arial"/>
      <family val="2"/>
    </font>
    <font>
      <vertAlign val="superscript"/>
      <sz val="9"/>
      <color theme="1"/>
      <name val="Arial"/>
      <family val="2"/>
    </font>
    <font>
      <sz val="8"/>
      <name val="Calibri"/>
      <family val="2"/>
      <scheme val="minor"/>
    </font>
    <font>
      <sz val="11"/>
      <name val="Arial"/>
      <family val="2"/>
    </font>
    <font>
      <b/>
      <sz val="10"/>
      <name val="Arial"/>
      <family val="2"/>
    </font>
    <font>
      <b/>
      <sz val="11"/>
      <name val="Arial"/>
      <family val="2"/>
    </font>
    <font>
      <u/>
      <sz val="9"/>
      <color theme="10"/>
      <name val="Arial"/>
      <family val="2"/>
    </font>
    <font>
      <sz val="11"/>
      <color theme="0"/>
      <name val="Calibri"/>
      <family val="2"/>
      <scheme val="minor"/>
    </font>
    <font>
      <b/>
      <sz val="16"/>
      <color theme="1"/>
      <name val="Calibri"/>
      <family val="2"/>
      <scheme val="minor"/>
    </font>
    <font>
      <sz val="11"/>
      <color rgb="FFC00000"/>
      <name val="Calibri"/>
      <family val="2"/>
      <scheme val="minor"/>
    </font>
    <font>
      <b/>
      <sz val="11"/>
      <color rgb="FFC00000"/>
      <name val="Calibri"/>
      <family val="2"/>
      <scheme val="minor"/>
    </font>
    <font>
      <vertAlign val="superscript"/>
      <sz val="11"/>
      <color rgb="FFC00000"/>
      <name val="Calibri"/>
      <family val="2"/>
      <scheme val="minor"/>
    </font>
  </fonts>
  <fills count="16">
    <fill>
      <patternFill patternType="none"/>
    </fill>
    <fill>
      <patternFill patternType="gray125"/>
    </fill>
    <fill>
      <patternFill patternType="solid">
        <fgColor indexed="13"/>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CCFF"/>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FFC000"/>
        <bgColor indexed="64"/>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diagonal/>
    </border>
    <border>
      <left style="thin">
        <color indexed="64"/>
      </left>
      <right/>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right/>
      <top/>
      <bottom style="thin">
        <color indexed="64"/>
      </bottom>
      <diagonal/>
    </border>
    <border>
      <left/>
      <right/>
      <top/>
      <bottom style="double">
        <color indexed="64"/>
      </bottom>
      <diagonal/>
    </border>
    <border>
      <left style="hair">
        <color indexed="64"/>
      </left>
      <right/>
      <top/>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bottom style="hair">
        <color indexed="64"/>
      </bottom>
      <diagonal/>
    </border>
    <border>
      <left style="thin">
        <color indexed="64"/>
      </left>
      <right/>
      <top style="thin">
        <color indexed="64"/>
      </top>
      <bottom/>
      <diagonal/>
    </border>
    <border>
      <left/>
      <right style="hair">
        <color indexed="64"/>
      </right>
      <top/>
      <bottom style="hair">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0">
    <xf numFmtId="0" fontId="0" fillId="0" borderId="0"/>
    <xf numFmtId="0" fontId="8" fillId="0" borderId="0" applyNumberFormat="0" applyFill="0" applyBorder="0" applyAlignment="0" applyProtection="0"/>
    <xf numFmtId="0" fontId="2" fillId="0" borderId="0"/>
    <xf numFmtId="0" fontId="2" fillId="0" borderId="0"/>
    <xf numFmtId="9" fontId="17" fillId="0" borderId="0" applyFont="0" applyFill="0" applyBorder="0" applyAlignment="0" applyProtection="0"/>
    <xf numFmtId="0" fontId="21" fillId="0" borderId="0" applyBorder="0"/>
    <xf numFmtId="0" fontId="21" fillId="0" borderId="0"/>
    <xf numFmtId="0" fontId="20" fillId="0" borderId="0"/>
    <xf numFmtId="0" fontId="31" fillId="0" borderId="0"/>
    <xf numFmtId="43" fontId="17" fillId="0" borderId="0" applyFont="0" applyFill="0" applyBorder="0" applyAlignment="0" applyProtection="0"/>
  </cellStyleXfs>
  <cellXfs count="409">
    <xf numFmtId="0" fontId="0" fillId="0" borderId="0" xfId="0"/>
    <xf numFmtId="0" fontId="1" fillId="0" borderId="0" xfId="0" applyFont="1"/>
    <xf numFmtId="0" fontId="3" fillId="0" borderId="0" xfId="0" applyFont="1"/>
    <xf numFmtId="0" fontId="5" fillId="0" borderId="0" xfId="0" applyFont="1"/>
    <xf numFmtId="10" fontId="5" fillId="0" borderId="0" xfId="0" applyNumberFormat="1" applyFont="1"/>
    <xf numFmtId="2" fontId="5" fillId="0" borderId="0" xfId="0" applyNumberFormat="1" applyFont="1"/>
    <xf numFmtId="0" fontId="7" fillId="0" borderId="0" xfId="0" applyFont="1"/>
    <xf numFmtId="2" fontId="7" fillId="0" borderId="0" xfId="0" applyNumberFormat="1" applyFont="1"/>
    <xf numFmtId="0" fontId="5" fillId="0" borderId="22" xfId="0" applyFont="1" applyBorder="1"/>
    <xf numFmtId="2" fontId="5" fillId="0" borderId="22" xfId="0" applyNumberFormat="1" applyFont="1" applyBorder="1"/>
    <xf numFmtId="0" fontId="5" fillId="0" borderId="21" xfId="0" applyFont="1" applyBorder="1"/>
    <xf numFmtId="2" fontId="5" fillId="0" borderId="21" xfId="0" applyNumberFormat="1" applyFont="1" applyBorder="1"/>
    <xf numFmtId="0" fontId="5" fillId="0" borderId="0" xfId="0" applyFont="1" applyAlignment="1">
      <alignment vertical="center" wrapText="1"/>
    </xf>
    <xf numFmtId="164" fontId="5" fillId="0" borderId="0" xfId="0" applyNumberFormat="1" applyFont="1"/>
    <xf numFmtId="0" fontId="12" fillId="0" borderId="0" xfId="0" applyFont="1" applyAlignment="1">
      <alignment vertical="center" wrapText="1"/>
    </xf>
    <xf numFmtId="0" fontId="10" fillId="0" borderId="0" xfId="0" applyFont="1" applyAlignment="1">
      <alignment vertical="center" wrapText="1"/>
    </xf>
    <xf numFmtId="0" fontId="0" fillId="0" borderId="0" xfId="0"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0" fillId="0" borderId="0" xfId="0" applyAlignment="1">
      <alignment vertical="center"/>
    </xf>
    <xf numFmtId="164" fontId="12" fillId="0" borderId="0" xfId="0" applyNumberFormat="1" applyFont="1" applyAlignment="1">
      <alignment vertical="center" wrapText="1"/>
    </xf>
    <xf numFmtId="164" fontId="12" fillId="0" borderId="0" xfId="0" applyNumberFormat="1" applyFont="1"/>
    <xf numFmtId="0" fontId="12" fillId="0" borderId="0" xfId="0" applyFont="1"/>
    <xf numFmtId="164" fontId="12" fillId="0" borderId="0" xfId="0" applyNumberFormat="1" applyFont="1" applyAlignment="1">
      <alignment wrapText="1"/>
    </xf>
    <xf numFmtId="0" fontId="12" fillId="0" borderId="0" xfId="0" applyFont="1" applyAlignment="1">
      <alignment wrapText="1"/>
    </xf>
    <xf numFmtId="0" fontId="3" fillId="0" borderId="0" xfId="0" applyFont="1" applyAlignment="1">
      <alignment wrapText="1"/>
    </xf>
    <xf numFmtId="3" fontId="12" fillId="0" borderId="0" xfId="0" applyNumberFormat="1" applyFont="1"/>
    <xf numFmtId="2" fontId="1" fillId="0" borderId="0" xfId="0" applyNumberFormat="1" applyFont="1"/>
    <xf numFmtId="0" fontId="5" fillId="0" borderId="0" xfId="0" applyFont="1" applyAlignment="1">
      <alignment vertical="center"/>
    </xf>
    <xf numFmtId="0" fontId="4" fillId="0" borderId="0" xfId="0" applyFont="1" applyAlignment="1">
      <alignment vertical="center"/>
    </xf>
    <xf numFmtId="2" fontId="1" fillId="0" borderId="15" xfId="0" applyNumberFormat="1" applyFont="1" applyBorder="1" applyAlignment="1">
      <alignment horizontal="center" vertical="center"/>
    </xf>
    <xf numFmtId="3" fontId="1" fillId="0" borderId="15" xfId="0" applyNumberFormat="1" applyFont="1" applyBorder="1" applyAlignment="1">
      <alignment horizontal="center" vertical="center"/>
    </xf>
    <xf numFmtId="0" fontId="16" fillId="0" borderId="0" xfId="0" applyFont="1"/>
    <xf numFmtId="0" fontId="0" fillId="8" borderId="0" xfId="0" applyFill="1"/>
    <xf numFmtId="0" fontId="3" fillId="0" borderId="0" xfId="0" applyFont="1" applyAlignment="1">
      <alignment vertical="center" wrapText="1"/>
    </xf>
    <xf numFmtId="10" fontId="5" fillId="0" borderId="0" xfId="4" applyNumberFormat="1" applyFont="1"/>
    <xf numFmtId="1" fontId="1" fillId="0" borderId="15" xfId="0" applyNumberFormat="1" applyFont="1" applyBorder="1" applyAlignment="1">
      <alignment horizontal="center" vertical="center"/>
    </xf>
    <xf numFmtId="0" fontId="10" fillId="0" borderId="0" xfId="0" applyFont="1"/>
    <xf numFmtId="0" fontId="10" fillId="0" borderId="0" xfId="0" applyFont="1" applyAlignment="1">
      <alignment vertical="center"/>
    </xf>
    <xf numFmtId="0" fontId="14" fillId="0" borderId="0" xfId="0" applyFont="1"/>
    <xf numFmtId="0" fontId="22" fillId="0" borderId="0" xfId="0" applyFont="1" applyAlignment="1">
      <alignment vertical="center"/>
    </xf>
    <xf numFmtId="0" fontId="25" fillId="0" borderId="0" xfId="0" applyFont="1" applyAlignment="1">
      <alignment vertical="center"/>
    </xf>
    <xf numFmtId="2" fontId="28" fillId="0" borderId="0" xfId="0" applyNumberFormat="1" applyFont="1" applyAlignment="1">
      <alignment vertical="center"/>
    </xf>
    <xf numFmtId="2" fontId="32" fillId="0" borderId="0" xfId="0" applyNumberFormat="1" applyFont="1" applyAlignment="1">
      <alignment vertical="center"/>
    </xf>
    <xf numFmtId="164" fontId="34" fillId="0" borderId="0" xfId="0" applyNumberFormat="1" applyFont="1"/>
    <xf numFmtId="0" fontId="34" fillId="0" borderId="0" xfId="0" applyFont="1"/>
    <xf numFmtId="0" fontId="35" fillId="0" borderId="0" xfId="0" applyFont="1"/>
    <xf numFmtId="164" fontId="35" fillId="0" borderId="0" xfId="0" applyNumberFormat="1" applyFont="1"/>
    <xf numFmtId="14" fontId="14" fillId="0" borderId="0" xfId="0" quotePrefix="1" applyNumberFormat="1" applyFont="1"/>
    <xf numFmtId="0" fontId="14" fillId="0" borderId="0" xfId="0" applyFont="1" applyAlignment="1">
      <alignment vertical="center"/>
    </xf>
    <xf numFmtId="0" fontId="6" fillId="0" borderId="0" xfId="0" applyFont="1"/>
    <xf numFmtId="164" fontId="1" fillId="0" borderId="0" xfId="0" applyNumberFormat="1" applyFont="1"/>
    <xf numFmtId="164" fontId="3" fillId="0" borderId="0" xfId="0" applyNumberFormat="1" applyFont="1"/>
    <xf numFmtId="0" fontId="1" fillId="0" borderId="0" xfId="0" quotePrefix="1" applyFont="1"/>
    <xf numFmtId="1" fontId="12" fillId="0" borderId="0" xfId="0" applyNumberFormat="1" applyFont="1"/>
    <xf numFmtId="3" fontId="0" fillId="0" borderId="0" xfId="9" applyNumberFormat="1" applyFont="1"/>
    <xf numFmtId="3" fontId="0" fillId="0" borderId="0" xfId="9" applyNumberFormat="1" applyFont="1" applyBorder="1"/>
    <xf numFmtId="3" fontId="0" fillId="0" borderId="21" xfId="9" applyNumberFormat="1" applyFont="1" applyBorder="1"/>
    <xf numFmtId="3" fontId="6" fillId="0" borderId="0" xfId="0" applyNumberFormat="1" applyFont="1"/>
    <xf numFmtId="3" fontId="6" fillId="0" borderId="21" xfId="0" applyNumberFormat="1" applyFont="1" applyBorder="1"/>
    <xf numFmtId="1" fontId="14" fillId="0" borderId="0" xfId="0" applyNumberFormat="1" applyFont="1" applyAlignment="1">
      <alignment vertical="center"/>
    </xf>
    <xf numFmtId="0" fontId="10" fillId="0" borderId="37" xfId="0" applyFont="1" applyBorder="1" applyAlignment="1">
      <alignment vertical="center"/>
    </xf>
    <xf numFmtId="0" fontId="22" fillId="0" borderId="37" xfId="0" applyFont="1" applyBorder="1" applyAlignment="1">
      <alignment vertical="center"/>
    </xf>
    <xf numFmtId="0" fontId="0" fillId="0" borderId="37" xfId="0" applyBorder="1" applyAlignment="1">
      <alignment vertical="center"/>
    </xf>
    <xf numFmtId="2" fontId="32" fillId="0" borderId="37" xfId="0" applyNumberFormat="1" applyFont="1" applyBorder="1" applyAlignment="1">
      <alignment vertical="center"/>
    </xf>
    <xf numFmtId="2" fontId="14" fillId="0" borderId="0" xfId="0" applyNumberFormat="1" applyFont="1" applyAlignment="1">
      <alignment vertical="center"/>
    </xf>
    <xf numFmtId="2" fontId="28" fillId="0" borderId="37" xfId="0" applyNumberFormat="1" applyFont="1" applyBorder="1" applyAlignment="1">
      <alignment vertical="center"/>
    </xf>
    <xf numFmtId="0" fontId="25" fillId="0" borderId="37" xfId="0" applyFont="1" applyBorder="1" applyAlignment="1">
      <alignment vertical="center"/>
    </xf>
    <xf numFmtId="2" fontId="43" fillId="0" borderId="0" xfId="0" applyNumberFormat="1" applyFont="1" applyAlignment="1">
      <alignment vertical="center"/>
    </xf>
    <xf numFmtId="0" fontId="45" fillId="0" borderId="0" xfId="1" applyFont="1" applyBorder="1"/>
    <xf numFmtId="0" fontId="0" fillId="0" borderId="0" xfId="0" applyAlignment="1">
      <alignment horizontal="center"/>
    </xf>
    <xf numFmtId="49" fontId="0" fillId="0" borderId="0" xfId="0" applyNumberFormat="1"/>
    <xf numFmtId="49" fontId="0" fillId="0" borderId="21" xfId="0" applyNumberFormat="1" applyBorder="1"/>
    <xf numFmtId="3" fontId="0" fillId="0" borderId="0" xfId="0" applyNumberFormat="1"/>
    <xf numFmtId="3" fontId="0" fillId="0" borderId="21" xfId="0" applyNumberFormat="1" applyBorder="1"/>
    <xf numFmtId="0" fontId="0" fillId="0" borderId="21" xfId="0" applyBorder="1"/>
    <xf numFmtId="49" fontId="10" fillId="0" borderId="21" xfId="0" applyNumberFormat="1" applyFont="1" applyBorder="1" applyAlignment="1">
      <alignment vertical="center" wrapText="1"/>
    </xf>
    <xf numFmtId="0" fontId="10" fillId="0" borderId="21" xfId="0" applyFont="1" applyBorder="1" applyAlignment="1">
      <alignment vertical="center" wrapText="1"/>
    </xf>
    <xf numFmtId="0" fontId="0" fillId="0" borderId="20" xfId="0" applyBorder="1"/>
    <xf numFmtId="49" fontId="14" fillId="0" borderId="0" xfId="0" applyNumberFormat="1" applyFont="1"/>
    <xf numFmtId="3" fontId="14" fillId="0" borderId="20" xfId="0" applyNumberFormat="1" applyFont="1" applyBorder="1"/>
    <xf numFmtId="3" fontId="14" fillId="0" borderId="0" xfId="0" applyNumberFormat="1" applyFont="1"/>
    <xf numFmtId="49" fontId="14" fillId="0" borderId="21" xfId="0" applyNumberFormat="1" applyFont="1" applyBorder="1"/>
    <xf numFmtId="3" fontId="14" fillId="0" borderId="21" xfId="0" applyNumberFormat="1" applyFont="1" applyBorder="1"/>
    <xf numFmtId="0" fontId="47" fillId="0" borderId="20" xfId="0" applyFont="1" applyBorder="1"/>
    <xf numFmtId="49" fontId="47" fillId="0" borderId="0" xfId="0" applyNumberFormat="1" applyFont="1"/>
    <xf numFmtId="3" fontId="47" fillId="0" borderId="20" xfId="0" applyNumberFormat="1" applyFont="1" applyBorder="1"/>
    <xf numFmtId="0" fontId="47" fillId="0" borderId="0" xfId="0" applyFont="1"/>
    <xf numFmtId="3" fontId="47" fillId="0" borderId="0" xfId="0" applyNumberFormat="1" applyFont="1"/>
    <xf numFmtId="3" fontId="47" fillId="0" borderId="0" xfId="9" applyNumberFormat="1" applyFont="1"/>
    <xf numFmtId="3" fontId="47" fillId="0" borderId="0" xfId="9" applyNumberFormat="1" applyFont="1" applyBorder="1"/>
    <xf numFmtId="0" fontId="47" fillId="0" borderId="21" xfId="0" applyFont="1" applyBorder="1"/>
    <xf numFmtId="49" fontId="47" fillId="0" borderId="21" xfId="0" applyNumberFormat="1" applyFont="1" applyBorder="1"/>
    <xf numFmtId="3" fontId="47" fillId="0" borderId="21" xfId="0" applyNumberFormat="1" applyFont="1" applyBorder="1"/>
    <xf numFmtId="3" fontId="47" fillId="0" borderId="21" xfId="9" applyNumberFormat="1" applyFont="1" applyBorder="1"/>
    <xf numFmtId="0" fontId="3" fillId="0" borderId="0" xfId="0" applyFont="1" applyAlignment="1">
      <alignment vertical="center"/>
    </xf>
    <xf numFmtId="0" fontId="1" fillId="0" borderId="0" xfId="0" applyFont="1" applyAlignment="1">
      <alignment vertical="center"/>
    </xf>
    <xf numFmtId="164" fontId="1" fillId="0" borderId="0" xfId="0" applyNumberFormat="1" applyFont="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5" fillId="0" borderId="9" xfId="0" applyFont="1" applyBorder="1" applyAlignment="1">
      <alignment vertical="center"/>
    </xf>
    <xf numFmtId="0" fontId="7"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3" fillId="0" borderId="29" xfId="0" applyFont="1" applyBorder="1" applyAlignment="1">
      <alignment vertical="center"/>
    </xf>
    <xf numFmtId="0" fontId="1" fillId="0" borderId="20" xfId="0" applyFont="1" applyBorder="1" applyAlignment="1">
      <alignment horizontal="center" vertical="center"/>
    </xf>
    <xf numFmtId="0" fontId="1" fillId="0" borderId="14" xfId="0" applyFont="1" applyBorder="1" applyAlignment="1">
      <alignment vertical="center"/>
    </xf>
    <xf numFmtId="0" fontId="1" fillId="0" borderId="15" xfId="0" applyFont="1" applyBorder="1" applyAlignment="1">
      <alignment horizontal="center" vertical="center"/>
    </xf>
    <xf numFmtId="0" fontId="1" fillId="0" borderId="17" xfId="0" applyFont="1" applyBorder="1" applyAlignment="1">
      <alignment vertical="center"/>
    </xf>
    <xf numFmtId="0" fontId="3" fillId="0" borderId="14" xfId="0" applyFont="1" applyBorder="1" applyAlignment="1">
      <alignment vertical="center"/>
    </xf>
    <xf numFmtId="171" fontId="1" fillId="0" borderId="15" xfId="9" applyNumberFormat="1" applyFont="1" applyBorder="1" applyAlignment="1" applyProtection="1">
      <alignment horizontal="center" vertical="center"/>
    </xf>
    <xf numFmtId="0" fontId="3" fillId="0" borderId="8" xfId="0" applyFont="1" applyBorder="1" applyAlignment="1">
      <alignment vertical="center"/>
    </xf>
    <xf numFmtId="1" fontId="1" fillId="0" borderId="9" xfId="0" applyNumberFormat="1" applyFont="1" applyBorder="1" applyAlignment="1">
      <alignment horizontal="center" vertical="center"/>
    </xf>
    <xf numFmtId="0" fontId="3" fillId="0" borderId="18" xfId="0" applyFont="1" applyBorder="1" applyAlignment="1">
      <alignment vertical="center"/>
    </xf>
    <xf numFmtId="0" fontId="1" fillId="0" borderId="19"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165" fontId="1" fillId="0" borderId="0" xfId="0" applyNumberFormat="1" applyFont="1" applyAlignment="1">
      <alignment vertical="center"/>
    </xf>
    <xf numFmtId="14" fontId="5" fillId="0" borderId="0" xfId="0" applyNumberFormat="1" applyFont="1" applyAlignment="1">
      <alignment horizontal="left" vertical="center"/>
    </xf>
    <xf numFmtId="2" fontId="1" fillId="9" borderId="10" xfId="0" applyNumberFormat="1" applyFont="1" applyFill="1" applyBorder="1" applyAlignment="1" applyProtection="1">
      <alignment horizontal="center" vertical="center"/>
      <protection locked="0"/>
    </xf>
    <xf numFmtId="1" fontId="1" fillId="9" borderId="10" xfId="0" applyNumberFormat="1" applyFont="1" applyFill="1" applyBorder="1" applyAlignment="1" applyProtection="1">
      <alignment horizontal="center" vertical="center"/>
      <protection locked="0"/>
    </xf>
    <xf numFmtId="3" fontId="1" fillId="9" borderId="10" xfId="0" applyNumberFormat="1" applyFont="1" applyFill="1" applyBorder="1" applyAlignment="1" applyProtection="1">
      <alignment horizontal="center" vertical="center"/>
      <protection locked="0"/>
    </xf>
    <xf numFmtId="0" fontId="5" fillId="0" borderId="0" xfId="0" applyFont="1" applyAlignment="1" applyProtection="1">
      <alignment vertical="center"/>
      <protection locked="0"/>
    </xf>
    <xf numFmtId="0" fontId="5" fillId="0" borderId="21" xfId="0" applyFont="1" applyBorder="1" applyAlignment="1" applyProtection="1">
      <alignment vertical="center"/>
      <protection locked="0"/>
    </xf>
    <xf numFmtId="0" fontId="5" fillId="0" borderId="2" xfId="0" applyFont="1" applyBorder="1" applyAlignment="1" applyProtection="1">
      <alignment vertical="center"/>
      <protection locked="0"/>
    </xf>
    <xf numFmtId="1" fontId="1" fillId="0" borderId="0" xfId="0" applyNumberFormat="1" applyFont="1" applyAlignment="1">
      <alignment vertical="center"/>
    </xf>
    <xf numFmtId="0" fontId="13" fillId="0" borderId="0" xfId="0" applyFont="1"/>
    <xf numFmtId="3" fontId="14" fillId="0" borderId="0" xfId="9" applyNumberFormat="1" applyFont="1"/>
    <xf numFmtId="3" fontId="14" fillId="0" borderId="0" xfId="9" applyNumberFormat="1" applyFont="1" applyFill="1" applyBorder="1"/>
    <xf numFmtId="3" fontId="14" fillId="0" borderId="21" xfId="9" applyNumberFormat="1" applyFont="1" applyBorder="1"/>
    <xf numFmtId="3" fontId="14" fillId="0" borderId="21" xfId="9" applyNumberFormat="1" applyFont="1" applyFill="1" applyBorder="1"/>
    <xf numFmtId="4" fontId="0" fillId="0" borderId="0" xfId="0" applyNumberFormat="1"/>
    <xf numFmtId="49" fontId="10" fillId="0" borderId="1" xfId="0" applyNumberFormat="1" applyFont="1" applyBorder="1"/>
    <xf numFmtId="3" fontId="10" fillId="13" borderId="2" xfId="0" applyNumberFormat="1" applyFont="1" applyFill="1" applyBorder="1"/>
    <xf numFmtId="49" fontId="10" fillId="0" borderId="2" xfId="0" applyNumberFormat="1" applyFont="1" applyBorder="1"/>
    <xf numFmtId="49" fontId="10" fillId="0" borderId="3" xfId="0" applyNumberFormat="1" applyFont="1" applyBorder="1"/>
    <xf numFmtId="14" fontId="0" fillId="0" borderId="0" xfId="0" applyNumberFormat="1"/>
    <xf numFmtId="0" fontId="0" fillId="0" borderId="40" xfId="0" applyBorder="1"/>
    <xf numFmtId="0" fontId="0" fillId="0" borderId="41" xfId="0" applyBorder="1"/>
    <xf numFmtId="0" fontId="0" fillId="0" borderId="42" xfId="0" applyBorder="1"/>
    <xf numFmtId="0" fontId="48" fillId="0" borderId="0" xfId="0" applyFont="1"/>
    <xf numFmtId="0" fontId="49" fillId="0" borderId="0" xfId="0" applyFont="1" applyAlignment="1">
      <alignment horizontal="right"/>
    </xf>
    <xf numFmtId="0" fontId="49" fillId="0" borderId="0" xfId="0" applyFont="1" applyAlignment="1">
      <alignment horizontal="center"/>
    </xf>
    <xf numFmtId="14" fontId="49" fillId="0" borderId="0" xfId="0" applyNumberFormat="1" applyFont="1" applyAlignment="1">
      <alignment horizontal="center"/>
    </xf>
    <xf numFmtId="14" fontId="0" fillId="0" borderId="38" xfId="0" applyNumberFormat="1" applyBorder="1" applyAlignment="1">
      <alignment horizontal="left" vertical="top" wrapText="1"/>
    </xf>
    <xf numFmtId="0" fontId="0" fillId="0" borderId="36" xfId="0" applyBorder="1" applyAlignment="1">
      <alignment horizontal="left" vertical="top" wrapText="1"/>
    </xf>
    <xf numFmtId="14" fontId="0" fillId="0" borderId="39" xfId="0" applyNumberFormat="1" applyBorder="1" applyAlignment="1">
      <alignment horizontal="left" vertical="top" wrapText="1"/>
    </xf>
    <xf numFmtId="0" fontId="50" fillId="0" borderId="0" xfId="0" applyFont="1" applyAlignment="1">
      <alignment vertical="center"/>
    </xf>
    <xf numFmtId="0" fontId="51" fillId="0" borderId="0" xfId="0" applyFont="1" applyAlignment="1">
      <alignment vertical="center"/>
    </xf>
    <xf numFmtId="14" fontId="0" fillId="0" borderId="43" xfId="0" applyNumberFormat="1" applyBorder="1" applyAlignment="1">
      <alignment horizontal="left" vertical="top" wrapText="1"/>
    </xf>
    <xf numFmtId="0" fontId="0" fillId="0" borderId="44" xfId="0" applyBorder="1" applyAlignment="1">
      <alignment horizontal="left" vertical="top" wrapText="1"/>
    </xf>
    <xf numFmtId="14" fontId="0" fillId="0" borderId="45" xfId="0" applyNumberFormat="1" applyBorder="1" applyAlignment="1">
      <alignment horizontal="left" vertical="top" wrapText="1"/>
    </xf>
    <xf numFmtId="164" fontId="50" fillId="0" borderId="0" xfId="0" applyNumberFormat="1" applyFont="1" applyAlignment="1">
      <alignment vertical="center"/>
    </xf>
    <xf numFmtId="0" fontId="53" fillId="0" borderId="0" xfId="0" applyFont="1" applyAlignment="1">
      <alignment vertical="center"/>
    </xf>
    <xf numFmtId="0" fontId="52" fillId="0" borderId="0" xfId="0" applyFont="1"/>
    <xf numFmtId="0" fontId="5" fillId="0" borderId="0" xfId="0" applyFont="1" applyAlignment="1">
      <alignment horizontal="right"/>
    </xf>
    <xf numFmtId="0" fontId="5" fillId="0" borderId="0" xfId="0" quotePrefix="1" applyFont="1"/>
    <xf numFmtId="0" fontId="5" fillId="0" borderId="0" xfId="0" applyFont="1" applyAlignment="1">
      <alignment wrapText="1"/>
    </xf>
    <xf numFmtId="0" fontId="8" fillId="0" borderId="0" xfId="1" applyAlignment="1" applyProtection="1">
      <alignment horizontal="center" vertical="center"/>
    </xf>
    <xf numFmtId="0" fontId="1" fillId="0" borderId="0" xfId="0" applyFont="1" applyAlignment="1">
      <alignment horizontal="right"/>
    </xf>
    <xf numFmtId="0" fontId="56" fillId="0" borderId="0" xfId="0" applyFont="1" applyAlignment="1">
      <alignment vertical="center"/>
    </xf>
    <xf numFmtId="0" fontId="2" fillId="0" borderId="0" xfId="0" applyFont="1"/>
    <xf numFmtId="0" fontId="2" fillId="0" borderId="0" xfId="9" applyNumberFormat="1" applyFont="1" applyBorder="1"/>
    <xf numFmtId="172" fontId="2" fillId="0" borderId="0" xfId="9" applyNumberFormat="1" applyFont="1" applyBorder="1"/>
    <xf numFmtId="0" fontId="3" fillId="0" borderId="1"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right" vertical="center"/>
    </xf>
    <xf numFmtId="0" fontId="1" fillId="0" borderId="2" xfId="0" applyFont="1" applyBorder="1" applyAlignment="1">
      <alignment horizontal="right" vertical="center"/>
    </xf>
    <xf numFmtId="0" fontId="3" fillId="0" borderId="48" xfId="0" applyFont="1" applyBorder="1" applyAlignment="1">
      <alignment vertical="center"/>
    </xf>
    <xf numFmtId="0" fontId="3" fillId="0" borderId="48" xfId="0" applyFont="1" applyBorder="1" applyAlignment="1">
      <alignment horizontal="right" vertical="center"/>
    </xf>
    <xf numFmtId="0" fontId="3" fillId="0" borderId="0" xfId="0" applyFont="1" applyAlignment="1">
      <alignment horizontal="right"/>
    </xf>
    <xf numFmtId="0" fontId="1" fillId="0" borderId="0" xfId="0" applyFont="1" applyAlignment="1">
      <alignment horizontal="left"/>
    </xf>
    <xf numFmtId="0" fontId="3" fillId="0" borderId="0" xfId="0" applyFont="1" applyAlignment="1">
      <alignment horizontal="right" vertical="center"/>
    </xf>
    <xf numFmtId="0" fontId="57" fillId="0" borderId="0" xfId="0" applyFont="1" applyAlignment="1">
      <alignment horizontal="right"/>
    </xf>
    <xf numFmtId="0" fontId="58" fillId="0" borderId="0" xfId="0" applyFont="1"/>
    <xf numFmtId="1" fontId="1" fillId="0" borderId="0" xfId="0" applyNumberFormat="1" applyFont="1"/>
    <xf numFmtId="0" fontId="5" fillId="15" borderId="0" xfId="0" applyFont="1" applyFill="1" applyAlignment="1">
      <alignment horizontal="right"/>
    </xf>
    <xf numFmtId="0" fontId="3" fillId="0" borderId="0" xfId="0" applyFont="1" applyAlignment="1">
      <alignment horizontal="left"/>
    </xf>
    <xf numFmtId="0" fontId="3" fillId="0" borderId="36" xfId="0" applyFont="1" applyBorder="1" applyAlignment="1">
      <alignment horizontal="right"/>
    </xf>
    <xf numFmtId="0" fontId="3" fillId="0" borderId="36" xfId="0" applyFont="1" applyBorder="1"/>
    <xf numFmtId="0" fontId="1" fillId="0" borderId="36" xfId="0" applyFont="1" applyBorder="1" applyAlignment="1">
      <alignment horizontal="left"/>
    </xf>
    <xf numFmtId="0" fontId="1" fillId="0" borderId="46" xfId="0" applyFont="1" applyBorder="1" applyAlignment="1">
      <alignment vertical="center"/>
    </xf>
    <xf numFmtId="0" fontId="5" fillId="0" borderId="14" xfId="0" applyFont="1" applyBorder="1" applyAlignment="1">
      <alignment vertical="center"/>
    </xf>
    <xf numFmtId="0" fontId="60" fillId="0" borderId="0" xfId="0" applyFont="1"/>
    <xf numFmtId="0" fontId="10" fillId="0" borderId="0" xfId="0" applyFont="1" applyAlignment="1">
      <alignment horizontal="right"/>
    </xf>
    <xf numFmtId="0" fontId="61" fillId="0" borderId="0" xfId="0" applyFont="1"/>
    <xf numFmtId="0" fontId="0" fillId="7" borderId="0" xfId="0" applyFill="1"/>
    <xf numFmtId="0" fontId="0" fillId="0" borderId="37" xfId="0" applyBorder="1"/>
    <xf numFmtId="0" fontId="14" fillId="0" borderId="0" xfId="0" applyFont="1" applyAlignment="1">
      <alignment vertical="center" wrapText="1"/>
    </xf>
    <xf numFmtId="0" fontId="16" fillId="11" borderId="0" xfId="0" applyFont="1" applyFill="1" applyAlignment="1">
      <alignment vertical="center"/>
    </xf>
    <xf numFmtId="1" fontId="14" fillId="0" borderId="0" xfId="4" applyNumberFormat="1" applyFont="1" applyFill="1" applyBorder="1" applyAlignment="1" applyProtection="1">
      <alignment vertical="center"/>
    </xf>
    <xf numFmtId="1" fontId="14" fillId="0" borderId="0" xfId="0" applyNumberFormat="1" applyFont="1" applyAlignment="1">
      <alignment vertical="center" wrapText="1"/>
    </xf>
    <xf numFmtId="169" fontId="14" fillId="0" borderId="0" xfId="4" applyNumberFormat="1" applyFont="1" applyFill="1" applyBorder="1" applyAlignment="1" applyProtection="1">
      <alignment vertical="center"/>
    </xf>
    <xf numFmtId="2" fontId="14" fillId="0" borderId="0" xfId="0" applyNumberFormat="1" applyFont="1" applyAlignment="1">
      <alignment vertical="center" wrapText="1"/>
    </xf>
    <xf numFmtId="10" fontId="16" fillId="11" borderId="0" xfId="4" applyNumberFormat="1" applyFont="1" applyFill="1" applyBorder="1" applyAlignment="1" applyProtection="1">
      <alignment vertical="center"/>
    </xf>
    <xf numFmtId="10" fontId="14" fillId="0" borderId="0" xfId="4" applyNumberFormat="1" applyFont="1" applyFill="1" applyBorder="1" applyAlignment="1" applyProtection="1">
      <alignment vertical="center"/>
    </xf>
    <xf numFmtId="10" fontId="14" fillId="0" borderId="0" xfId="4" applyNumberFormat="1" applyFont="1" applyBorder="1" applyAlignment="1" applyProtection="1">
      <alignment vertical="center"/>
    </xf>
    <xf numFmtId="0" fontId="16" fillId="0" borderId="0" xfId="0" applyFont="1" applyAlignment="1">
      <alignment vertical="center"/>
    </xf>
    <xf numFmtId="10" fontId="14" fillId="0" borderId="0" xfId="0" applyNumberFormat="1" applyFont="1" applyAlignment="1">
      <alignment vertical="center"/>
    </xf>
    <xf numFmtId="2" fontId="16" fillId="0" borderId="0" xfId="0" applyNumberFormat="1" applyFont="1" applyAlignment="1">
      <alignment vertical="center"/>
    </xf>
    <xf numFmtId="2" fontId="14" fillId="0" borderId="0" xfId="4" applyNumberFormat="1" applyFont="1" applyFill="1" applyBorder="1" applyAlignment="1" applyProtection="1">
      <alignment vertical="center"/>
    </xf>
    <xf numFmtId="0" fontId="0" fillId="0" borderId="37" xfId="0" applyBorder="1" applyAlignment="1">
      <alignment vertical="center" wrapText="1"/>
    </xf>
    <xf numFmtId="0" fontId="22" fillId="0" borderId="0" xfId="0" applyFont="1" applyAlignment="1">
      <alignment vertical="center" wrapText="1"/>
    </xf>
    <xf numFmtId="168" fontId="24" fillId="0" borderId="0" xfId="0" applyNumberFormat="1" applyFont="1" applyAlignment="1">
      <alignment vertical="center"/>
    </xf>
    <xf numFmtId="2" fontId="22" fillId="0" borderId="0" xfId="4" applyNumberFormat="1" applyFont="1" applyFill="1" applyBorder="1" applyAlignment="1" applyProtection="1">
      <alignment vertical="center"/>
    </xf>
    <xf numFmtId="2" fontId="22" fillId="0" borderId="0" xfId="0" applyNumberFormat="1" applyFont="1" applyAlignment="1">
      <alignment vertical="center"/>
    </xf>
    <xf numFmtId="168" fontId="24" fillId="5" borderId="0" xfId="0" applyNumberFormat="1" applyFont="1" applyFill="1" applyAlignment="1">
      <alignment vertical="center" wrapText="1"/>
    </xf>
    <xf numFmtId="168" fontId="22" fillId="0" borderId="0" xfId="0" applyNumberFormat="1" applyFont="1" applyAlignment="1">
      <alignment vertical="center" wrapText="1"/>
    </xf>
    <xf numFmtId="0" fontId="22" fillId="0" borderId="37" xfId="0" applyFont="1" applyBorder="1" applyAlignment="1">
      <alignment vertical="center" wrapText="1"/>
    </xf>
    <xf numFmtId="168" fontId="24" fillId="5" borderId="37" xfId="0" applyNumberFormat="1" applyFont="1" applyFill="1" applyBorder="1" applyAlignment="1">
      <alignment vertical="center" wrapText="1"/>
    </xf>
    <xf numFmtId="2" fontId="22" fillId="0" borderId="37" xfId="0" applyNumberFormat="1" applyFont="1" applyBorder="1" applyAlignment="1">
      <alignment vertical="center"/>
    </xf>
    <xf numFmtId="2" fontId="32" fillId="0" borderId="0" xfId="0" applyNumberFormat="1" applyFont="1" applyAlignment="1">
      <alignment vertical="center" wrapText="1"/>
    </xf>
    <xf numFmtId="2" fontId="32" fillId="0" borderId="0" xfId="4" applyNumberFormat="1" applyFont="1" applyFill="1" applyBorder="1" applyAlignment="1" applyProtection="1">
      <alignment vertical="center"/>
    </xf>
    <xf numFmtId="164" fontId="32" fillId="0" borderId="0" xfId="4" applyNumberFormat="1" applyFont="1" applyFill="1" applyBorder="1" applyAlignment="1" applyProtection="1">
      <alignment vertical="center"/>
    </xf>
    <xf numFmtId="164" fontId="32" fillId="0" borderId="0" xfId="0" applyNumberFormat="1" applyFont="1" applyAlignment="1">
      <alignment vertical="center"/>
    </xf>
    <xf numFmtId="170" fontId="32" fillId="0" borderId="0" xfId="0" applyNumberFormat="1" applyFont="1" applyAlignment="1">
      <alignment vertical="center"/>
    </xf>
    <xf numFmtId="168" fontId="32" fillId="0" borderId="0" xfId="0" applyNumberFormat="1" applyFont="1" applyAlignment="1">
      <alignment vertical="center"/>
    </xf>
    <xf numFmtId="168" fontId="40" fillId="0" borderId="0" xfId="0" applyNumberFormat="1" applyFont="1" applyAlignment="1">
      <alignment vertical="center"/>
    </xf>
    <xf numFmtId="2" fontId="32" fillId="0" borderId="37" xfId="0" applyNumberFormat="1" applyFont="1" applyBorder="1" applyAlignment="1">
      <alignment vertical="center" wrapText="1"/>
    </xf>
    <xf numFmtId="2" fontId="40" fillId="10" borderId="37" xfId="0" applyNumberFormat="1" applyFont="1" applyFill="1" applyBorder="1" applyAlignment="1">
      <alignment vertical="center" wrapText="1"/>
    </xf>
    <xf numFmtId="170" fontId="32" fillId="0" borderId="37" xfId="0" applyNumberFormat="1" applyFont="1" applyBorder="1" applyAlignment="1">
      <alignment vertical="center"/>
    </xf>
    <xf numFmtId="2" fontId="32" fillId="0" borderId="37" xfId="4" applyNumberFormat="1" applyFont="1" applyFill="1" applyBorder="1" applyAlignment="1" applyProtection="1">
      <alignment vertical="center"/>
    </xf>
    <xf numFmtId="168" fontId="32" fillId="0" borderId="37" xfId="0" applyNumberFormat="1" applyFont="1" applyBorder="1" applyAlignment="1">
      <alignment vertical="center"/>
    </xf>
    <xf numFmtId="2" fontId="43" fillId="0" borderId="0" xfId="0" applyNumberFormat="1" applyFont="1" applyAlignment="1">
      <alignment vertical="center" wrapText="1"/>
    </xf>
    <xf numFmtId="2" fontId="44" fillId="0" borderId="0" xfId="0" applyNumberFormat="1" applyFont="1" applyAlignment="1">
      <alignment vertical="center" wrapText="1"/>
    </xf>
    <xf numFmtId="170" fontId="44" fillId="0" borderId="0" xfId="0" applyNumberFormat="1" applyFont="1" applyAlignment="1">
      <alignment vertical="center"/>
    </xf>
    <xf numFmtId="2" fontId="43" fillId="0" borderId="0" xfId="4" applyNumberFormat="1" applyFont="1" applyFill="1" applyBorder="1" applyAlignment="1" applyProtection="1">
      <alignment vertical="center"/>
    </xf>
    <xf numFmtId="168" fontId="43" fillId="0" borderId="0" xfId="0" applyNumberFormat="1" applyFont="1" applyAlignment="1">
      <alignment vertical="center"/>
    </xf>
    <xf numFmtId="0" fontId="43" fillId="0" borderId="0" xfId="0" applyFont="1" applyAlignment="1">
      <alignment vertical="center"/>
    </xf>
    <xf numFmtId="168" fontId="44" fillId="0" borderId="0" xfId="0" applyNumberFormat="1" applyFont="1" applyAlignment="1">
      <alignment vertical="center"/>
    </xf>
    <xf numFmtId="164" fontId="43" fillId="0" borderId="0" xfId="0" applyNumberFormat="1" applyFont="1" applyAlignment="1">
      <alignment vertical="center"/>
    </xf>
    <xf numFmtId="2" fontId="43" fillId="0" borderId="37" xfId="0" applyNumberFormat="1" applyFont="1" applyBorder="1" applyAlignment="1">
      <alignment vertical="center" wrapText="1"/>
    </xf>
    <xf numFmtId="2" fontId="44" fillId="12" borderId="37" xfId="0" applyNumberFormat="1" applyFont="1" applyFill="1" applyBorder="1" applyAlignment="1">
      <alignment vertical="center" wrapText="1"/>
    </xf>
    <xf numFmtId="2" fontId="28" fillId="0" borderId="0" xfId="0" applyNumberFormat="1" applyFont="1" applyAlignment="1">
      <alignment vertical="center" wrapText="1"/>
    </xf>
    <xf numFmtId="2" fontId="28" fillId="0" borderId="0" xfId="4" applyNumberFormat="1" applyFont="1" applyFill="1" applyBorder="1" applyAlignment="1" applyProtection="1">
      <alignment vertical="center"/>
    </xf>
    <xf numFmtId="168" fontId="41" fillId="0" borderId="0" xfId="0" applyNumberFormat="1" applyFont="1" applyAlignment="1">
      <alignment vertical="center"/>
    </xf>
    <xf numFmtId="168" fontId="41" fillId="0" borderId="0" xfId="0" applyNumberFormat="1" applyFont="1" applyAlignment="1">
      <alignment vertical="center" wrapText="1"/>
    </xf>
    <xf numFmtId="0" fontId="41" fillId="0" borderId="0" xfId="0" applyFont="1" applyAlignment="1">
      <alignment vertical="center"/>
    </xf>
    <xf numFmtId="2" fontId="28" fillId="0" borderId="37" xfId="0" applyNumberFormat="1" applyFont="1" applyBorder="1" applyAlignment="1">
      <alignment vertical="center" wrapText="1"/>
    </xf>
    <xf numFmtId="168" fontId="41" fillId="3" borderId="37" xfId="0" applyNumberFormat="1" applyFont="1" applyFill="1" applyBorder="1" applyAlignment="1">
      <alignment vertical="center" wrapText="1"/>
    </xf>
    <xf numFmtId="0" fontId="41" fillId="0" borderId="37" xfId="0" applyFont="1" applyBorder="1" applyAlignment="1">
      <alignment vertical="center"/>
    </xf>
    <xf numFmtId="168" fontId="28" fillId="0" borderId="37" xfId="4" applyNumberFormat="1" applyFont="1" applyFill="1" applyBorder="1" applyAlignment="1" applyProtection="1">
      <alignment vertical="center"/>
    </xf>
    <xf numFmtId="2" fontId="25" fillId="0" borderId="0" xfId="4" applyNumberFormat="1" applyFont="1" applyFill="1" applyBorder="1" applyAlignment="1" applyProtection="1">
      <alignment vertical="center"/>
    </xf>
    <xf numFmtId="168" fontId="28" fillId="0" borderId="0" xfId="0" applyNumberFormat="1" applyFont="1" applyAlignment="1">
      <alignment vertical="center"/>
    </xf>
    <xf numFmtId="0" fontId="25" fillId="0" borderId="0" xfId="0" applyFont="1" applyAlignment="1">
      <alignment vertical="center" wrapText="1"/>
    </xf>
    <xf numFmtId="168" fontId="25" fillId="0" borderId="0" xfId="4" applyNumberFormat="1" applyFont="1" applyFill="1" applyBorder="1" applyAlignment="1" applyProtection="1">
      <alignment vertical="center"/>
    </xf>
    <xf numFmtId="168" fontId="25" fillId="0" borderId="0" xfId="2" applyNumberFormat="1" applyFont="1" applyAlignment="1">
      <alignment vertical="center"/>
    </xf>
    <xf numFmtId="168" fontId="25" fillId="0" borderId="0" xfId="7" applyNumberFormat="1" applyFont="1" applyAlignment="1">
      <alignment vertical="center"/>
    </xf>
    <xf numFmtId="168" fontId="25" fillId="0" borderId="0" xfId="0" applyNumberFormat="1" applyFont="1" applyAlignment="1">
      <alignment vertical="center" wrapText="1"/>
    </xf>
    <xf numFmtId="168" fontId="42" fillId="0" borderId="0" xfId="0" applyNumberFormat="1" applyFont="1" applyAlignment="1">
      <alignment vertical="center"/>
    </xf>
    <xf numFmtId="168" fontId="42" fillId="0" borderId="0" xfId="0" applyNumberFormat="1" applyFont="1" applyAlignment="1">
      <alignment vertical="center" wrapText="1"/>
    </xf>
    <xf numFmtId="168" fontId="25" fillId="0" borderId="0" xfId="0" applyNumberFormat="1" applyFont="1" applyAlignment="1">
      <alignment vertical="center"/>
    </xf>
    <xf numFmtId="0" fontId="25" fillId="0" borderId="37" xfId="0" applyFont="1" applyBorder="1" applyAlignment="1">
      <alignment vertical="center" wrapText="1"/>
    </xf>
    <xf numFmtId="168" fontId="42" fillId="6" borderId="37" xfId="0" applyNumberFormat="1" applyFont="1" applyFill="1" applyBorder="1" applyAlignment="1">
      <alignment vertical="center" wrapText="1"/>
    </xf>
    <xf numFmtId="168" fontId="25" fillId="0" borderId="37" xfId="0" applyNumberFormat="1" applyFont="1" applyBorder="1" applyAlignment="1">
      <alignment vertical="center"/>
    </xf>
    <xf numFmtId="2" fontId="25" fillId="0" borderId="37" xfId="4" applyNumberFormat="1" applyFont="1" applyFill="1" applyBorder="1" applyAlignment="1" applyProtection="1">
      <alignment vertical="center"/>
    </xf>
    <xf numFmtId="168" fontId="25" fillId="0" borderId="37" xfId="2" applyNumberFormat="1" applyFont="1" applyBorder="1" applyAlignment="1">
      <alignment vertical="center"/>
    </xf>
    <xf numFmtId="168" fontId="25" fillId="0" borderId="37" xfId="7" applyNumberFormat="1" applyFont="1" applyBorder="1" applyAlignment="1">
      <alignment vertical="center"/>
    </xf>
    <xf numFmtId="168" fontId="36" fillId="0" borderId="0" xfId="0" applyNumberFormat="1" applyFont="1" applyAlignment="1">
      <alignment vertical="center" wrapText="1"/>
    </xf>
    <xf numFmtId="0" fontId="13" fillId="0" borderId="0" xfId="0" applyFont="1" applyAlignment="1">
      <alignment horizontal="right" vertical="center"/>
    </xf>
    <xf numFmtId="0" fontId="8" fillId="0" borderId="0" xfId="1" applyBorder="1" applyAlignment="1" applyProtection="1">
      <alignment vertical="center"/>
    </xf>
    <xf numFmtId="0" fontId="14" fillId="0" borderId="0" xfId="1" applyFont="1" applyBorder="1" applyAlignment="1" applyProtection="1">
      <alignment vertical="center"/>
    </xf>
    <xf numFmtId="0" fontId="0" fillId="0" borderId="0" xfId="0" quotePrefix="1"/>
    <xf numFmtId="0" fontId="13" fillId="0" borderId="0" xfId="0" applyFont="1" applyAlignment="1">
      <alignment horizontal="right" vertical="top"/>
    </xf>
    <xf numFmtId="0" fontId="18" fillId="0" borderId="0" xfId="0" applyFont="1" applyAlignment="1">
      <alignment vertical="center" wrapText="1"/>
    </xf>
    <xf numFmtId="0" fontId="19" fillId="0" borderId="0" xfId="1" applyFont="1" applyFill="1" applyBorder="1" applyAlignment="1" applyProtection="1">
      <alignment vertical="center" wrapText="1"/>
    </xf>
    <xf numFmtId="0" fontId="13" fillId="0" borderId="0" xfId="0" applyFont="1" applyAlignment="1">
      <alignment vertical="center"/>
    </xf>
    <xf numFmtId="0" fontId="22" fillId="0" borderId="0" xfId="0" applyFont="1"/>
    <xf numFmtId="10" fontId="22" fillId="0" borderId="0" xfId="4" applyNumberFormat="1" applyFont="1" applyProtection="1"/>
    <xf numFmtId="0" fontId="16" fillId="0" borderId="36" xfId="0" applyFont="1" applyBorder="1" applyAlignment="1">
      <alignment wrapText="1"/>
    </xf>
    <xf numFmtId="10" fontId="16" fillId="0" borderId="36" xfId="0" applyNumberFormat="1" applyFont="1" applyBorder="1"/>
    <xf numFmtId="0" fontId="16" fillId="0" borderId="36" xfId="0" applyFont="1" applyBorder="1" applyAlignment="1">
      <alignment vertical="center"/>
    </xf>
    <xf numFmtId="10" fontId="14" fillId="0" borderId="36" xfId="4" applyNumberFormat="1" applyFont="1" applyFill="1" applyBorder="1" applyAlignment="1" applyProtection="1">
      <alignment vertical="center"/>
    </xf>
    <xf numFmtId="14" fontId="14" fillId="0" borderId="36" xfId="4" applyNumberFormat="1" applyFont="1" applyFill="1" applyBorder="1" applyAlignment="1" applyProtection="1">
      <alignment vertical="center"/>
    </xf>
    <xf numFmtId="14" fontId="14" fillId="0" borderId="36" xfId="0" applyNumberFormat="1" applyFont="1" applyBorder="1" applyAlignment="1">
      <alignment vertical="center"/>
    </xf>
    <xf numFmtId="10" fontId="14" fillId="0" borderId="36" xfId="4" applyNumberFormat="1" applyFont="1" applyBorder="1" applyProtection="1"/>
    <xf numFmtId="14" fontId="14" fillId="0" borderId="36" xfId="0" applyNumberFormat="1" applyFont="1" applyBorder="1"/>
    <xf numFmtId="10" fontId="14" fillId="0" borderId="36" xfId="0" applyNumberFormat="1" applyFont="1" applyBorder="1"/>
    <xf numFmtId="169" fontId="32" fillId="0" borderId="0" xfId="0" applyNumberFormat="1" applyFont="1" applyAlignment="1">
      <alignment vertical="center"/>
    </xf>
    <xf numFmtId="0" fontId="8" fillId="0" borderId="0" xfId="1" applyAlignment="1">
      <alignment vertical="center"/>
    </xf>
    <xf numFmtId="0" fontId="0" fillId="0" borderId="0" xfId="0" applyAlignment="1">
      <alignment vertical="top" wrapText="1"/>
    </xf>
    <xf numFmtId="0" fontId="0" fillId="0" borderId="0" xfId="0" applyAlignment="1">
      <alignment horizontal="centerContinuous" vertical="top" wrapText="1"/>
    </xf>
    <xf numFmtId="3" fontId="5" fillId="0" borderId="21" xfId="0" applyNumberFormat="1" applyFont="1" applyBorder="1" applyAlignment="1">
      <alignment vertical="center" wrapText="1"/>
    </xf>
    <xf numFmtId="3" fontId="0" fillId="0" borderId="21" xfId="0" applyNumberFormat="1" applyBorder="1" applyAlignment="1">
      <alignment vertical="center" wrapText="1"/>
    </xf>
    <xf numFmtId="0" fontId="3" fillId="0" borderId="29" xfId="0" applyFont="1" applyBorder="1" applyAlignment="1">
      <alignment horizontal="left" vertical="center"/>
    </xf>
    <xf numFmtId="0" fontId="3" fillId="0" borderId="20"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9" fontId="1" fillId="0" borderId="0" xfId="0" applyNumberFormat="1" applyFont="1" applyAlignment="1">
      <alignment vertical="center"/>
    </xf>
    <xf numFmtId="0" fontId="8" fillId="0" borderId="0" xfId="1" applyBorder="1"/>
    <xf numFmtId="3" fontId="1" fillId="0" borderId="0" xfId="0" applyNumberFormat="1" applyFont="1"/>
    <xf numFmtId="2" fontId="62" fillId="0" borderId="0" xfId="0" applyNumberFormat="1" applyFont="1" applyAlignment="1">
      <alignment vertical="center"/>
    </xf>
    <xf numFmtId="2" fontId="62" fillId="0" borderId="0" xfId="0" applyNumberFormat="1" applyFont="1" applyAlignment="1">
      <alignment vertical="center" wrapText="1"/>
    </xf>
    <xf numFmtId="0" fontId="63" fillId="0" borderId="0" xfId="0" applyFont="1" applyAlignment="1">
      <alignment vertical="center" wrapText="1"/>
    </xf>
    <xf numFmtId="2" fontId="62" fillId="0" borderId="0" xfId="4" applyNumberFormat="1" applyFont="1" applyFill="1" applyBorder="1" applyAlignment="1" applyProtection="1">
      <alignment vertical="center"/>
    </xf>
    <xf numFmtId="168" fontId="62" fillId="0" borderId="0" xfId="0" applyNumberFormat="1" applyFont="1" applyAlignment="1">
      <alignment vertical="center"/>
    </xf>
    <xf numFmtId="0" fontId="62" fillId="0" borderId="0" xfId="0" applyFont="1" applyAlignment="1">
      <alignment vertical="center"/>
    </xf>
    <xf numFmtId="2" fontId="63" fillId="0" borderId="0" xfId="0" applyNumberFormat="1" applyFont="1" applyAlignment="1">
      <alignment vertical="center" wrapText="1"/>
    </xf>
    <xf numFmtId="170" fontId="62" fillId="0" borderId="0" xfId="0" applyNumberFormat="1" applyFont="1" applyAlignment="1">
      <alignment vertical="center"/>
    </xf>
    <xf numFmtId="2" fontId="62" fillId="0" borderId="37" xfId="0" applyNumberFormat="1" applyFont="1" applyBorder="1" applyAlignment="1">
      <alignment vertical="center"/>
    </xf>
    <xf numFmtId="2" fontId="62" fillId="0" borderId="37" xfId="0" applyNumberFormat="1" applyFont="1" applyBorder="1" applyAlignment="1">
      <alignment vertical="center" wrapText="1"/>
    </xf>
    <xf numFmtId="2" fontId="63" fillId="0" borderId="37" xfId="0" applyNumberFormat="1" applyFont="1" applyBorder="1" applyAlignment="1">
      <alignment vertical="center" wrapText="1"/>
    </xf>
    <xf numFmtId="170" fontId="62" fillId="0" borderId="37" xfId="0" applyNumberFormat="1" applyFont="1" applyBorder="1" applyAlignment="1">
      <alignment vertical="center"/>
    </xf>
    <xf numFmtId="2" fontId="62" fillId="0" borderId="37" xfId="4" applyNumberFormat="1" applyFont="1" applyFill="1" applyBorder="1" applyAlignment="1" applyProtection="1">
      <alignment vertical="center"/>
    </xf>
    <xf numFmtId="168" fontId="62" fillId="0" borderId="37" xfId="0" applyNumberFormat="1" applyFont="1" applyBorder="1" applyAlignment="1">
      <alignment vertical="center"/>
    </xf>
    <xf numFmtId="0" fontId="62" fillId="0" borderId="37" xfId="0" applyFont="1" applyBorder="1" applyAlignment="1">
      <alignment vertical="center"/>
    </xf>
    <xf numFmtId="168" fontId="63" fillId="0" borderId="0" xfId="4" applyNumberFormat="1" applyFont="1" applyFill="1" applyBorder="1" applyAlignment="1" applyProtection="1">
      <alignment vertical="center"/>
    </xf>
    <xf numFmtId="2" fontId="1" fillId="0" borderId="10" xfId="0" applyNumberFormat="1" applyFont="1" applyBorder="1" applyAlignment="1">
      <alignment horizontal="center" vertical="center"/>
    </xf>
    <xf numFmtId="3" fontId="1" fillId="0" borderId="12" xfId="0" applyNumberFormat="1" applyFont="1" applyBorder="1" applyAlignment="1">
      <alignment horizontal="center" vertical="center"/>
    </xf>
    <xf numFmtId="3" fontId="1" fillId="0" borderId="10" xfId="0" applyNumberFormat="1" applyFont="1" applyBorder="1" applyAlignment="1">
      <alignment horizontal="center" vertical="center"/>
    </xf>
    <xf numFmtId="0" fontId="1" fillId="0" borderId="29" xfId="0" applyFont="1" applyBorder="1" applyAlignment="1">
      <alignment horizontal="center" vertical="center"/>
    </xf>
    <xf numFmtId="0" fontId="1" fillId="0" borderId="24" xfId="0" applyFont="1" applyBorder="1" applyAlignment="1">
      <alignment horizontal="center" vertical="center"/>
    </xf>
    <xf numFmtId="167" fontId="1" fillId="0" borderId="12" xfId="0" applyNumberFormat="1" applyFont="1" applyBorder="1" applyAlignment="1">
      <alignment horizontal="center" vertical="center"/>
    </xf>
    <xf numFmtId="167" fontId="1" fillId="0" borderId="10" xfId="0" applyNumberFormat="1" applyFont="1" applyBorder="1" applyAlignment="1">
      <alignment horizontal="center" vertical="center"/>
    </xf>
    <xf numFmtId="0" fontId="59" fillId="0" borderId="0" xfId="1" applyFont="1" applyAlignment="1" applyProtection="1">
      <alignment horizontal="center" vertical="center"/>
    </xf>
    <xf numFmtId="0" fontId="1" fillId="4" borderId="25" xfId="0" applyFont="1" applyFill="1" applyBorder="1" applyAlignment="1" applyProtection="1">
      <alignment horizontal="left" vertical="center"/>
      <protection locked="0"/>
    </xf>
    <xf numFmtId="0" fontId="1" fillId="4" borderId="47" xfId="0" applyFont="1" applyFill="1" applyBorder="1" applyAlignment="1" applyProtection="1">
      <alignment horizontal="left" vertical="center"/>
      <protection locked="0"/>
    </xf>
    <xf numFmtId="0" fontId="1" fillId="4" borderId="4" xfId="0" applyFont="1" applyFill="1" applyBorder="1" applyAlignment="1" applyProtection="1">
      <alignment horizontal="left" vertical="center"/>
      <protection locked="0"/>
    </xf>
    <xf numFmtId="0" fontId="5" fillId="4" borderId="12" xfId="0" applyFont="1" applyFill="1" applyBorder="1" applyAlignment="1" applyProtection="1">
      <alignment horizontal="left" vertical="center"/>
      <protection locked="0"/>
    </xf>
    <xf numFmtId="0" fontId="5" fillId="4" borderId="9" xfId="0" applyFont="1" applyFill="1" applyBorder="1" applyAlignment="1" applyProtection="1">
      <alignment horizontal="left" vertical="center"/>
      <protection locked="0"/>
    </xf>
    <xf numFmtId="0" fontId="5" fillId="4" borderId="13" xfId="0" applyFont="1" applyFill="1" applyBorder="1" applyAlignment="1" applyProtection="1">
      <alignment horizontal="left" vertical="center"/>
      <protection locked="0"/>
    </xf>
    <xf numFmtId="0" fontId="5" fillId="0" borderId="35" xfId="0" applyFont="1" applyBorder="1" applyAlignment="1">
      <alignment horizontal="left" vertical="center"/>
    </xf>
    <xf numFmtId="0" fontId="5" fillId="0" borderId="19" xfId="0" applyFont="1" applyBorder="1" applyAlignment="1">
      <alignment horizontal="left" vertical="center"/>
    </xf>
    <xf numFmtId="3" fontId="5" fillId="0" borderId="11" xfId="0" applyNumberFormat="1" applyFont="1" applyBorder="1" applyAlignment="1">
      <alignment horizontal="left" vertical="center"/>
    </xf>
    <xf numFmtId="3" fontId="5" fillId="0" borderId="28" xfId="0" applyNumberFormat="1" applyFont="1" applyBorder="1" applyAlignment="1">
      <alignment horizontal="left" vertical="center"/>
    </xf>
    <xf numFmtId="3" fontId="5" fillId="0" borderId="30" xfId="0" applyNumberFormat="1" applyFont="1" applyBorder="1" applyAlignment="1">
      <alignment horizontal="left" vertical="center"/>
    </xf>
    <xf numFmtId="0" fontId="5" fillId="0" borderId="26" xfId="0" applyFont="1" applyBorder="1" applyAlignment="1">
      <alignment horizontal="left" vertical="center"/>
    </xf>
    <xf numFmtId="0" fontId="5" fillId="0" borderId="6" xfId="0" applyFont="1" applyBorder="1" applyAlignment="1">
      <alignment horizontal="left" vertical="center"/>
    </xf>
    <xf numFmtId="0" fontId="5" fillId="0" borderId="27" xfId="0" applyFont="1" applyBorder="1" applyAlignment="1">
      <alignment horizontal="left" vertical="center"/>
    </xf>
    <xf numFmtId="0" fontId="5" fillId="0" borderId="11" xfId="0" applyFont="1" applyBorder="1" applyAlignment="1">
      <alignment horizontal="left" vertical="center"/>
    </xf>
    <xf numFmtId="0" fontId="5" fillId="0" borderId="28" xfId="0" applyFont="1" applyBorder="1" applyAlignment="1">
      <alignment horizontal="left" vertical="center"/>
    </xf>
    <xf numFmtId="0" fontId="5" fillId="0" borderId="32" xfId="0" applyFont="1" applyBorder="1" applyAlignment="1">
      <alignment horizontal="left" vertical="center"/>
    </xf>
    <xf numFmtId="0" fontId="5" fillId="0" borderId="7" xfId="0" applyFont="1" applyBorder="1" applyAlignment="1">
      <alignment horizontal="left" vertical="center"/>
    </xf>
    <xf numFmtId="0" fontId="8" fillId="0" borderId="0" xfId="1" applyAlignment="1" applyProtection="1">
      <alignment horizontal="center" vertical="center"/>
    </xf>
    <xf numFmtId="0" fontId="1" fillId="2" borderId="29" xfId="0" applyFont="1" applyFill="1" applyBorder="1" applyAlignment="1" applyProtection="1">
      <alignment horizontal="center" vertical="center"/>
      <protection locked="0"/>
    </xf>
    <xf numFmtId="0" fontId="1" fillId="2" borderId="24" xfId="0" applyFont="1" applyFill="1" applyBorder="1" applyAlignment="1" applyProtection="1">
      <alignment horizontal="center" vertical="center"/>
      <protection locked="0"/>
    </xf>
    <xf numFmtId="2" fontId="1" fillId="0" borderId="12" xfId="0" applyNumberFormat="1" applyFont="1" applyBorder="1" applyAlignment="1">
      <alignment horizontal="center" vertical="center"/>
    </xf>
    <xf numFmtId="2" fontId="1" fillId="0" borderId="10" xfId="0" applyNumberFormat="1" applyFont="1" applyBorder="1" applyAlignment="1">
      <alignment horizontal="center" vertical="center"/>
    </xf>
    <xf numFmtId="0" fontId="1" fillId="4" borderId="1"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1" fontId="1" fillId="0" borderId="12" xfId="0" applyNumberFormat="1" applyFont="1" applyBorder="1" applyAlignment="1">
      <alignment horizontal="center" vertical="center"/>
    </xf>
    <xf numFmtId="1" fontId="1" fillId="0" borderId="10" xfId="0" applyNumberFormat="1" applyFont="1" applyBorder="1" applyAlignment="1">
      <alignment horizontal="center" vertical="center"/>
    </xf>
    <xf numFmtId="10" fontId="3" fillId="0" borderId="54" xfId="0" applyNumberFormat="1" applyFont="1" applyBorder="1" applyAlignment="1">
      <alignment horizontal="center" vertical="center"/>
    </xf>
    <xf numFmtId="10" fontId="3" fillId="0" borderId="55" xfId="0" applyNumberFormat="1" applyFont="1" applyBorder="1" applyAlignment="1">
      <alignment horizontal="center" vertical="center"/>
    </xf>
    <xf numFmtId="3" fontId="1" fillId="0" borderId="26" xfId="0" applyNumberFormat="1" applyFont="1" applyBorder="1" applyAlignment="1">
      <alignment horizontal="center" vertical="center"/>
    </xf>
    <xf numFmtId="3" fontId="1" fillId="0" borderId="27" xfId="0" applyNumberFormat="1" applyFont="1" applyBorder="1" applyAlignment="1">
      <alignment horizontal="center" vertical="center"/>
    </xf>
    <xf numFmtId="173" fontId="1" fillId="0" borderId="51" xfId="0" applyNumberFormat="1" applyFont="1" applyBorder="1" applyAlignment="1">
      <alignment horizontal="center" vertical="center"/>
    </xf>
    <xf numFmtId="173" fontId="1" fillId="0" borderId="56" xfId="0" applyNumberFormat="1" applyFont="1" applyBorder="1" applyAlignment="1">
      <alignment horizontal="center" vertical="center"/>
    </xf>
    <xf numFmtId="10" fontId="3" fillId="0" borderId="53" xfId="0" applyNumberFormat="1"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1" xfId="0" applyFont="1" applyBorder="1" applyAlignment="1">
      <alignment horizontal="left" vertical="center"/>
    </xf>
    <xf numFmtId="0" fontId="3" fillId="0" borderId="53" xfId="0" applyFont="1" applyBorder="1" applyAlignment="1">
      <alignment horizontal="left" vertical="center"/>
    </xf>
    <xf numFmtId="173" fontId="1" fillId="0" borderId="52" xfId="0" applyNumberFormat="1" applyFont="1" applyBorder="1" applyAlignment="1">
      <alignment horizontal="center" vertical="center"/>
    </xf>
    <xf numFmtId="0" fontId="3" fillId="0" borderId="29" xfId="0" applyFont="1" applyBorder="1" applyAlignment="1">
      <alignment horizontal="left" vertical="center"/>
    </xf>
    <xf numFmtId="0" fontId="3" fillId="0" borderId="20" xfId="0" applyFont="1" applyBorder="1" applyAlignment="1">
      <alignment horizontal="left" vertical="center"/>
    </xf>
    <xf numFmtId="0" fontId="3" fillId="0" borderId="24" xfId="0" applyFont="1" applyBorder="1" applyAlignment="1">
      <alignment horizontal="left" vertical="center"/>
    </xf>
    <xf numFmtId="9" fontId="3" fillId="0" borderId="15" xfId="4" applyFont="1" applyFill="1" applyBorder="1" applyAlignment="1">
      <alignment horizontal="center" vertical="center"/>
    </xf>
    <xf numFmtId="0" fontId="0" fillId="0" borderId="57" xfId="0" applyBorder="1" applyAlignment="1">
      <alignment horizontal="center" vertical="center"/>
    </xf>
    <xf numFmtId="0" fontId="0" fillId="0" borderId="15" xfId="0" applyBorder="1" applyAlignment="1">
      <alignment horizontal="center" vertical="center"/>
    </xf>
    <xf numFmtId="1" fontId="1" fillId="4" borderId="12" xfId="0" applyNumberFormat="1" applyFont="1" applyFill="1" applyBorder="1" applyAlignment="1" applyProtection="1">
      <alignment horizontal="center" vertical="center"/>
      <protection locked="0"/>
    </xf>
    <xf numFmtId="1" fontId="1" fillId="4" borderId="10" xfId="0" applyNumberFormat="1" applyFont="1" applyFill="1" applyBorder="1" applyAlignment="1" applyProtection="1">
      <alignment horizontal="center" vertical="center"/>
      <protection locked="0"/>
    </xf>
    <xf numFmtId="1" fontId="1" fillId="4" borderId="12" xfId="0" applyNumberFormat="1" applyFont="1" applyFill="1" applyBorder="1" applyAlignment="1" applyProtection="1">
      <alignment horizontal="left" vertical="center"/>
      <protection locked="0"/>
    </xf>
    <xf numFmtId="1" fontId="1" fillId="4" borderId="10" xfId="0" applyNumberFormat="1" applyFont="1" applyFill="1" applyBorder="1" applyAlignment="1" applyProtection="1">
      <alignment horizontal="left" vertical="center"/>
      <protection locked="0"/>
    </xf>
    <xf numFmtId="1" fontId="1" fillId="9" borderId="12" xfId="0" applyNumberFormat="1" applyFont="1" applyFill="1" applyBorder="1" applyAlignment="1" applyProtection="1">
      <alignment horizontal="center" vertical="center"/>
      <protection locked="0"/>
    </xf>
    <xf numFmtId="1" fontId="1" fillId="9" borderId="10" xfId="0" applyNumberFormat="1" applyFont="1" applyFill="1" applyBorder="1" applyAlignment="1" applyProtection="1">
      <alignment horizontal="center" vertical="center"/>
      <protection locked="0"/>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2" xfId="0" applyFont="1" applyBorder="1" applyAlignment="1">
      <alignment horizontal="center" vertical="center"/>
    </xf>
    <xf numFmtId="0" fontId="1" fillId="0" borderId="49" xfId="0" applyFont="1" applyBorder="1" applyAlignment="1">
      <alignment horizontal="center" vertical="center"/>
    </xf>
    <xf numFmtId="0" fontId="5" fillId="0" borderId="17"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3" fontId="1" fillId="4" borderId="26" xfId="0" applyNumberFormat="1" applyFont="1" applyFill="1" applyBorder="1" applyAlignment="1" applyProtection="1">
      <alignment horizontal="center" vertical="center"/>
      <protection locked="0"/>
    </xf>
    <xf numFmtId="3" fontId="1" fillId="4" borderId="6" xfId="0" applyNumberFormat="1" applyFont="1" applyFill="1" applyBorder="1" applyAlignment="1" applyProtection="1">
      <alignment horizontal="center" vertical="center"/>
      <protection locked="0"/>
    </xf>
    <xf numFmtId="3" fontId="1" fillId="4" borderId="7" xfId="0" applyNumberFormat="1" applyFont="1" applyFill="1" applyBorder="1" applyAlignment="1" applyProtection="1">
      <alignment horizontal="center" vertical="center"/>
      <protection locked="0"/>
    </xf>
    <xf numFmtId="3" fontId="50" fillId="14" borderId="0" xfId="0" applyNumberFormat="1" applyFont="1" applyFill="1" applyAlignment="1" applyProtection="1">
      <alignment horizontal="center" vertical="center"/>
      <protection locked="0"/>
    </xf>
    <xf numFmtId="0" fontId="3" fillId="0" borderId="21" xfId="0" applyFont="1" applyBorder="1" applyAlignment="1">
      <alignment horizontal="center" vertical="center"/>
    </xf>
    <xf numFmtId="0" fontId="50" fillId="0" borderId="20" xfId="0" applyFont="1" applyBorder="1" applyAlignment="1">
      <alignment horizontal="left" vertical="center"/>
    </xf>
    <xf numFmtId="0" fontId="0" fillId="0" borderId="21" xfId="0" applyBorder="1" applyAlignment="1">
      <alignment horizontal="center" vertical="center"/>
    </xf>
    <xf numFmtId="14" fontId="1" fillId="0" borderId="2" xfId="0" applyNumberFormat="1" applyFont="1" applyBorder="1" applyAlignment="1">
      <alignment horizontal="center" vertical="center"/>
    </xf>
    <xf numFmtId="14" fontId="1" fillId="0" borderId="3" xfId="0" applyNumberFormat="1" applyFont="1" applyBorder="1" applyAlignment="1">
      <alignment horizontal="center" vertical="center"/>
    </xf>
    <xf numFmtId="3" fontId="1" fillId="9" borderId="12" xfId="0" applyNumberFormat="1" applyFont="1" applyFill="1" applyBorder="1" applyAlignment="1" applyProtection="1">
      <alignment horizontal="center" vertical="center"/>
      <protection locked="0"/>
    </xf>
    <xf numFmtId="3" fontId="1" fillId="9" borderId="13" xfId="0" applyNumberFormat="1" applyFont="1" applyFill="1" applyBorder="1" applyAlignment="1" applyProtection="1">
      <alignment horizontal="center" vertical="center"/>
      <protection locked="0"/>
    </xf>
    <xf numFmtId="0" fontId="1" fillId="4" borderId="12"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3" xfId="0" applyFont="1" applyFill="1" applyBorder="1" applyAlignment="1" applyProtection="1">
      <alignment horizontal="center" vertical="center"/>
      <protection locked="0"/>
    </xf>
    <xf numFmtId="166" fontId="1" fillId="0" borderId="12" xfId="0" applyNumberFormat="1" applyFont="1" applyBorder="1" applyAlignment="1">
      <alignment horizontal="center" vertical="center"/>
    </xf>
    <xf numFmtId="166" fontId="1" fillId="0" borderId="9" xfId="0" applyNumberFormat="1" applyFont="1" applyBorder="1" applyAlignment="1">
      <alignment horizontal="center" vertical="center"/>
    </xf>
    <xf numFmtId="0" fontId="1" fillId="4" borderId="11" xfId="0" applyFont="1" applyFill="1" applyBorder="1" applyAlignment="1" applyProtection="1">
      <alignment horizontal="center" vertical="center"/>
      <protection locked="0"/>
    </xf>
    <xf numFmtId="0" fontId="1" fillId="4" borderId="28"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3" fontId="1" fillId="2" borderId="23" xfId="0" applyNumberFormat="1" applyFont="1" applyFill="1" applyBorder="1" applyAlignment="1" applyProtection="1">
      <alignment horizontal="center" vertical="center"/>
      <protection locked="0"/>
    </xf>
    <xf numFmtId="3" fontId="1" fillId="2" borderId="0" xfId="0" applyNumberFormat="1" applyFont="1" applyFill="1" applyAlignment="1" applyProtection="1">
      <alignment horizontal="center" vertical="center"/>
      <protection locked="0"/>
    </xf>
    <xf numFmtId="3" fontId="1" fillId="2" borderId="31" xfId="0" applyNumberFormat="1" applyFont="1" applyFill="1" applyBorder="1" applyAlignment="1" applyProtection="1">
      <alignment horizontal="center" vertical="center"/>
      <protection locked="0"/>
    </xf>
    <xf numFmtId="0" fontId="1" fillId="0" borderId="0" xfId="0" applyFont="1" applyAlignment="1">
      <alignment horizontal="right"/>
    </xf>
    <xf numFmtId="0" fontId="0" fillId="0" borderId="0" xfId="0" applyAlignment="1">
      <alignment horizont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49" fontId="0" fillId="0" borderId="1" xfId="0" applyNumberFormat="1" applyBorder="1" applyAlignment="1">
      <alignment horizontal="center"/>
    </xf>
    <xf numFmtId="49" fontId="0" fillId="0" borderId="2" xfId="0" applyNumberFormat="1" applyBorder="1" applyAlignment="1">
      <alignment horizontal="center"/>
    </xf>
    <xf numFmtId="49" fontId="0" fillId="0" borderId="3" xfId="0" applyNumberFormat="1" applyBorder="1" applyAlignment="1">
      <alignment horizontal="center"/>
    </xf>
  </cellXfs>
  <cellStyles count="10">
    <cellStyle name="Komma" xfId="9" builtinId="3"/>
    <cellStyle name="Link" xfId="1" builtinId="8"/>
    <cellStyle name="Prozent" xfId="4" builtinId="5"/>
    <cellStyle name="Standard" xfId="0" builtinId="0"/>
    <cellStyle name="Standard 2" xfId="2" xr:uid="{00000000-0005-0000-0000-000004000000}"/>
    <cellStyle name="Standard 2 2" xfId="5" xr:uid="{00000000-0005-0000-0000-000005000000}"/>
    <cellStyle name="Standard 3" xfId="3" xr:uid="{00000000-0005-0000-0000-000006000000}"/>
    <cellStyle name="Standard 3 2" xfId="6" xr:uid="{00000000-0005-0000-0000-000007000000}"/>
    <cellStyle name="Standard 4" xfId="8" xr:uid="{00000000-0005-0000-0000-000008000000}"/>
    <cellStyle name="Standard_faxblattformat" xfId="7" xr:uid="{00000000-0005-0000-0000-000009000000}"/>
  </cellStyles>
  <dxfs count="56">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indexed="11"/>
        </patternFill>
      </fill>
    </dxf>
    <dxf>
      <fill>
        <patternFill>
          <bgColor indexed="10"/>
        </patternFill>
      </fill>
    </dxf>
    <dxf>
      <font>
        <color rgb="FF9C0006"/>
      </font>
      <fill>
        <patternFill>
          <bgColor rgb="FFFFC7CE"/>
        </patternFill>
      </fill>
    </dxf>
    <dxf>
      <fill>
        <patternFill>
          <bgColor indexed="11"/>
        </patternFill>
      </fill>
    </dxf>
    <dxf>
      <fill>
        <patternFill>
          <bgColor indexed="10"/>
        </patternFill>
      </fill>
    </dxf>
    <dxf>
      <font>
        <color rgb="FF9C0006"/>
      </font>
      <fill>
        <patternFill>
          <bgColor rgb="FFFFC7CE"/>
        </patternFill>
      </fill>
    </dxf>
    <dxf>
      <font>
        <strike val="0"/>
        <color auto="1"/>
      </font>
      <fill>
        <patternFill patternType="none">
          <bgColor auto="1"/>
        </patternFill>
      </fill>
      <border>
        <left/>
        <right/>
        <top/>
        <bottom/>
      </border>
    </dxf>
    <dxf>
      <fill>
        <patternFill>
          <bgColor rgb="FFFFFF00"/>
        </patternFill>
      </fill>
      <border>
        <right style="thin">
          <color auto="1"/>
        </right>
        <top style="hair">
          <color auto="1"/>
        </top>
        <bottom style="thin">
          <color auto="1"/>
        </bottom>
      </border>
    </dxf>
    <dxf>
      <font>
        <color rgb="FF9C0006"/>
      </font>
      <fill>
        <patternFill>
          <bgColor rgb="FFFFC7CE"/>
        </patternFill>
      </fill>
    </dxf>
    <dxf>
      <font>
        <color theme="5"/>
      </font>
    </dxf>
    <dxf>
      <font>
        <color rgb="FFFF0000"/>
      </font>
    </dxf>
    <dxf>
      <font>
        <color rgb="FF9C0006"/>
      </font>
      <fill>
        <patternFill>
          <bgColor rgb="FFFFC7CE"/>
        </patternFill>
      </fill>
    </dxf>
    <dxf>
      <border>
        <left style="thin">
          <color auto="1"/>
        </left>
        <right style="hair">
          <color auto="1"/>
        </right>
        <top style="hair">
          <color auto="1"/>
        </top>
        <bottom style="thin">
          <color auto="1"/>
        </bottom>
        <vertical/>
        <horizontal/>
      </border>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s>
  <tableStyles count="0" defaultTableStyle="TableStyleMedium2" defaultPivotStyle="PivotStyleLight16"/>
  <colors>
    <mruColors>
      <color rgb="FF339933"/>
      <color rgb="FFFFFFCC"/>
      <color rgb="FFFFCCFF"/>
      <color rgb="FFCCCCFF"/>
      <color rgb="FFCC3399"/>
      <color rgb="FFFFFF99"/>
      <color rgb="FFF6FAD2"/>
      <color rgb="FFFA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de-CH">
                <a:solidFill>
                  <a:sysClr val="windowText" lastClr="000000"/>
                </a:solidFill>
              </a:rPr>
              <a:t>Heizkosten in Franken pro Jahr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9.8789337379339204E-2"/>
          <c:y val="0.11028062932859609"/>
          <c:w val="0.87684742895510159"/>
          <c:h val="0.62808954338776446"/>
        </c:manualLayout>
      </c:layout>
      <c:barChart>
        <c:barDir val="col"/>
        <c:grouping val="stacked"/>
        <c:varyColors val="0"/>
        <c:ser>
          <c:idx val="2"/>
          <c:order val="0"/>
          <c:tx>
            <c:strRef>
              <c:f>Bild_Heizkosten!$A$5</c:f>
              <c:strCache>
                <c:ptCount val="1"/>
                <c:pt idx="0">
                  <c:v>Kapitalkosten</c:v>
                </c:pt>
              </c:strCache>
            </c:strRef>
          </c:tx>
          <c:spPr>
            <a:solidFill>
              <a:srgbClr val="0070C0"/>
            </a:solidFill>
            <a:ln>
              <a:noFill/>
            </a:ln>
            <a:effectLst/>
          </c:spPr>
          <c:invertIfNegative val="0"/>
          <c:cat>
            <c:strRef>
              <c:f>Bild_Heizkosten!$B$2:$F$2</c:f>
              <c:strCache>
                <c:ptCount val="5"/>
                <c:pt idx="0">
                  <c:v> </c:v>
                </c:pt>
                <c:pt idx="1">
                  <c:v>WP-Luft (a)</c:v>
                </c:pt>
                <c:pt idx="2">
                  <c:v>WP-Sonde</c:v>
                </c:pt>
                <c:pt idx="3">
                  <c:v>Holz-Pellets</c:v>
                </c:pt>
                <c:pt idx="4">
                  <c:v>Oelheizung</c:v>
                </c:pt>
              </c:strCache>
            </c:strRef>
          </c:cat>
          <c:val>
            <c:numRef>
              <c:f>Bild_Heizkosten!$B$5:$F$5</c:f>
              <c:numCache>
                <c:formatCode>#,##0</c:formatCode>
                <c:ptCount val="5"/>
                <c:pt idx="0">
                  <c:v>0</c:v>
                </c:pt>
                <c:pt idx="1">
                  <c:v>2488.7330658730325</c:v>
                </c:pt>
                <c:pt idx="2">
                  <c:v>-1644.0905437302704</c:v>
                </c:pt>
                <c:pt idx="3">
                  <c:v>-1477.3301304269141</c:v>
                </c:pt>
                <c:pt idx="4">
                  <c:v>2727.3787023266109</c:v>
                </c:pt>
              </c:numCache>
            </c:numRef>
          </c:val>
          <c:extLst>
            <c:ext xmlns:c16="http://schemas.microsoft.com/office/drawing/2014/chart" uri="{C3380CC4-5D6E-409C-BE32-E72D297353CC}">
              <c16:uniqueId val="{00000002-E523-4DED-BECA-5883D6EDE33E}"/>
            </c:ext>
          </c:extLst>
        </c:ser>
        <c:ser>
          <c:idx val="1"/>
          <c:order val="1"/>
          <c:tx>
            <c:strRef>
              <c:f>Bild_Heizkosten!$A$4</c:f>
              <c:strCache>
                <c:ptCount val="1"/>
                <c:pt idx="0">
                  <c:v>Wartung und Unterhalt</c:v>
                </c:pt>
              </c:strCache>
            </c:strRef>
          </c:tx>
          <c:spPr>
            <a:solidFill>
              <a:srgbClr val="FFC000"/>
            </a:solidFill>
            <a:ln>
              <a:noFill/>
            </a:ln>
            <a:effectLst/>
          </c:spPr>
          <c:invertIfNegative val="0"/>
          <c:cat>
            <c:strRef>
              <c:f>Bild_Heizkosten!$B$2:$F$2</c:f>
              <c:strCache>
                <c:ptCount val="5"/>
                <c:pt idx="0">
                  <c:v> </c:v>
                </c:pt>
                <c:pt idx="1">
                  <c:v>WP-Luft (a)</c:v>
                </c:pt>
                <c:pt idx="2">
                  <c:v>WP-Sonde</c:v>
                </c:pt>
                <c:pt idx="3">
                  <c:v>Holz-Pellets</c:v>
                </c:pt>
                <c:pt idx="4">
                  <c:v>Oelheizung</c:v>
                </c:pt>
              </c:strCache>
            </c:strRef>
          </c:cat>
          <c:val>
            <c:numRef>
              <c:f>Bild_Heizkosten!$B$4:$F$4</c:f>
              <c:numCache>
                <c:formatCode>#,##0</c:formatCode>
                <c:ptCount val="5"/>
                <c:pt idx="0">
                  <c:v>0</c:v>
                </c:pt>
                <c:pt idx="1">
                  <c:v>437.99999999999727</c:v>
                </c:pt>
                <c:pt idx="2">
                  <c:v>-367.99999999999773</c:v>
                </c:pt>
                <c:pt idx="3">
                  <c:v>-779.99999999999511</c:v>
                </c:pt>
                <c:pt idx="4">
                  <c:v>959.99999999999409</c:v>
                </c:pt>
              </c:numCache>
            </c:numRef>
          </c:val>
          <c:extLst>
            <c:ext xmlns:c16="http://schemas.microsoft.com/office/drawing/2014/chart" uri="{C3380CC4-5D6E-409C-BE32-E72D297353CC}">
              <c16:uniqueId val="{00000001-E523-4DED-BECA-5883D6EDE33E}"/>
            </c:ext>
          </c:extLst>
        </c:ser>
        <c:ser>
          <c:idx val="0"/>
          <c:order val="2"/>
          <c:tx>
            <c:strRef>
              <c:f>Bild_Heizkosten!$A$3</c:f>
              <c:strCache>
                <c:ptCount val="1"/>
                <c:pt idx="0">
                  <c:v>Energiekosten</c:v>
                </c:pt>
              </c:strCache>
            </c:strRef>
          </c:tx>
          <c:spPr>
            <a:solidFill>
              <a:srgbClr val="339933"/>
            </a:solidFill>
            <a:ln>
              <a:noFill/>
            </a:ln>
            <a:effectLst/>
          </c:spPr>
          <c:invertIfNegative val="0"/>
          <c:cat>
            <c:strRef>
              <c:f>Bild_Heizkosten!$B$2:$F$2</c:f>
              <c:strCache>
                <c:ptCount val="5"/>
                <c:pt idx="0">
                  <c:v> </c:v>
                </c:pt>
                <c:pt idx="1">
                  <c:v>WP-Luft (a)</c:v>
                </c:pt>
                <c:pt idx="2">
                  <c:v>WP-Sonde</c:v>
                </c:pt>
                <c:pt idx="3">
                  <c:v>Holz-Pellets</c:v>
                </c:pt>
                <c:pt idx="4">
                  <c:v>Oelheizung</c:v>
                </c:pt>
              </c:strCache>
            </c:strRef>
          </c:cat>
          <c:val>
            <c:numRef>
              <c:f>Bild_Heizkosten!$B$3:$F$3</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E523-4DED-BECA-5883D6EDE33E}"/>
            </c:ext>
          </c:extLst>
        </c:ser>
        <c:dLbls>
          <c:showLegendKey val="0"/>
          <c:showVal val="0"/>
          <c:showCatName val="0"/>
          <c:showSerName val="0"/>
          <c:showPercent val="0"/>
          <c:showBubbleSize val="0"/>
        </c:dLbls>
        <c:gapWidth val="150"/>
        <c:overlap val="100"/>
        <c:axId val="733547168"/>
        <c:axId val="733549136"/>
      </c:barChart>
      <c:lineChart>
        <c:grouping val="standard"/>
        <c:varyColors val="0"/>
        <c:ser>
          <c:idx val="3"/>
          <c:order val="3"/>
          <c:tx>
            <c:strRef>
              <c:f>Bild_Heizkosten!$A$8</c:f>
              <c:strCache>
                <c:ptCount val="1"/>
                <c:pt idx="0">
                  <c:v>110% - Wert</c:v>
                </c:pt>
              </c:strCache>
            </c:strRef>
          </c:tx>
          <c:spPr>
            <a:ln w="28575" cap="rnd">
              <a:solidFill>
                <a:srgbClr val="FF0000"/>
              </a:solidFill>
              <a:round/>
            </a:ln>
            <a:effectLst/>
          </c:spPr>
          <c:marker>
            <c:symbol val="none"/>
          </c:marker>
          <c:cat>
            <c:strRef>
              <c:f>Bild_Heizkosten!$B$2:$F$2</c:f>
              <c:strCache>
                <c:ptCount val="5"/>
                <c:pt idx="0">
                  <c:v> </c:v>
                </c:pt>
                <c:pt idx="1">
                  <c:v>WP-Luft (a)</c:v>
                </c:pt>
                <c:pt idx="2">
                  <c:v>WP-Sonde</c:v>
                </c:pt>
                <c:pt idx="3">
                  <c:v>Holz-Pellets</c:v>
                </c:pt>
                <c:pt idx="4">
                  <c:v>Oelheizung</c:v>
                </c:pt>
              </c:strCache>
            </c:strRef>
          </c:cat>
          <c:val>
            <c:numRef>
              <c:f>Bild_Heizkosten!$B$8:$F$8</c:f>
              <c:numCache>
                <c:formatCode>#,##0</c:formatCode>
                <c:ptCount val="5"/>
                <c:pt idx="0">
                  <c:v>4056.1165725592659</c:v>
                </c:pt>
                <c:pt idx="1">
                  <c:v>4056.1165725592659</c:v>
                </c:pt>
                <c:pt idx="2">
                  <c:v>4056.1165725592659</c:v>
                </c:pt>
                <c:pt idx="3">
                  <c:v>4056.1165725592659</c:v>
                </c:pt>
                <c:pt idx="4">
                  <c:v>4056.1165725592659</c:v>
                </c:pt>
              </c:numCache>
            </c:numRef>
          </c:val>
          <c:smooth val="0"/>
          <c:extLst>
            <c:ext xmlns:c16="http://schemas.microsoft.com/office/drawing/2014/chart" uri="{C3380CC4-5D6E-409C-BE32-E72D297353CC}">
              <c16:uniqueId val="{00000003-E523-4DED-BECA-5883D6EDE33E}"/>
            </c:ext>
          </c:extLst>
        </c:ser>
        <c:dLbls>
          <c:showLegendKey val="0"/>
          <c:showVal val="0"/>
          <c:showCatName val="0"/>
          <c:showSerName val="0"/>
          <c:showPercent val="0"/>
          <c:showBubbleSize val="0"/>
        </c:dLbls>
        <c:marker val="1"/>
        <c:smooth val="0"/>
        <c:axId val="733547168"/>
        <c:axId val="733549136"/>
      </c:lineChart>
      <c:catAx>
        <c:axId val="733547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crossAx val="733549136"/>
        <c:crosses val="autoZero"/>
        <c:auto val="1"/>
        <c:lblAlgn val="ctr"/>
        <c:lblOffset val="100"/>
        <c:noMultiLvlLbl val="0"/>
      </c:catAx>
      <c:valAx>
        <c:axId val="733549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crossAx val="733547168"/>
        <c:crosses val="autoZero"/>
        <c:crossBetween val="between"/>
      </c:valAx>
      <c:spPr>
        <a:noFill/>
        <a:ln>
          <a:noFill/>
        </a:ln>
        <a:effectLst/>
      </c:spPr>
    </c:plotArea>
    <c:legend>
      <c:legendPos val="b"/>
      <c:layout>
        <c:manualLayout>
          <c:xMode val="edge"/>
          <c:yMode val="edge"/>
          <c:x val="0.11628901038532974"/>
          <c:y val="0.84981163436198792"/>
          <c:w val="0.77185165807762401"/>
          <c:h val="0.13038639058590198"/>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11</xdr:col>
      <xdr:colOff>15528</xdr:colOff>
      <xdr:row>0</xdr:row>
      <xdr:rowOff>47626</xdr:rowOff>
    </xdr:from>
    <xdr:to>
      <xdr:col>12</xdr:col>
      <xdr:colOff>457869</xdr:colOff>
      <xdr:row>2</xdr:row>
      <xdr:rowOff>85726</xdr:rowOff>
    </xdr:to>
    <xdr:pic>
      <xdr:nvPicPr>
        <xdr:cNvPr id="3" name="Grafik 2">
          <a:extLst>
            <a:ext uri="{FF2B5EF4-FFF2-40B4-BE49-F238E27FC236}">
              <a16:creationId xmlns:a16="http://schemas.microsoft.com/office/drawing/2014/main" id="{F59094E9-48D6-B695-3DF9-D96915E9B203}"/>
            </a:ext>
          </a:extLst>
        </xdr:cNvPr>
        <xdr:cNvPicPr>
          <a:picLocks noChangeAspect="1"/>
        </xdr:cNvPicPr>
      </xdr:nvPicPr>
      <xdr:blipFill>
        <a:blip xmlns:r="http://schemas.openxmlformats.org/officeDocument/2006/relationships" r:embed="rId1"/>
        <a:stretch>
          <a:fillRect/>
        </a:stretch>
      </xdr:blipFill>
      <xdr:spPr>
        <a:xfrm>
          <a:off x="7197378" y="47626"/>
          <a:ext cx="928116"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26193</xdr:colOff>
      <xdr:row>0</xdr:row>
      <xdr:rowOff>23812</xdr:rowOff>
    </xdr:from>
    <xdr:to>
      <xdr:col>6</xdr:col>
      <xdr:colOff>47625</xdr:colOff>
      <xdr:row>25</xdr:row>
      <xdr:rowOff>95250</xdr:rowOff>
    </xdr:to>
    <xdr:graphicFrame macro="">
      <xdr:nvGraphicFramePr>
        <xdr:cNvPr id="2" name="Diagramm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D22:F42" totalsRowShown="0" headerRowDxfId="55" dataDxfId="54">
  <autoFilter ref="D22:F42" xr:uid="{00000000-0009-0000-0100-000002000000}"/>
  <tableColumns count="3">
    <tableColumn id="1" xr3:uid="{00000000-0010-0000-0000-000001000000}" name="Code" dataDxfId="53"/>
    <tableColumn id="2" xr3:uid="{00000000-0010-0000-0000-000002000000}" name="Quelle" dataDxfId="52"/>
    <tableColumn id="3" xr3:uid="{00000000-0010-0000-0000-000003000000}" name="Heizsystem (Übersetzung)" dataDxfId="51"/>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4" displayName="Table24" ref="A22:B42" totalsRowShown="0" headerRowDxfId="50" dataDxfId="49">
  <autoFilter ref="A22:B42" xr:uid="{00000000-0009-0000-0100-000003000000}"/>
  <tableColumns count="2">
    <tableColumn id="1" xr3:uid="{00000000-0010-0000-0100-000001000000}" name="Code" dataDxfId="48"/>
    <tableColumn id="2" xr3:uid="{00000000-0010-0000-0100-000002000000}" name="Wärmeerzeuger" dataDxfId="47"/>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242" displayName="Table242" ref="A45:B56" totalsRowShown="0" headerRowDxfId="46" dataDxfId="45">
  <autoFilter ref="A45:B56" xr:uid="{00000000-0009-0000-0100-000001000000}"/>
  <tableColumns count="2">
    <tableColumn id="1" xr3:uid="{00000000-0010-0000-0200-000001000000}" name="Code" dataDxfId="44"/>
    <tableColumn id="2" xr3:uid="{00000000-0010-0000-0200-000002000000}" name="Wärmeerzeuger" dataDxfId="43"/>
  </tableColumns>
  <tableStyleInfo name="TableStyleLight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eo.ur.ch/?center=961778%2C5921643&amp;layers=Fernw%C3%A4rme%20Leitungen%2CLiegenschaften%2CEGID%20und%20Geb%C3%A4udenummer%2CQuartiergestaltungspl%C3%A4ne%2CGrundbuchplan%2CNutzungsplanung%20%28Planprodukt%29%2CQuellen%20und%20Sondierungen&amp;layersidebarvisible=true&amp;opacity=1%2C1.0%2C1.0%2C1.0%2C1.0%2C1.0%2C1.0&amp;visibility=true%2Cfalse%2Cfalse%2Cfalse%2Cfalse%2Cfalse%2Cfalse&amp;zoom=1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zh.ch/de/umwelt-tiere/energie/energiefoerderung.html" TargetMode="External"/><Relationship Id="rId2" Type="http://schemas.openxmlformats.org/officeDocument/2006/relationships/hyperlink" Target="https://www.bfs.admin.ch/bfs/de/home/statistiken/preise/landesindex-konsumentenpreise/detailresultate.assetdetail.13407088.html" TargetMode="External"/><Relationship Id="rId1" Type="http://schemas.openxmlformats.org/officeDocument/2006/relationships/hyperlink" Target="https://www.strompreis.elcom.admin.ch/" TargetMode="External"/><Relationship Id="rId5" Type="http://schemas.openxmlformats.org/officeDocument/2006/relationships/printerSettings" Target="../printerSettings/printerSettings5.bin"/><Relationship Id="rId4" Type="http://schemas.openxmlformats.org/officeDocument/2006/relationships/hyperlink" Target="https://www.bwo.admin.ch/bwo/de/home/mietrecht/referenzzinssatz/entwicklung-referenzzinssatz-und-durchschnittszinssatz.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bafu.admin.ch/bafu/de/home/themen/klima/fachinformationen/verminderungsmassnahmen/co2-abgabe.html" TargetMode="External"/><Relationship Id="rId2" Type="http://schemas.openxmlformats.org/officeDocument/2006/relationships/hyperlink" Target="https://www.strompreis.elcom.admin.ch/%20(Preise%20=%20Totalpreise%20von%20Standardprodukt%20/%20ab%202018%20Standartprodukt,%20vorher%20g&#252;nstigstes%20Produkt)" TargetMode="External"/><Relationship Id="rId1" Type="http://schemas.openxmlformats.org/officeDocument/2006/relationships/hyperlink" Target="https://www.klimaneutral-handeln.de/php/kompens-berechnen.php%201%20kWh%20Erdgas%20=%3e%200.22%20kg%20CO2" TargetMode="External"/><Relationship Id="rId6" Type="http://schemas.openxmlformats.org/officeDocument/2006/relationships/printerSettings" Target="../printerSettings/printerSettings7.bin"/><Relationship Id="rId5" Type="http://schemas.openxmlformats.org/officeDocument/2006/relationships/hyperlink" Target="https://www.holzenergie.ch/fachthemen/preisindex-schnitzel-und-holzpellets" TargetMode="External"/><Relationship Id="rId4" Type="http://schemas.openxmlformats.org/officeDocument/2006/relationships/hyperlink" Target="https://www.holzenergie.ch/fachthemen/preisindex-schnitzel-und-holzpellet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Y251"/>
  <sheetViews>
    <sheetView showGridLines="0" tabSelected="1" zoomScale="115" zoomScaleNormal="115" workbookViewId="0">
      <pane xSplit="1" ySplit="6" topLeftCell="B7" activePane="bottomRight" state="frozen"/>
      <selection activeCell="R42" sqref="R42"/>
      <selection pane="topRight" activeCell="R42" sqref="R42"/>
      <selection pane="bottomLeft" activeCell="R42" sqref="R42"/>
      <selection pane="bottomRight" activeCell="C5" sqref="C5:M5"/>
    </sheetView>
  </sheetViews>
  <sheetFormatPr baseColWidth="10" defaultColWidth="10.85546875" defaultRowHeight="14.25" x14ac:dyDescent="0.25"/>
  <cols>
    <col min="1" max="1" width="3.85546875" style="29" bestFit="1" customWidth="1"/>
    <col min="2" max="2" width="37" style="29" customWidth="1"/>
    <col min="3" max="3" width="8.5703125" style="29" customWidth="1"/>
    <col min="4" max="7" width="7.28515625" style="29" customWidth="1"/>
    <col min="8" max="8" width="8.28515625" style="29" customWidth="1"/>
    <col min="9" max="13" width="7.28515625" style="29" customWidth="1"/>
    <col min="14" max="14" width="10.85546875" style="29"/>
    <col min="15" max="15" width="10.85546875" style="29" customWidth="1"/>
    <col min="16" max="19" width="10.85546875" style="29"/>
    <col min="20" max="21" width="10.85546875" style="29" customWidth="1"/>
    <col min="22" max="16384" width="10.85546875" style="29"/>
  </cols>
  <sheetData>
    <row r="1" spans="1:25" x14ac:dyDescent="0.25">
      <c r="A1" s="28"/>
      <c r="B1" s="377" t="s">
        <v>615</v>
      </c>
      <c r="C1" s="378"/>
      <c r="D1" s="378"/>
      <c r="E1" s="378"/>
      <c r="F1" s="378"/>
      <c r="G1" s="378"/>
      <c r="H1" s="378"/>
      <c r="I1" s="28"/>
      <c r="J1" s="28"/>
      <c r="K1" s="28"/>
      <c r="L1" s="28"/>
      <c r="M1" s="28"/>
      <c r="N1" s="153"/>
      <c r="O1" s="101"/>
      <c r="P1" s="101"/>
      <c r="W1" s="153"/>
      <c r="X1" s="153"/>
      <c r="Y1" s="153"/>
    </row>
    <row r="2" spans="1:25" x14ac:dyDescent="0.25">
      <c r="A2" s="28"/>
      <c r="B2" s="378"/>
      <c r="C2" s="378"/>
      <c r="D2" s="378"/>
      <c r="E2" s="378"/>
      <c r="F2" s="378"/>
      <c r="G2" s="378"/>
      <c r="H2" s="378"/>
      <c r="I2" s="28"/>
      <c r="J2" s="28"/>
      <c r="K2" s="28"/>
      <c r="L2" s="28"/>
      <c r="M2" s="28"/>
      <c r="N2" s="153"/>
      <c r="O2" s="101"/>
      <c r="P2" s="101"/>
      <c r="W2" s="153"/>
      <c r="X2" s="153"/>
      <c r="Y2" s="153"/>
    </row>
    <row r="3" spans="1:25" x14ac:dyDescent="0.25">
      <c r="A3" s="28"/>
      <c r="B3" s="28"/>
      <c r="C3" s="28"/>
      <c r="D3" s="28"/>
      <c r="E3" s="28"/>
      <c r="F3" s="28"/>
      <c r="G3" s="28"/>
      <c r="H3" s="28"/>
      <c r="I3" s="28"/>
      <c r="J3" s="28"/>
      <c r="K3" s="28"/>
      <c r="L3" s="28"/>
      <c r="M3" s="28"/>
      <c r="N3" s="153"/>
      <c r="O3" s="101"/>
      <c r="P3" s="101"/>
      <c r="W3" s="153"/>
      <c r="X3" s="153"/>
      <c r="Y3" s="153"/>
    </row>
    <row r="4" spans="1:25" x14ac:dyDescent="0.25">
      <c r="A4" s="28"/>
      <c r="B4" s="164" t="s">
        <v>378</v>
      </c>
      <c r="C4" s="165"/>
      <c r="D4" s="169"/>
      <c r="E4" s="166"/>
      <c r="F4" s="167" t="s">
        <v>376</v>
      </c>
      <c r="G4" s="373" t="str">
        <f>'Log-Journal'!E2</f>
        <v>v 1.0</v>
      </c>
      <c r="H4" s="374"/>
      <c r="I4" s="168"/>
      <c r="J4" s="166"/>
      <c r="K4" s="167" t="s">
        <v>204</v>
      </c>
      <c r="L4" s="386">
        <f>'Log-Journal'!E3</f>
        <v>46387</v>
      </c>
      <c r="M4" s="387"/>
      <c r="N4" s="153"/>
      <c r="O4" s="101"/>
      <c r="P4" s="101"/>
      <c r="Q4" s="153"/>
      <c r="R4" s="153"/>
      <c r="S4" s="153"/>
      <c r="T4" s="153"/>
      <c r="U4" s="153"/>
      <c r="V4" s="153"/>
      <c r="W4" s="153"/>
      <c r="X4" s="153"/>
      <c r="Y4" s="153"/>
    </row>
    <row r="5" spans="1:25" ht="15" customHeight="1" x14ac:dyDescent="0.25">
      <c r="A5" s="28"/>
      <c r="B5" s="181" t="s">
        <v>433</v>
      </c>
      <c r="C5" s="318"/>
      <c r="D5" s="319"/>
      <c r="E5" s="319"/>
      <c r="F5" s="319"/>
      <c r="G5" s="319"/>
      <c r="H5" s="319"/>
      <c r="I5" s="319"/>
      <c r="J5" s="319"/>
      <c r="K5" s="319"/>
      <c r="L5" s="319"/>
      <c r="M5" s="320"/>
      <c r="O5" s="96" t="s">
        <v>499</v>
      </c>
      <c r="P5" s="96"/>
    </row>
    <row r="6" spans="1:25" ht="15" customHeight="1" x14ac:dyDescent="0.25">
      <c r="A6" s="28"/>
      <c r="B6" s="182" t="s">
        <v>432</v>
      </c>
      <c r="C6" s="321"/>
      <c r="D6" s="322"/>
      <c r="E6" s="322"/>
      <c r="F6" s="322"/>
      <c r="G6" s="322"/>
      <c r="H6" s="322"/>
      <c r="I6" s="322"/>
      <c r="J6" s="322"/>
      <c r="K6" s="322"/>
      <c r="L6" s="322"/>
      <c r="M6" s="323"/>
      <c r="O6" s="96" t="s">
        <v>500</v>
      </c>
      <c r="P6" s="96"/>
      <c r="R6" s="28"/>
    </row>
    <row r="7" spans="1:25" ht="15" customHeight="1" x14ac:dyDescent="0.25">
      <c r="A7" s="28"/>
      <c r="B7" s="375" t="s">
        <v>467</v>
      </c>
      <c r="C7" s="324" t="s">
        <v>484</v>
      </c>
      <c r="D7" s="324"/>
      <c r="E7" s="326" t="str">
        <f>IF(C6="","",IF(ISERROR(GWR!C3),"Adresse nicht gefunden",GWR!C3))</f>
        <v/>
      </c>
      <c r="F7" s="327"/>
      <c r="G7" s="328"/>
      <c r="H7" s="324" t="s">
        <v>486</v>
      </c>
      <c r="I7" s="324"/>
      <c r="J7" s="324"/>
      <c r="K7" s="332" t="str">
        <f>IF(C6="","",IF($E$7="Adresse nicht gefunden",$E$7,GWR!B9))</f>
        <v/>
      </c>
      <c r="L7" s="333"/>
      <c r="M7" s="334"/>
      <c r="O7" s="336" t="e">
        <f>HYPERLINK("http://map.geo.admin.ch/?ch.bfs.gebaeude_wohnungs_register="&amp;GWR!C3&amp;"_0&amp;lang=de&amp;topic=ech&amp;zoom=10&amp;crosshair=circle", "Karte anschauen")</f>
        <v>#VALUE!</v>
      </c>
      <c r="P7" s="317"/>
      <c r="Q7" s="28" t="s">
        <v>494</v>
      </c>
      <c r="R7" s="28"/>
      <c r="S7" s="158"/>
      <c r="T7" s="158"/>
      <c r="U7" s="28"/>
    </row>
    <row r="8" spans="1:25" ht="15" customHeight="1" x14ac:dyDescent="0.25">
      <c r="A8" s="28"/>
      <c r="B8" s="376"/>
      <c r="C8" s="325" t="s">
        <v>485</v>
      </c>
      <c r="D8" s="325"/>
      <c r="E8" s="329" t="str">
        <f>IF(C6="","",IF($E$7="Adresse nicht gefunden",$E$7,GWR!B11))</f>
        <v/>
      </c>
      <c r="F8" s="330"/>
      <c r="G8" s="331"/>
      <c r="H8" s="325" t="s">
        <v>487</v>
      </c>
      <c r="I8" s="325"/>
      <c r="J8" s="325"/>
      <c r="K8" s="329" t="str">
        <f>IF(C6="","",IF($E$7="Adresse nicht gefunden",$E$7,GWR!B15))</f>
        <v/>
      </c>
      <c r="L8" s="330"/>
      <c r="M8" s="335"/>
      <c r="O8" s="317" t="str">
        <f>HYPERLINK("https://api.geo.admin.ch/rest/services/ech/MapServer/ch.bfs.gebaeude_wohnungs_register/" &amp; GWR!B3 &amp; "/extendedHtmlPopup?lang=de", "GWR Daten anschauen")</f>
        <v>GWR Daten anschauen</v>
      </c>
      <c r="P8" s="317"/>
      <c r="Q8" s="96" t="s">
        <v>559</v>
      </c>
      <c r="R8" s="28"/>
      <c r="S8" s="158"/>
      <c r="T8" s="158"/>
      <c r="U8" s="28"/>
    </row>
    <row r="9" spans="1:25" x14ac:dyDescent="0.25">
      <c r="A9" s="28"/>
      <c r="B9" s="28"/>
      <c r="C9" s="28"/>
      <c r="D9" s="28"/>
      <c r="E9" s="28"/>
      <c r="F9" s="28"/>
      <c r="G9" s="28"/>
      <c r="H9" s="28"/>
      <c r="I9" s="28"/>
      <c r="J9" s="28"/>
      <c r="K9" s="28"/>
      <c r="L9" s="28"/>
      <c r="M9" s="28"/>
    </row>
    <row r="10" spans="1:25" x14ac:dyDescent="0.25">
      <c r="A10" s="95">
        <v>33</v>
      </c>
      <c r="B10" s="357" t="s">
        <v>0</v>
      </c>
      <c r="C10" s="358"/>
      <c r="D10" s="358"/>
      <c r="E10" s="358"/>
      <c r="F10" s="358"/>
      <c r="G10" s="358"/>
      <c r="H10" s="358"/>
      <c r="I10" s="358"/>
      <c r="J10" s="358"/>
      <c r="K10" s="358"/>
      <c r="L10" s="358"/>
      <c r="M10" s="359"/>
      <c r="O10" s="96"/>
      <c r="P10" s="96"/>
      <c r="Q10" s="96"/>
      <c r="R10" s="96"/>
    </row>
    <row r="11" spans="1:25" ht="15" customHeight="1" x14ac:dyDescent="0.25">
      <c r="A11" s="97">
        <v>1.1000000000000001</v>
      </c>
      <c r="B11" s="98" t="s">
        <v>1</v>
      </c>
      <c r="C11" s="99"/>
      <c r="D11" s="99"/>
      <c r="E11" s="99"/>
      <c r="F11" s="99"/>
      <c r="G11" s="99"/>
      <c r="H11" s="99"/>
      <c r="I11" s="99"/>
      <c r="J11" s="390"/>
      <c r="K11" s="391"/>
      <c r="L11" s="391"/>
      <c r="M11" s="392"/>
      <c r="O11" s="96" t="s">
        <v>501</v>
      </c>
      <c r="P11" s="96"/>
      <c r="Q11" s="96"/>
      <c r="R11" s="96"/>
    </row>
    <row r="12" spans="1:25" ht="15" customHeight="1" x14ac:dyDescent="0.25">
      <c r="A12" s="97">
        <v>1.2</v>
      </c>
      <c r="B12" s="98" t="s">
        <v>238</v>
      </c>
      <c r="C12" s="99"/>
      <c r="D12" s="99"/>
      <c r="E12" s="99"/>
      <c r="F12" s="99"/>
      <c r="G12" s="99"/>
      <c r="H12" s="99"/>
      <c r="I12" s="99"/>
      <c r="J12" s="311" t="str">
        <f>IF(ISERR(VLOOKUP(J11,Stromverbrauch_ref,2,FALSE))," ",IF(ISNA(VLOOKUP(J11,Stromverbrauch_ref,2,FALSE))," ",VLOOKUP(J11,Stromverbrauch_ref,2,FALSE)))</f>
        <v xml:space="preserve"> </v>
      </c>
      <c r="K12" s="312"/>
      <c r="L12" s="388"/>
      <c r="M12" s="389"/>
      <c r="O12" s="96" t="s">
        <v>584</v>
      </c>
      <c r="P12" s="96"/>
      <c r="Q12" s="96"/>
      <c r="R12" s="96"/>
    </row>
    <row r="13" spans="1:25" ht="15" customHeight="1" x14ac:dyDescent="0.25">
      <c r="A13" s="97">
        <v>1.3</v>
      </c>
      <c r="B13" s="98" t="s">
        <v>210</v>
      </c>
      <c r="C13" s="99"/>
      <c r="D13" s="99"/>
      <c r="E13" s="99"/>
      <c r="F13" s="99"/>
      <c r="G13" s="99"/>
      <c r="H13" s="369" t="s">
        <v>99</v>
      </c>
      <c r="I13" s="370"/>
      <c r="J13" s="395"/>
      <c r="K13" s="396"/>
      <c r="L13" s="396"/>
      <c r="M13" s="397"/>
      <c r="O13" s="96" t="s">
        <v>616</v>
      </c>
      <c r="P13" s="96"/>
      <c r="Q13" s="96"/>
      <c r="R13" s="96"/>
    </row>
    <row r="14" spans="1:25" ht="15" customHeight="1" x14ac:dyDescent="0.25">
      <c r="A14" s="97">
        <v>1.4</v>
      </c>
      <c r="B14" s="98" t="s">
        <v>207</v>
      </c>
      <c r="C14" s="100"/>
      <c r="F14" s="393" t="str">
        <f>(IF(Heizleistungsbedarf=0," ",Heizleistungsbedarf/EBF*1000))</f>
        <v xml:space="preserve"> </v>
      </c>
      <c r="G14" s="394"/>
      <c r="H14" s="369" t="s">
        <v>4</v>
      </c>
      <c r="I14" s="370"/>
      <c r="J14" s="398"/>
      <c r="K14" s="399"/>
      <c r="L14" s="399"/>
      <c r="M14" s="400"/>
      <c r="O14" s="96" t="s">
        <v>502</v>
      </c>
      <c r="P14" s="96"/>
      <c r="Q14" s="96"/>
      <c r="R14" s="96"/>
    </row>
    <row r="15" spans="1:25" x14ac:dyDescent="0.25">
      <c r="A15" s="97">
        <v>1.5</v>
      </c>
      <c r="B15" s="98" t="s">
        <v>356</v>
      </c>
      <c r="C15" s="99"/>
      <c r="D15" s="99"/>
      <c r="E15" s="99"/>
      <c r="F15" s="99"/>
      <c r="G15" s="99"/>
      <c r="H15" s="369" t="s">
        <v>355</v>
      </c>
      <c r="I15" s="370"/>
      <c r="J15" s="369" t="str">
        <f>IF(ISERROR(VLOOKUP($J$11,Warmwasserbedarf_ref,3,FALSE))," ",(VLOOKUP($J$11,Warmwasserbedarf_ref,3,FALSE)))</f>
        <v xml:space="preserve"> </v>
      </c>
      <c r="K15" s="371"/>
      <c r="L15" s="371"/>
      <c r="M15" s="372"/>
      <c r="O15" s="101"/>
      <c r="P15" s="96"/>
      <c r="Q15" s="96"/>
      <c r="R15" s="96"/>
    </row>
    <row r="16" spans="1:25" x14ac:dyDescent="0.25">
      <c r="A16" s="97">
        <v>1.6</v>
      </c>
      <c r="B16" s="98" t="s">
        <v>102</v>
      </c>
      <c r="C16" s="99"/>
      <c r="D16" s="99"/>
      <c r="E16" s="99"/>
      <c r="F16" s="99"/>
      <c r="G16" s="99"/>
      <c r="H16" s="369" t="s">
        <v>6</v>
      </c>
      <c r="I16" s="370"/>
      <c r="J16" s="311" t="str">
        <f>IF(ISERROR(Heizleistungsbedarf*Heizgradtage*Betriebszeit/(Ti-Ta)+EBF*Warmwasserbedarf)," ",Heizleistungsbedarf*Heizgradtage*Betriebszeit/(Ti-Ta)+EBF*Warmwasserbedarf)</f>
        <v xml:space="preserve"> </v>
      </c>
      <c r="K16" s="312"/>
      <c r="L16" s="388"/>
      <c r="M16" s="389"/>
      <c r="O16" s="96" t="s">
        <v>503</v>
      </c>
      <c r="P16" s="96"/>
      <c r="Q16" s="96"/>
      <c r="R16" s="96"/>
    </row>
    <row r="17" spans="1:20" ht="15" x14ac:dyDescent="0.25">
      <c r="A17" s="97">
        <v>1.7</v>
      </c>
      <c r="B17" s="102" t="s">
        <v>82</v>
      </c>
      <c r="C17" s="103"/>
      <c r="D17" s="103"/>
      <c r="E17" s="103"/>
      <c r="F17" s="103"/>
      <c r="G17" s="103"/>
      <c r="H17" s="379"/>
      <c r="I17" s="380"/>
      <c r="J17" s="380"/>
      <c r="K17" s="380"/>
      <c r="L17" s="380"/>
      <c r="M17" s="381"/>
      <c r="O17" s="28" t="s">
        <v>617</v>
      </c>
      <c r="P17" s="96"/>
      <c r="Q17" s="96"/>
      <c r="R17" s="96"/>
      <c r="T17" s="279" t="s">
        <v>618</v>
      </c>
    </row>
    <row r="18" spans="1:20" s="148" customFormat="1" ht="19.5" hidden="1" customHeight="1" x14ac:dyDescent="0.25">
      <c r="A18" s="152">
        <v>1.8</v>
      </c>
      <c r="B18" s="384" t="s">
        <v>103</v>
      </c>
      <c r="C18" s="384"/>
      <c r="D18" s="384"/>
      <c r="E18" s="384"/>
      <c r="F18" s="384"/>
      <c r="G18" s="384"/>
      <c r="H18" s="382" t="s">
        <v>604</v>
      </c>
      <c r="I18" s="382"/>
      <c r="J18" s="382"/>
      <c r="K18" s="382"/>
      <c r="L18" s="382"/>
      <c r="M18" s="382"/>
      <c r="O18" s="101" t="s">
        <v>607</v>
      </c>
      <c r="P18" s="147"/>
      <c r="Q18" s="147"/>
      <c r="R18" s="147"/>
    </row>
    <row r="19" spans="1:20" ht="15" x14ac:dyDescent="0.25">
      <c r="A19" s="28"/>
      <c r="B19" s="28"/>
      <c r="C19" s="28"/>
      <c r="D19" s="383" t="s">
        <v>25</v>
      </c>
      <c r="E19" s="383"/>
      <c r="F19" s="383"/>
      <c r="G19" s="383"/>
      <c r="H19" s="383"/>
      <c r="I19" s="383"/>
      <c r="K19" s="290"/>
      <c r="L19" s="383" t="s">
        <v>26</v>
      </c>
      <c r="M19" s="385"/>
      <c r="O19" s="96"/>
      <c r="P19" s="96"/>
      <c r="Q19" s="96"/>
      <c r="R19" s="96"/>
      <c r="S19" s="96"/>
      <c r="T19" s="96"/>
    </row>
    <row r="20" spans="1:20" x14ac:dyDescent="0.25">
      <c r="A20" s="28"/>
      <c r="B20" s="104" t="s">
        <v>27</v>
      </c>
      <c r="C20" s="105"/>
      <c r="D20" s="313" t="str">
        <f>IF(ISERROR(IF(Fernwärme=0," ",IF(Fernwärme="Ja","Fernwärme"," ")))," ",IF(Fernwärme=0," ",IF(Fernwärme="Ja","Fernwärme"," ")))</f>
        <v xml:space="preserve"> </v>
      </c>
      <c r="E20" s="314"/>
      <c r="F20" s="341" t="s">
        <v>249</v>
      </c>
      <c r="G20" s="342"/>
      <c r="H20" s="337" t="s">
        <v>57</v>
      </c>
      <c r="I20" s="338"/>
      <c r="J20" s="337" t="s">
        <v>55</v>
      </c>
      <c r="K20" s="338"/>
      <c r="L20" s="313" t="s">
        <v>29</v>
      </c>
      <c r="M20" s="314"/>
      <c r="O20" s="28" t="s">
        <v>619</v>
      </c>
      <c r="P20" s="96"/>
      <c r="Q20" s="96"/>
      <c r="R20" s="96"/>
      <c r="S20" s="96"/>
      <c r="T20" s="96"/>
    </row>
    <row r="21" spans="1:20" ht="15" customHeight="1" x14ac:dyDescent="0.25">
      <c r="A21" s="95">
        <v>2</v>
      </c>
      <c r="B21" s="284" t="s">
        <v>30</v>
      </c>
      <c r="C21" s="285"/>
      <c r="D21" s="285"/>
      <c r="E21" s="285"/>
      <c r="F21" s="285"/>
      <c r="G21" s="285"/>
      <c r="H21" s="285"/>
      <c r="I21" s="285"/>
      <c r="J21" s="285"/>
      <c r="K21" s="285"/>
      <c r="L21" s="285"/>
      <c r="M21" s="285"/>
      <c r="O21" s="96"/>
      <c r="P21" s="96"/>
      <c r="Q21" s="96"/>
      <c r="R21" s="95"/>
      <c r="S21" s="96"/>
      <c r="T21" s="96"/>
    </row>
    <row r="22" spans="1:20" ht="15" customHeight="1" x14ac:dyDescent="0.25">
      <c r="A22" s="97">
        <v>2.1</v>
      </c>
      <c r="B22" s="106" t="s">
        <v>106</v>
      </c>
      <c r="C22" s="107" t="s">
        <v>32</v>
      </c>
      <c r="D22" s="30" t="str">
        <f>IF(ISERROR(VLOOKUP(System_1,Nutzungsgrad_ref,2,FALSE))," ",VLOOKUP(System_1,Nutzungsgrad_ref,2,FALSE))</f>
        <v xml:space="preserve"> </v>
      </c>
      <c r="E22" s="310"/>
      <c r="F22" s="30">
        <f>IF(ISERROR(VLOOKUP(System_1b,Nutzungsgrad_ref,2,FALSE))," ",VLOOKUP(System_1b,Nutzungsgrad_ref,2,FALSE))</f>
        <v>2.5</v>
      </c>
      <c r="G22" s="119"/>
      <c r="H22" s="30">
        <f>IF(ISERROR(VLOOKUP(System_2,Nutzungsgrad_ref,2,FALSE))," ",VLOOKUP(System_2,Nutzungsgrad_ref,2,FALSE))</f>
        <v>3.5</v>
      </c>
      <c r="I22" s="119"/>
      <c r="J22" s="30">
        <f>IF(ISERROR(VLOOKUP(System_3,Nutzungsgrad_ref,2,FALSE))," ",VLOOKUP(System_3,Nutzungsgrad_ref,2,FALSE))</f>
        <v>0.85</v>
      </c>
      <c r="K22" s="119"/>
      <c r="L22" s="30">
        <f>IF(ISERROR(VLOOKUP(System_4,Nutzungsgrad_ref,2,FALSE))," ",VLOOKUP(System_4,Nutzungsgrad_ref,2,FALSE))</f>
        <v>0.85</v>
      </c>
      <c r="M22" s="119"/>
      <c r="O22" s="96" t="s">
        <v>489</v>
      </c>
      <c r="P22" s="96"/>
      <c r="Q22" s="96"/>
      <c r="R22" s="96"/>
      <c r="S22" s="96"/>
      <c r="T22" s="96"/>
    </row>
    <row r="23" spans="1:20" ht="15" customHeight="1" x14ac:dyDescent="0.25">
      <c r="A23" s="97">
        <v>2.2000000000000002</v>
      </c>
      <c r="B23" s="108" t="s">
        <v>33</v>
      </c>
      <c r="C23" s="107" t="s">
        <v>6</v>
      </c>
      <c r="D23" s="311" t="str">
        <f>IF(ISERROR(IF(NEB_manuell&lt;&gt;"",NEB_manuell,NEB)/D22)," ",(IF(NEB_manuell&lt;&gt;"",NEB_manuell,NEB)/D22))</f>
        <v xml:space="preserve"> </v>
      </c>
      <c r="E23" s="312"/>
      <c r="F23" s="311" t="str">
        <f>IF(ISERROR(IF(NEB_manuell&lt;&gt;"",NEB_manuell,NEB)/IF(G22&lt;&gt;"",G22,F22))," ",(IF(NEB_manuell&lt;&gt;"",NEB_manuell,NEB)/IF(G22&lt;&gt;"",G22,F22)))</f>
        <v xml:space="preserve"> </v>
      </c>
      <c r="G23" s="312"/>
      <c r="H23" s="311" t="str">
        <f>IF(ISERROR(IF(NEB_manuell&lt;&gt;"",NEB_manuell,NEB)/IF(I22&lt;&gt;"",I22,H22))," ",(IF(NEB_manuell&lt;&gt;"",NEB_manuell,NEB)/IF(I22&lt;&gt;"",I22,H22)))</f>
        <v xml:space="preserve"> </v>
      </c>
      <c r="I23" s="312"/>
      <c r="J23" s="311" t="str">
        <f>IF(ISERROR(IF(NEB_manuell&lt;&gt;"",NEB_manuell,NEB)/IF(K22&lt;&gt;"",K22,J22))," ",(IF(NEB_manuell&lt;&gt;"",NEB_manuell,NEB)/IF(K22&lt;&gt;"",K22,J22)))</f>
        <v xml:space="preserve"> </v>
      </c>
      <c r="K23" s="312"/>
      <c r="L23" s="311" t="str">
        <f>IF(ISERROR(IF(NEB_manuell&lt;&gt;"",NEB_manuell,NEB)/IF(M22&lt;&gt;"",M22,L22))," ",(IF(NEB_manuell&lt;&gt;"",NEB_manuell,NEB)/IF(M22&lt;&gt;"",M22,L22)))</f>
        <v xml:space="preserve"> </v>
      </c>
      <c r="M23" s="312"/>
      <c r="O23" s="96"/>
      <c r="P23" s="96"/>
      <c r="Q23" s="96"/>
      <c r="R23" s="96"/>
      <c r="S23" s="96"/>
      <c r="T23" s="96"/>
    </row>
    <row r="24" spans="1:20" x14ac:dyDescent="0.25">
      <c r="A24" s="97">
        <v>2.2999999999999998</v>
      </c>
      <c r="B24" s="106" t="s">
        <v>85</v>
      </c>
      <c r="C24" s="107" t="s">
        <v>34</v>
      </c>
      <c r="D24" s="30" t="str">
        <f>IF(ISERROR(IF(Fernwärme="Ja",VLOOKUP(Heizwerk,Preis_Fernwärme_ref,2,FALSE),VLOOKUP(System_1,Energiepreise_ref,4,FALSE))),"",IF(Fernwärme="Ja",VLOOKUP(Heizwerk,Preis_Fernwärme_ref,2,FALSE),VLOOKUP(System_1,Energiepreise_ref,4,FALSE)))</f>
        <v/>
      </c>
      <c r="E24" s="119"/>
      <c r="F24" s="339" t="str">
        <f>IF(ISERROR(VLOOKUP(System_1b,Energiepreise_ref,4,FALSE))," ",VLOOKUP(System_1b,Energiepreise_ref,4,FALSE))</f>
        <v xml:space="preserve"> </v>
      </c>
      <c r="G24" s="340"/>
      <c r="H24" s="339" t="str">
        <f>IF(ISERROR(VLOOKUP(System_2,Energiepreise_ref,4,FALSE))," ",VLOOKUP(System_2,Energiepreise_ref,4,FALSE))</f>
        <v xml:space="preserve"> </v>
      </c>
      <c r="I24" s="340"/>
      <c r="J24" s="339">
        <f>IF(ISERROR(VLOOKUP(System_3,Energiepreise_ref,4,FALSE))," ",VLOOKUP(System_3,Energiepreise_ref,4,FALSE))</f>
        <v>10.425541732758177</v>
      </c>
      <c r="K24" s="340"/>
      <c r="L24" s="339">
        <f>IF(ISERROR(VLOOKUP(System_4,Energiepreise_ref,4,FALSE))," ",VLOOKUP(System_4,Energiepreise_ref,4,FALSE))</f>
        <v>11.889134082582776</v>
      </c>
      <c r="M24" s="340"/>
      <c r="O24" s="96"/>
      <c r="P24" s="96"/>
      <c r="Q24" s="96"/>
      <c r="R24" s="96"/>
      <c r="S24" s="96"/>
      <c r="T24" s="96"/>
    </row>
    <row r="25" spans="1:20" ht="15" customHeight="1" x14ac:dyDescent="0.25">
      <c r="A25" s="97">
        <v>2.4</v>
      </c>
      <c r="B25" s="109" t="s">
        <v>35</v>
      </c>
      <c r="C25" s="107" t="s">
        <v>36</v>
      </c>
      <c r="D25" s="311" t="str">
        <f>IF(ISERROR(D23*IF(E24&lt;&gt;"",E24,D24)/100)," ",(D23*IF(E24&lt;&gt;"",E24,D24))/100)</f>
        <v xml:space="preserve"> </v>
      </c>
      <c r="E25" s="312"/>
      <c r="F25" s="311" t="str">
        <f>IF(ISERROR(F23*F24)/100," ",(F23*F24)/100)</f>
        <v xml:space="preserve"> </v>
      </c>
      <c r="G25" s="312"/>
      <c r="H25" s="311" t="str">
        <f>IF(ISERROR(H23*H24/100)," ",(H23*H24/100))</f>
        <v xml:space="preserve"> </v>
      </c>
      <c r="I25" s="312"/>
      <c r="J25" s="311" t="str">
        <f>IF(ISERROR(J23*J24/100)," ",(J23*J24/100))</f>
        <v xml:space="preserve"> </v>
      </c>
      <c r="K25" s="312"/>
      <c r="L25" s="311" t="str">
        <f>IF(ISERROR(L23*L24/100)," ",(L23*L24/100))</f>
        <v xml:space="preserve"> </v>
      </c>
      <c r="M25" s="312"/>
      <c r="O25" s="96"/>
      <c r="P25" s="96"/>
      <c r="Q25" s="96"/>
      <c r="R25" s="96"/>
      <c r="S25" s="96"/>
      <c r="T25" s="96"/>
    </row>
    <row r="26" spans="1:20" ht="15" customHeight="1" x14ac:dyDescent="0.25">
      <c r="A26" s="95">
        <v>3</v>
      </c>
      <c r="B26" s="288" t="s">
        <v>89</v>
      </c>
      <c r="C26" s="289"/>
      <c r="D26" s="289"/>
      <c r="E26" s="289"/>
      <c r="F26" s="289"/>
      <c r="G26" s="289"/>
      <c r="H26" s="289"/>
      <c r="I26" s="289"/>
      <c r="J26" s="289"/>
      <c r="K26" s="289"/>
      <c r="L26" s="289"/>
      <c r="M26" s="289"/>
      <c r="O26" s="96"/>
      <c r="P26" s="96"/>
      <c r="Q26" s="96"/>
      <c r="R26" s="96"/>
      <c r="S26" s="96"/>
      <c r="T26" s="96"/>
    </row>
    <row r="27" spans="1:20" ht="15" customHeight="1" x14ac:dyDescent="0.25">
      <c r="A27" s="97">
        <v>3.1</v>
      </c>
      <c r="B27" s="98" t="s">
        <v>393</v>
      </c>
      <c r="C27" s="107" t="s">
        <v>202</v>
      </c>
      <c r="D27" s="36" t="str">
        <f>IF(D22=" ","",(VLOOKUP(System_1,Investition_ref,2,FALSE)+VLOOKUP(System_1,Investition_ref,3,FALSE))/1000)</f>
        <v/>
      </c>
      <c r="E27" s="120"/>
      <c r="F27" s="36">
        <f>IF(F22=" ","",(VLOOKUP(System_1b,Investition_ref,2,FALSE)+VLOOKUP(System_1b,Investition_ref,3,FALSE))/1000)</f>
        <v>32</v>
      </c>
      <c r="G27" s="120"/>
      <c r="H27" s="36">
        <f>IF(H22=" ","",(VLOOKUP(System_2,Investition_ref,2,FALSE)+VLOOKUP(System_2,Investition_ref,3,FALSE))/1000)</f>
        <v>30</v>
      </c>
      <c r="I27" s="120"/>
      <c r="J27" s="36">
        <f>IF(J22=" ","",(VLOOKUP(System_3,Investition_ref,2,FALSE)+VLOOKUP(System_3,Investition_ref,3,FALSE))/1000)</f>
        <v>37</v>
      </c>
      <c r="K27" s="120"/>
      <c r="L27" s="36">
        <f>IF(L22=" ","",(VLOOKUP(System_4,Investition_ref,2,FALSE)+VLOOKUP(System_4,Investition_ref,3,FALSE))/1000)</f>
        <v>37</v>
      </c>
      <c r="M27" s="120"/>
      <c r="O27" s="96" t="s">
        <v>206</v>
      </c>
      <c r="P27" s="96"/>
      <c r="Q27" s="96"/>
      <c r="R27" s="96"/>
      <c r="S27" s="96"/>
      <c r="T27" s="96"/>
    </row>
    <row r="28" spans="1:20" ht="15" customHeight="1" x14ac:dyDescent="0.25">
      <c r="A28" s="97">
        <v>3.2</v>
      </c>
      <c r="B28" s="98" t="s">
        <v>394</v>
      </c>
      <c r="C28" s="107" t="s">
        <v>202</v>
      </c>
      <c r="D28" s="36" t="str">
        <f>IF(D22=" ","",VLOOKUP(System_1,Investition_ref,4,FALSE)/1000)</f>
        <v/>
      </c>
      <c r="E28" s="120"/>
      <c r="F28" s="36">
        <f>IF(F22=" ","",VLOOKUP(System_1b,Investition_ref,4,FALSE)/1000)</f>
        <v>15</v>
      </c>
      <c r="G28" s="120"/>
      <c r="H28" s="36">
        <f>IF(H22=" ","",VLOOKUP(System_2,Investition_ref,4,FALSE)/1000)</f>
        <v>18</v>
      </c>
      <c r="I28" s="120"/>
      <c r="J28" s="36">
        <f>IF(J22=" ","",VLOOKUP(System_3,Investition_ref,4,FALSE)/1000)</f>
        <v>17</v>
      </c>
      <c r="K28" s="120"/>
      <c r="L28" s="36">
        <f>IF(L22=" ","",VLOOKUP(System_4,Investition_ref,4,FALSE)/1000)</f>
        <v>11</v>
      </c>
      <c r="M28" s="120"/>
      <c r="O28" s="96" t="s">
        <v>388</v>
      </c>
      <c r="P28" s="96"/>
      <c r="Q28" s="96"/>
      <c r="R28" s="96"/>
      <c r="S28" s="96"/>
      <c r="T28" s="96"/>
    </row>
    <row r="29" spans="1:20" ht="15" customHeight="1" x14ac:dyDescent="0.25">
      <c r="A29" s="97">
        <v>3.3</v>
      </c>
      <c r="B29" s="98" t="s">
        <v>579</v>
      </c>
      <c r="C29" s="107" t="s">
        <v>202</v>
      </c>
      <c r="D29" s="315" t="str">
        <f>IF(System_1=" "," ","-")</f>
        <v xml:space="preserve"> </v>
      </c>
      <c r="E29" s="316"/>
      <c r="F29" s="315" t="str">
        <f>IF(System_1=" "," ","-")</f>
        <v xml:space="preserve"> </v>
      </c>
      <c r="G29" s="316"/>
      <c r="H29" s="315" t="str">
        <f>IF(System_1=" "," ","-")</f>
        <v xml:space="preserve"> </v>
      </c>
      <c r="I29" s="316"/>
      <c r="J29" s="315" t="str">
        <f>IF(System_1=" "," ","-")</f>
        <v xml:space="preserve"> </v>
      </c>
      <c r="K29" s="316"/>
      <c r="L29" s="363"/>
      <c r="M29" s="364"/>
      <c r="O29" s="96" t="s">
        <v>580</v>
      </c>
      <c r="P29" s="96"/>
      <c r="Q29" s="96"/>
      <c r="R29" s="96"/>
      <c r="S29" s="96"/>
      <c r="T29" s="96"/>
    </row>
    <row r="30" spans="1:20" ht="15" customHeight="1" x14ac:dyDescent="0.25">
      <c r="A30" s="97">
        <v>3.4</v>
      </c>
      <c r="B30" s="98" t="s">
        <v>420</v>
      </c>
      <c r="C30" s="107" t="s">
        <v>498</v>
      </c>
      <c r="D30" s="315" t="str">
        <f>IF(System_1=" "," ","-")</f>
        <v xml:space="preserve"> </v>
      </c>
      <c r="E30" s="316"/>
      <c r="F30" s="315" t="str">
        <f>IF(System_1b=""," ","-")</f>
        <v>-</v>
      </c>
      <c r="G30" s="316"/>
      <c r="H30" s="315" t="str">
        <f>IF(System_2=""," ","-")</f>
        <v>-</v>
      </c>
      <c r="I30" s="316"/>
      <c r="J30" s="315" t="str">
        <f>IF(System_3=""," ","-")</f>
        <v>-</v>
      </c>
      <c r="K30" s="316"/>
      <c r="L30" s="365"/>
      <c r="M30" s="366"/>
      <c r="O30" s="96" t="s">
        <v>581</v>
      </c>
      <c r="P30" s="96"/>
      <c r="Q30" s="96"/>
      <c r="R30" s="96"/>
      <c r="S30" s="96"/>
      <c r="T30" s="96"/>
    </row>
    <row r="31" spans="1:20" ht="15" customHeight="1" x14ac:dyDescent="0.25">
      <c r="A31" s="97">
        <v>3.5</v>
      </c>
      <c r="B31" s="98" t="s">
        <v>384</v>
      </c>
      <c r="C31" s="107" t="s">
        <v>36</v>
      </c>
      <c r="D31" s="110" t="str">
        <f>IF(ISERROR(VLOOKUP(System_1,Förderbeiträge,2,FALSE))," ",VLOOKUP(System_1,Förderbeiträge,2,FALSE))</f>
        <v xml:space="preserve"> </v>
      </c>
      <c r="E31" s="120"/>
      <c r="F31" s="110">
        <f>IF(ISERROR(VLOOKUP(System_1b,Förderbeiträge,2,FALSE))," ",VLOOKUP(System_1b,Förderbeiträge,2,FALSE))</f>
        <v>3200</v>
      </c>
      <c r="G31" s="120"/>
      <c r="H31" s="110">
        <f>IF(ISERROR(VLOOKUP(System_2,Förderbeiträge,2,FALSE))," ",VLOOKUP(System_2,Förderbeiträge,2,FALSE))</f>
        <v>84800</v>
      </c>
      <c r="I31" s="120"/>
      <c r="J31" s="110">
        <f>IF(ISERROR(VLOOKUP(System_3,Förderbeiträge,2,FALSE))," ",VLOOKUP(System_3,Förderbeiträge,2,FALSE))</f>
        <v>80000</v>
      </c>
      <c r="K31" s="120"/>
      <c r="L31" s="311">
        <f>IF(System_4=" "," ",0)</f>
        <v>0</v>
      </c>
      <c r="M31" s="312"/>
      <c r="O31" s="96" t="s">
        <v>351</v>
      </c>
      <c r="P31" s="96"/>
      <c r="Q31" s="96"/>
      <c r="R31" s="96"/>
      <c r="S31" s="96"/>
      <c r="T31" s="96"/>
    </row>
    <row r="32" spans="1:20" ht="15" customHeight="1" x14ac:dyDescent="0.25">
      <c r="A32" s="97">
        <v>3.6</v>
      </c>
      <c r="B32" s="98" t="s">
        <v>383</v>
      </c>
      <c r="C32" s="107" t="s">
        <v>36</v>
      </c>
      <c r="D32" s="367"/>
      <c r="E32" s="368"/>
      <c r="F32" s="367"/>
      <c r="G32" s="368"/>
      <c r="H32" s="367"/>
      <c r="I32" s="368"/>
      <c r="J32" s="367"/>
      <c r="K32" s="368"/>
      <c r="L32" s="311">
        <f>IF(System_4=" "," ",0)</f>
        <v>0</v>
      </c>
      <c r="M32" s="312"/>
      <c r="O32" s="96" t="s">
        <v>385</v>
      </c>
      <c r="P32" s="96"/>
      <c r="Q32" s="96"/>
      <c r="R32" s="96"/>
      <c r="S32" s="96"/>
      <c r="T32" s="96"/>
    </row>
    <row r="33" spans="1:20" ht="15" customHeight="1" x14ac:dyDescent="0.25">
      <c r="A33" s="97">
        <v>3.7</v>
      </c>
      <c r="B33" s="98" t="s">
        <v>386</v>
      </c>
      <c r="C33" s="107" t="s">
        <v>36</v>
      </c>
      <c r="D33" s="367"/>
      <c r="E33" s="368"/>
      <c r="F33" s="367"/>
      <c r="G33" s="368"/>
      <c r="H33" s="367"/>
      <c r="I33" s="368"/>
      <c r="J33" s="367"/>
      <c r="K33" s="368"/>
      <c r="L33" s="311">
        <f>IF(System_4=" "," ",0)</f>
        <v>0</v>
      </c>
      <c r="M33" s="312"/>
      <c r="O33" s="96" t="s">
        <v>387</v>
      </c>
      <c r="P33" s="96"/>
      <c r="Q33" s="96"/>
      <c r="R33" s="96"/>
      <c r="S33" s="96"/>
      <c r="T33" s="96"/>
    </row>
    <row r="34" spans="1:20" ht="15" customHeight="1" x14ac:dyDescent="0.25">
      <c r="A34" s="97">
        <v>3.8</v>
      </c>
      <c r="B34" s="111" t="s">
        <v>86</v>
      </c>
      <c r="C34" s="107" t="s">
        <v>36</v>
      </c>
      <c r="D34" s="311" t="str">
        <f>IF(ISERROR(IF(D22=" "," ",IF(E27="",D27,E27)*1000+IF(E28="",D28,E28)*1000-IF(E31="",SUM(D31:D33),SUM(E31,D32:D33)))),"",IF(D22=" "," ",IF(E27="",D27,E27)*1000+IF(E28="",D28,E28)*1000-IF(E31="",SUM(D31:D33),SUM(E31,D32:D33))))</f>
        <v xml:space="preserve"> </v>
      </c>
      <c r="E34" s="312"/>
      <c r="F34" s="311">
        <f>IF(ISERROR(IF(F22=" "," ",IF(G27="",F27,G27)*1000+IF(G28="",F28,G28)*1000-IF(G31="",SUM(F31:F33),SUM(G31,F32:F33)))),"",IF(F22=" "," ",IF(G27="",F27,G27)*1000+IF(G28="",F28,G28)*1000-IF(G31="",SUM(F31:F33),SUM(G31,F32:F33))))</f>
        <v>43800</v>
      </c>
      <c r="G34" s="312"/>
      <c r="H34" s="311">
        <f>IF(ISERROR(IF(H22=" "," ",IF(I27="",H27,I27)*1000+IF(I28="",H28,I28)*1000-IF(I31="",SUM(H31:H33),SUM(I31,H32:H33)))),"",IF(H22=" "," ",IF(I27="",H27,I27)*1000+IF(I28="",H28,I28)*1000-IF(I31="",SUM(H31:H33),SUM(I31,H32:H33))))</f>
        <v>-36800</v>
      </c>
      <c r="I34" s="312"/>
      <c r="J34" s="311">
        <f>IF(ISERROR(IF(J22=" "," ",IF(K27="",J27,K27)*1000+IF(K28="",J28,K28)*1000-IF(K31="",SUM(J31:J33),SUM(K31,J32:J33)))),"",IF(J22=" "," ",IF(K27="",J27,K27)*1000+IF(K28="",J28,K28)*1000-IF(K31="",SUM(J31:J33),SUM(K31,J32:J33))))</f>
        <v>-26000</v>
      </c>
      <c r="K34" s="312"/>
      <c r="L34" s="311">
        <f>IF(ISERROR(IF(M27="",L27,M27)*1000+IF(M28="",L28,M28)*1000+L29*1000-L31),"",IF(M27="",L27,M27)*1000+IF(M28="",L28,M28)*1000+L29*1000-L31)</f>
        <v>48000</v>
      </c>
      <c r="M34" s="312"/>
      <c r="O34" s="101"/>
      <c r="P34" s="125"/>
      <c r="Q34" s="96"/>
      <c r="R34" s="96"/>
      <c r="S34" s="96"/>
      <c r="T34" s="96"/>
    </row>
    <row r="35" spans="1:20" ht="15" customHeight="1" x14ac:dyDescent="0.25">
      <c r="A35" s="95">
        <v>4</v>
      </c>
      <c r="B35" s="286" t="s">
        <v>90</v>
      </c>
      <c r="C35" s="287"/>
      <c r="D35" s="287"/>
      <c r="E35" s="287"/>
      <c r="F35" s="287"/>
      <c r="G35" s="287"/>
      <c r="H35" s="287"/>
      <c r="I35" s="287"/>
      <c r="J35" s="287"/>
      <c r="K35" s="287"/>
      <c r="L35" s="287"/>
      <c r="M35" s="287"/>
      <c r="O35" s="96"/>
      <c r="P35" s="96"/>
      <c r="Q35" s="96"/>
      <c r="R35" s="96"/>
      <c r="S35" s="96"/>
      <c r="T35" s="96"/>
    </row>
    <row r="36" spans="1:20" ht="15" customHeight="1" x14ac:dyDescent="0.25">
      <c r="A36" s="97">
        <v>4.0999999999999996</v>
      </c>
      <c r="B36" s="98" t="s">
        <v>352</v>
      </c>
      <c r="C36" s="107" t="s">
        <v>202</v>
      </c>
      <c r="D36" s="36" t="str">
        <f>IF(D22=" ","",VLOOKUP(System_1,Investition_ref,5,FALSE)/1000)</f>
        <v/>
      </c>
      <c r="E36" s="120"/>
      <c r="F36" s="36">
        <f>IF(F22=" ","",VLOOKUP(System_1b,Investition_ref,5,FALSE)/1000)</f>
        <v>0</v>
      </c>
      <c r="G36" s="120"/>
      <c r="H36" s="36">
        <f>IF(H22=" ","",VLOOKUP(System_2,Investition_ref,5,FALSE)/1000)</f>
        <v>14</v>
      </c>
      <c r="I36" s="120"/>
      <c r="J36" s="36">
        <f>IF(J22=" ","",VLOOKUP(System_3,Investition_ref,5,FALSE)/1000)</f>
        <v>0</v>
      </c>
      <c r="K36" s="120"/>
      <c r="L36" s="36">
        <f>IF(L22=" ","",VLOOKUP(System_4,Investition_ref,5,FALSE)/1000)</f>
        <v>0</v>
      </c>
      <c r="M36" s="120"/>
      <c r="O36" s="96" t="s">
        <v>353</v>
      </c>
      <c r="P36" s="96"/>
      <c r="Q36" s="96"/>
      <c r="R36" s="96"/>
      <c r="S36" s="96"/>
      <c r="T36" s="96"/>
    </row>
    <row r="37" spans="1:20" s="160" customFormat="1" ht="15" customHeight="1" x14ac:dyDescent="0.25">
      <c r="A37" s="97">
        <v>4.2</v>
      </c>
      <c r="B37" s="98" t="s">
        <v>490</v>
      </c>
      <c r="C37" s="107" t="s">
        <v>202</v>
      </c>
      <c r="D37" s="36" t="str">
        <f>IF(System_1=" ","",0)</f>
        <v/>
      </c>
      <c r="E37" s="120"/>
      <c r="F37" s="36">
        <f>IF(System_1b="","",0)</f>
        <v>0</v>
      </c>
      <c r="G37" s="120"/>
      <c r="H37" s="36">
        <f>IF(System_2="","",0)</f>
        <v>0</v>
      </c>
      <c r="I37" s="120"/>
      <c r="J37" s="36">
        <f>IF(System_3="","",0)</f>
        <v>0</v>
      </c>
      <c r="K37" s="120"/>
      <c r="L37" s="36">
        <f>IF(System_4=" ","",0)</f>
        <v>0</v>
      </c>
      <c r="M37" s="120"/>
      <c r="O37" s="96" t="s">
        <v>504</v>
      </c>
      <c r="P37" s="96"/>
      <c r="Q37" s="96"/>
      <c r="R37" s="96"/>
      <c r="S37" s="96"/>
      <c r="T37" s="96"/>
    </row>
    <row r="38" spans="1:20" ht="15" customHeight="1" x14ac:dyDescent="0.25">
      <c r="A38" s="95">
        <v>5</v>
      </c>
      <c r="B38" s="286" t="s">
        <v>205</v>
      </c>
      <c r="C38" s="287"/>
      <c r="D38" s="287"/>
      <c r="E38" s="287"/>
      <c r="F38" s="287"/>
      <c r="G38" s="287"/>
      <c r="H38" s="287"/>
      <c r="I38" s="287"/>
      <c r="J38" s="287"/>
      <c r="K38" s="287"/>
      <c r="L38" s="287"/>
      <c r="M38" s="287"/>
      <c r="O38" s="96"/>
      <c r="P38" s="96"/>
      <c r="Q38" s="96"/>
      <c r="R38" s="96"/>
      <c r="S38" s="96"/>
      <c r="T38" s="96"/>
    </row>
    <row r="39" spans="1:20" ht="15" customHeight="1" x14ac:dyDescent="0.25">
      <c r="A39" s="97">
        <v>5.0999999999999996</v>
      </c>
      <c r="B39" s="98" t="s">
        <v>107</v>
      </c>
      <c r="C39" s="107" t="s">
        <v>100</v>
      </c>
      <c r="D39" s="31" t="str">
        <f>IF(ISERROR(VLOOKUP(System_1,Raumbedarf_ref,2,FALSE)),"",ROUND(VLOOKUP(System_1,Raumbedarf_ref,2,FALSE),0))</f>
        <v/>
      </c>
      <c r="E39" s="121"/>
      <c r="F39" s="31" t="str">
        <f>IF(ISERROR(VLOOKUP(System_1b,Raumbedarf_ref,2,FALSE)),"",ROUND(VLOOKUP(System_1b,Raumbedarf_ref,2,FALSE),0))</f>
        <v/>
      </c>
      <c r="G39" s="121"/>
      <c r="H39" s="31" t="str">
        <f>IF(ISERROR(VLOOKUP(System_2,Raumbedarf_ref,2,FALSE)),"",ROUND(VLOOKUP(System_2,Raumbedarf_ref,2,FALSE),0))</f>
        <v/>
      </c>
      <c r="I39" s="121"/>
      <c r="J39" s="31" t="str">
        <f>IF(ISERROR(VLOOKUP(System_3,Raumbedarf_ref,2,FALSE)),"",ROUND(VLOOKUP(System_3,Raumbedarf_ref,2,FALSE),0))</f>
        <v/>
      </c>
      <c r="K39" s="121"/>
      <c r="L39" s="31" t="str">
        <f>IF(ISERROR(VLOOKUP(System_4,Raumbedarf_ref,2,FALSE)),"",ROUND(VLOOKUP(System_4,Raumbedarf_ref,2,FALSE),0))</f>
        <v/>
      </c>
      <c r="M39" s="121"/>
      <c r="O39" s="96" t="s">
        <v>505</v>
      </c>
      <c r="P39" s="96"/>
      <c r="Q39" s="96"/>
      <c r="R39" s="96"/>
      <c r="S39" s="96"/>
      <c r="T39" s="96"/>
    </row>
    <row r="40" spans="1:20" ht="15" customHeight="1" x14ac:dyDescent="0.25">
      <c r="A40" s="97">
        <v>5.2</v>
      </c>
      <c r="B40" s="98" t="s">
        <v>37</v>
      </c>
      <c r="C40" s="107" t="s">
        <v>101</v>
      </c>
      <c r="D40" s="311" t="str">
        <f>IF(D27=""," ",Spez_Raumkosten)</f>
        <v xml:space="preserve"> </v>
      </c>
      <c r="E40" s="312"/>
      <c r="F40" s="311">
        <f>IF(F27=""," ",Spez_Raumkosten)</f>
        <v>300</v>
      </c>
      <c r="G40" s="312"/>
      <c r="H40" s="311">
        <f>IF(H27=""," ",Spez_Raumkosten)</f>
        <v>300</v>
      </c>
      <c r="I40" s="312"/>
      <c r="J40" s="311">
        <f>IF(J27=""," ",Spez_Raumkosten)</f>
        <v>300</v>
      </c>
      <c r="K40" s="312"/>
      <c r="L40" s="311">
        <f>IF(L27=""," ",Spez_Raumkosten)</f>
        <v>300</v>
      </c>
      <c r="M40" s="312"/>
      <c r="O40" s="96"/>
      <c r="P40" s="96"/>
      <c r="Q40" s="96"/>
      <c r="R40" s="96"/>
      <c r="S40" s="96"/>
      <c r="T40" s="96"/>
    </row>
    <row r="41" spans="1:20" ht="15" customHeight="1" x14ac:dyDescent="0.25">
      <c r="A41" s="97">
        <v>5.3</v>
      </c>
      <c r="B41" s="111" t="s">
        <v>38</v>
      </c>
      <c r="C41" s="107" t="s">
        <v>36</v>
      </c>
      <c r="D41" s="311" t="str">
        <f>IF(ISERROR(IF(E39&lt;&gt;"",E39*D40,D39*D40))," ",IF(E39&lt;&gt;"",E39*D40,D39*D40))</f>
        <v xml:space="preserve"> </v>
      </c>
      <c r="E41" s="312"/>
      <c r="F41" s="311" t="str">
        <f>IF(ISERROR(IF(G39&lt;&gt;"",G39*F40,F39*F40))," ",IF(G39&lt;&gt;"",G39*F40,F39*F40))</f>
        <v xml:space="preserve"> </v>
      </c>
      <c r="G41" s="312"/>
      <c r="H41" s="311" t="str">
        <f>IF(ISERROR(IF(I39&lt;&gt;"",I39*H40,H39*H40))," ",IF(I39&lt;&gt;"",I39*H40,H39*H40))</f>
        <v xml:space="preserve"> </v>
      </c>
      <c r="I41" s="312"/>
      <c r="J41" s="311" t="str">
        <f>IF(ISERROR(IF(K39&lt;&gt;"",K39*J40,J39*J40))," ",IF(K39&lt;&gt;"",K39*J40,J39*J40))</f>
        <v xml:space="preserve"> </v>
      </c>
      <c r="K41" s="312"/>
      <c r="L41" s="311" t="str">
        <f>IF(ISERROR(IF(M39&lt;&gt;"",M39*L40,L39*L40))," ",IF(M39&lt;&gt;"",M39*L40,L39*L40))</f>
        <v xml:space="preserve"> </v>
      </c>
      <c r="M41" s="312"/>
      <c r="O41" s="96"/>
      <c r="P41" s="96"/>
      <c r="Q41" s="96"/>
      <c r="R41" s="96"/>
      <c r="S41" s="96"/>
      <c r="T41" s="96"/>
    </row>
    <row r="42" spans="1:20" ht="15" customHeight="1" x14ac:dyDescent="0.25">
      <c r="A42" s="95">
        <v>6</v>
      </c>
      <c r="B42" s="286" t="s">
        <v>108</v>
      </c>
      <c r="C42" s="287"/>
      <c r="D42" s="287"/>
      <c r="E42" s="287"/>
      <c r="F42" s="287"/>
      <c r="G42" s="287"/>
      <c r="H42" s="287"/>
      <c r="I42" s="287"/>
      <c r="J42" s="287"/>
      <c r="K42" s="287"/>
      <c r="L42" s="287"/>
      <c r="M42" s="287"/>
      <c r="O42" s="96"/>
      <c r="P42" s="96"/>
      <c r="Q42" s="96"/>
      <c r="R42" s="96"/>
      <c r="S42" s="96"/>
      <c r="T42" s="96"/>
    </row>
    <row r="43" spans="1:20" ht="15" customHeight="1" x14ac:dyDescent="0.25">
      <c r="A43" s="97">
        <v>6.1</v>
      </c>
      <c r="B43" s="98" t="s">
        <v>109</v>
      </c>
      <c r="C43" s="107" t="s">
        <v>36</v>
      </c>
      <c r="D43" s="31" t="str">
        <f>IF(ISERROR((SUM(D32:E34)+IF(E31=" ",D31,E31))/100*VLOOKUP(System_1,Wartung_Unterhalt_ref,5,FALSE))," ",(SUM(D32:E34)+IF(E31=" ",D31,E31))/100*VLOOKUP(System_1,Wartung_Unterhalt_ref,5,FALSE))</f>
        <v xml:space="preserve"> </v>
      </c>
      <c r="E43" s="121"/>
      <c r="F43" s="31">
        <f>IF(ISERROR((SUM(F32:G34)+IF(G31=" ",F31,G31))/100*VLOOKUP(System_1b,Wartung_Unterhalt_ref,5,FALSE))," ",(SUM(F32:G34)+IF(G31=" ",F31,G31))/100*VLOOKUP(System_1b,Wartung_Unterhalt_ref,5,FALSE))</f>
        <v>438</v>
      </c>
      <c r="G43" s="121"/>
      <c r="H43" s="31">
        <f>IF(ISERROR((SUM(H32:I34)+IF(I31=" ",H31,I31))/100*VLOOKUP(System_2,Wartung_Unterhalt_ref,5,FALSE))," ",(SUM(H32:I34)+IF(I31=" ",H31,I31))/100*VLOOKUP(System_2,Wartung_Unterhalt_ref,5,FALSE))</f>
        <v>-368</v>
      </c>
      <c r="I43" s="121"/>
      <c r="J43" s="31">
        <f>IF(ISERROR((SUM(J32:K34)+IF(K31=" ",J31,K31))/100*VLOOKUP(System_3,Wartung_Unterhalt_ref,5,FALSE))," ",(SUM(J32:K34)+IF(K31=" ",J31,K31))/100*VLOOKUP(System_3,Wartung_Unterhalt_ref,5,FALSE))</f>
        <v>-780</v>
      </c>
      <c r="K43" s="121"/>
      <c r="L43" s="31">
        <f>IF(ISERROR((SUM(L31:M34)-L29*1000)/100*VLOOKUP(L20,Wartung_Unterhalt_ref,5,FALSE))," ",(SUM(L31:M34)-L29*1000)/100*VLOOKUP(L20,Wartung_Unterhalt_ref,5,FALSE))</f>
        <v>960</v>
      </c>
      <c r="M43" s="121"/>
      <c r="O43" s="96" t="s">
        <v>505</v>
      </c>
      <c r="P43" s="96"/>
      <c r="Q43" s="96"/>
      <c r="R43" s="96"/>
      <c r="S43" s="96"/>
      <c r="T43" s="96"/>
    </row>
    <row r="44" spans="1:20" ht="15" customHeight="1" x14ac:dyDescent="0.25">
      <c r="A44" s="95">
        <v>7</v>
      </c>
      <c r="B44" s="286" t="s">
        <v>40</v>
      </c>
      <c r="C44" s="287"/>
      <c r="D44" s="287"/>
      <c r="E44" s="287"/>
      <c r="F44" s="287"/>
      <c r="G44" s="287"/>
      <c r="H44" s="287"/>
      <c r="I44" s="287"/>
      <c r="J44" s="287"/>
      <c r="K44" s="287"/>
      <c r="L44" s="287"/>
      <c r="M44" s="287"/>
      <c r="O44" s="96"/>
      <c r="P44" s="96"/>
      <c r="Q44" s="96"/>
      <c r="R44" s="96"/>
      <c r="S44" s="96"/>
      <c r="T44" s="96"/>
    </row>
    <row r="45" spans="1:20" ht="15" hidden="1" customHeight="1" x14ac:dyDescent="0.25">
      <c r="A45" s="97">
        <v>7.1</v>
      </c>
      <c r="B45" s="98" t="s">
        <v>41</v>
      </c>
      <c r="C45" s="107" t="s">
        <v>42</v>
      </c>
      <c r="D45" s="343">
        <f>IF(D27=0," ",Berechnungsgrundlagen!$C$110)</f>
        <v>20</v>
      </c>
      <c r="E45" s="344"/>
      <c r="F45" s="112"/>
      <c r="G45" s="112"/>
      <c r="H45" s="343">
        <f>IF(H27=0," ",Berechnungsgrundlagen!$C$110)</f>
        <v>20</v>
      </c>
      <c r="I45" s="344"/>
      <c r="J45" s="343">
        <f>IF(J27=0," ",Berechnungsgrundlagen!$C$110)</f>
        <v>20</v>
      </c>
      <c r="K45" s="344"/>
      <c r="L45" s="311">
        <f>IF(L27=0," ",Berechnungsgrundlagen!$C$110)</f>
        <v>20</v>
      </c>
      <c r="M45" s="312"/>
      <c r="O45" s="101"/>
      <c r="P45" s="96"/>
      <c r="Q45" s="96"/>
      <c r="R45" s="96"/>
      <c r="S45" s="96"/>
      <c r="T45" s="96"/>
    </row>
    <row r="46" spans="1:20" x14ac:dyDescent="0.25">
      <c r="A46" s="97">
        <v>7.1</v>
      </c>
      <c r="B46" s="98" t="s">
        <v>43</v>
      </c>
      <c r="C46" s="107" t="s">
        <v>44</v>
      </c>
      <c r="D46" s="339" t="str">
        <f>IF(D27=""," ",Berechnungsgrundlagen!$C$114*100)</f>
        <v xml:space="preserve"> </v>
      </c>
      <c r="E46" s="340"/>
      <c r="F46" s="339">
        <f>IF(F27=""," ",Berechnungsgrundlagen!$C$114*100)</f>
        <v>1.25</v>
      </c>
      <c r="G46" s="340"/>
      <c r="H46" s="339">
        <f>IF(H27=""," ",Berechnungsgrundlagen!$C$114*100)</f>
        <v>1.25</v>
      </c>
      <c r="I46" s="340"/>
      <c r="J46" s="339">
        <f>IF(J27=""," ",Berechnungsgrundlagen!$C$114*100)</f>
        <v>1.25</v>
      </c>
      <c r="K46" s="340"/>
      <c r="L46" s="339">
        <f>IF(L27=""," ",Berechnungsgrundlagen!$C$114*100)</f>
        <v>1.25</v>
      </c>
      <c r="M46" s="340"/>
      <c r="O46" s="96"/>
      <c r="P46" s="96"/>
      <c r="Q46" s="96"/>
      <c r="R46" s="96"/>
      <c r="S46" s="96"/>
      <c r="T46" s="96"/>
    </row>
    <row r="47" spans="1:20" ht="14.25" hidden="1" customHeight="1" x14ac:dyDescent="0.25">
      <c r="A47" s="97">
        <v>7.3</v>
      </c>
      <c r="B47" s="98" t="s">
        <v>45</v>
      </c>
      <c r="C47" s="107" t="s">
        <v>44</v>
      </c>
      <c r="D47" s="343">
        <f>IF(D27=0," ",Berechnungsgrundlagen!$C$115*100)</f>
        <v>0</v>
      </c>
      <c r="E47" s="344"/>
      <c r="F47" s="112"/>
      <c r="G47" s="112"/>
      <c r="H47" s="343">
        <f>IF(H27=0," ",Berechnungsgrundlagen!$C$115*100)</f>
        <v>0</v>
      </c>
      <c r="I47" s="344"/>
      <c r="J47" s="343">
        <f>IF(J27=0," ",Berechnungsgrundlagen!$C$115*100)</f>
        <v>0</v>
      </c>
      <c r="K47" s="344"/>
      <c r="L47" s="311">
        <f>IF(L27=0," ",Berechnungsgrundlagen!$C$115*100)</f>
        <v>0</v>
      </c>
      <c r="M47" s="312"/>
      <c r="O47" s="96"/>
      <c r="P47" s="96"/>
      <c r="Q47" s="96"/>
      <c r="R47" s="96"/>
      <c r="S47" s="96"/>
      <c r="T47" s="96"/>
    </row>
    <row r="48" spans="1:20" ht="14.25" hidden="1" customHeight="1" x14ac:dyDescent="0.25">
      <c r="A48" s="97">
        <v>7.4</v>
      </c>
      <c r="B48" s="98" t="s">
        <v>46</v>
      </c>
      <c r="C48" s="107" t="s">
        <v>44</v>
      </c>
      <c r="D48" s="343">
        <f>IF(D27=0," ",Berechnungsgrundlagen!$C$117*100)</f>
        <v>0</v>
      </c>
      <c r="E48" s="344"/>
      <c r="F48" s="112"/>
      <c r="G48" s="112"/>
      <c r="H48" s="343">
        <f>IF(H27=0," ",Berechnungsgrundlagen!$C$117*100)</f>
        <v>0</v>
      </c>
      <c r="I48" s="344"/>
      <c r="J48" s="343">
        <f>IF(J27=0," ",Berechnungsgrundlagen!$C$117*100)</f>
        <v>0</v>
      </c>
      <c r="K48" s="344"/>
      <c r="L48" s="311">
        <f>IF(L27=0," ",Berechnungsgrundlagen!$C$117*100)</f>
        <v>0</v>
      </c>
      <c r="M48" s="312"/>
      <c r="O48" s="96"/>
      <c r="P48" s="96"/>
      <c r="Q48" s="96"/>
      <c r="R48" s="96"/>
      <c r="S48" s="96"/>
      <c r="T48" s="96"/>
    </row>
    <row r="49" spans="1:20" ht="15" customHeight="1" x14ac:dyDescent="0.25">
      <c r="A49" s="95">
        <v>8</v>
      </c>
      <c r="B49" s="286" t="s">
        <v>562</v>
      </c>
      <c r="C49" s="287"/>
      <c r="D49" s="287"/>
      <c r="E49" s="287"/>
      <c r="F49" s="287"/>
      <c r="G49" s="287"/>
      <c r="H49" s="287"/>
      <c r="I49" s="287"/>
      <c r="J49" s="287"/>
      <c r="K49" s="287"/>
      <c r="L49" s="287"/>
      <c r="M49" s="287"/>
      <c r="O49" s="96"/>
      <c r="P49" s="96"/>
      <c r="Q49" s="96"/>
      <c r="R49" s="96"/>
      <c r="S49" s="96"/>
      <c r="T49" s="96"/>
    </row>
    <row r="50" spans="1:20" ht="15" customHeight="1" x14ac:dyDescent="0.25">
      <c r="A50" s="97">
        <v>8.1</v>
      </c>
      <c r="B50" s="98" t="s">
        <v>47</v>
      </c>
      <c r="C50" s="107" t="s">
        <v>36</v>
      </c>
      <c r="D50" s="311" t="str">
        <f>IF(D27=0," ",IF(ISERROR(SUM(D25*Berechnungsgrundlagen!$C$122))," ",(SUM(D25*Berechnungsgrundlagen!$C$122))))</f>
        <v xml:space="preserve"> </v>
      </c>
      <c r="E50" s="312"/>
      <c r="F50" s="311" t="str">
        <f>IF(F27=0," ",IF(ISERROR(SUM(F25*Berechnungsgrundlagen!$C$122))," ",(SUM(F25*Berechnungsgrundlagen!$C$122))))</f>
        <v xml:space="preserve"> </v>
      </c>
      <c r="G50" s="312"/>
      <c r="H50" s="311" t="str">
        <f>IF(H27=0," ",IF(ISERROR(SUM(H25*Berechnungsgrundlagen!$C$122))," ",(SUM(H25*Berechnungsgrundlagen!$C$122))))</f>
        <v xml:space="preserve"> </v>
      </c>
      <c r="I50" s="312"/>
      <c r="J50" s="311" t="str">
        <f>IF(J27=0," ",IF(ISERROR(SUM(J25*Berechnungsgrundlagen!$C$122))," ",(SUM(J25*Berechnungsgrundlagen!$C$122))))</f>
        <v xml:space="preserve"> </v>
      </c>
      <c r="K50" s="312"/>
      <c r="L50" s="311" t="str">
        <f>IF(L27=0," ",IF(ISERROR(SUM(L25*Berechnungsgrundlagen!$C$122))," ",(SUM(L25*Berechnungsgrundlagen!$C$122))))</f>
        <v xml:space="preserve"> </v>
      </c>
      <c r="M50" s="312"/>
      <c r="O50" s="96"/>
      <c r="P50" s="96"/>
      <c r="Q50" s="96"/>
      <c r="R50" s="96"/>
      <c r="S50" s="96"/>
      <c r="T50" s="96"/>
    </row>
    <row r="51" spans="1:20" x14ac:dyDescent="0.25">
      <c r="A51" s="97">
        <v>8.1999999999999993</v>
      </c>
      <c r="B51" s="98" t="s">
        <v>39</v>
      </c>
      <c r="C51" s="107" t="s">
        <v>36</v>
      </c>
      <c r="D51" s="311" t="str">
        <f>IF(ISERROR(IF(E43&lt;&gt;"",E43,D43)*Berechnungsgrundlagen!$C$126)," ",IF(E43&lt;&gt;"",E43,D43)*Berechnungsgrundlagen!$C$126)</f>
        <v xml:space="preserve"> </v>
      </c>
      <c r="E51" s="312"/>
      <c r="F51" s="311">
        <f>IF(ISERROR(IF(G43&lt;&gt;"",G43,F43)*Berechnungsgrundlagen!$C$126)," ",IF(G43&lt;&gt;"",G43,F43)*Berechnungsgrundlagen!$C$126)</f>
        <v>437.99999999999727</v>
      </c>
      <c r="G51" s="312"/>
      <c r="H51" s="311">
        <f>IF(ISERROR(IF(I43&lt;&gt;"",I43,H43)*Berechnungsgrundlagen!$C$126)," ",IF(I43&lt;&gt;"",I43,H43)*Berechnungsgrundlagen!$C$126)</f>
        <v>-367.99999999999773</v>
      </c>
      <c r="I51" s="312"/>
      <c r="J51" s="311">
        <f>IF(ISERROR(IF(K43&lt;&gt;"",K43,J43)*Berechnungsgrundlagen!$C$126)," ",IF(K43&lt;&gt;"",K43,J43)*Berechnungsgrundlagen!$C$126)</f>
        <v>-779.99999999999511</v>
      </c>
      <c r="K51" s="312"/>
      <c r="L51" s="311">
        <f>IF(ISERROR(IF(M43&lt;&gt;"",M43,L43)*Berechnungsgrundlagen!$C$126)," ",IF(M43&lt;&gt;"",M43,L43)*Berechnungsgrundlagen!$C$126)</f>
        <v>959.99999999999409</v>
      </c>
      <c r="M51" s="312"/>
      <c r="O51" s="96"/>
      <c r="P51" s="96"/>
      <c r="Q51" s="96"/>
      <c r="R51" s="96"/>
      <c r="S51" s="96"/>
      <c r="T51" s="96"/>
    </row>
    <row r="52" spans="1:20" x14ac:dyDescent="0.25">
      <c r="A52" s="97">
        <v>8.3000000000000007</v>
      </c>
      <c r="B52" s="98" t="s">
        <v>48</v>
      </c>
      <c r="C52" s="107" t="s">
        <v>36</v>
      </c>
      <c r="D52" s="311" t="str">
        <f>IF(Berechnungsgrundlagen!C137=0," ",Berechnungsgrundlagen!C137)</f>
        <v xml:space="preserve"> </v>
      </c>
      <c r="E52" s="312"/>
      <c r="F52" s="311">
        <f>IF(Berechnungsgrundlagen!D137=0," ",Berechnungsgrundlagen!D137)</f>
        <v>2488.7330658730325</v>
      </c>
      <c r="G52" s="312"/>
      <c r="H52" s="311">
        <f>IF(Berechnungsgrundlagen!E137=0," ",Berechnungsgrundlagen!E137)</f>
        <v>-1644.0905437302704</v>
      </c>
      <c r="I52" s="312"/>
      <c r="J52" s="311">
        <f>IF(Berechnungsgrundlagen!F137=0," ",Berechnungsgrundlagen!F137)</f>
        <v>-1477.3301304269141</v>
      </c>
      <c r="K52" s="312"/>
      <c r="L52" s="311">
        <f>IF(Berechnungsgrundlagen!G137=0," ",Berechnungsgrundlagen!G137)</f>
        <v>2727.3787023266109</v>
      </c>
      <c r="M52" s="312"/>
      <c r="O52" s="96"/>
      <c r="P52" s="96"/>
      <c r="Q52" s="96"/>
      <c r="R52" s="96"/>
      <c r="S52" s="96"/>
      <c r="T52" s="96"/>
    </row>
    <row r="53" spans="1:20" x14ac:dyDescent="0.25">
      <c r="A53" s="97">
        <v>8.4</v>
      </c>
      <c r="B53" s="113" t="s">
        <v>49</v>
      </c>
      <c r="C53" s="114" t="s">
        <v>36</v>
      </c>
      <c r="D53" s="347" t="str">
        <f>IF(ISERROR(SUM(D50:D52))," ",IF(SUM(D50:D52)=0," ",SUM(D50:D52)))</f>
        <v xml:space="preserve"> </v>
      </c>
      <c r="E53" s="348"/>
      <c r="F53" s="347">
        <f>IF(ISERROR(SUM(F50:F52))," ",IF(SUM(F50:F52)=0," ",SUM(F50:F52)))</f>
        <v>2926.7330658730298</v>
      </c>
      <c r="G53" s="348"/>
      <c r="H53" s="347">
        <f>IF(ISERROR(SUM(H50:H52))," ",IF(SUM(H50:H52)=0," ",SUM(H50:H52)))</f>
        <v>-2012.0905437302681</v>
      </c>
      <c r="I53" s="348"/>
      <c r="J53" s="347">
        <f>IF(ISERROR(SUM(J50:J52))," ",IF(SUM(J50:J52)=0," ",SUM(J50:J52)))</f>
        <v>-2257.3301304269094</v>
      </c>
      <c r="K53" s="348"/>
      <c r="L53" s="347">
        <f>IF(ISERROR(SUM(L50:L52))," ",IF(SUM(L50:L52)=0," ",SUM(L50:L52)))</f>
        <v>3687.378702326605</v>
      </c>
      <c r="M53" s="348"/>
      <c r="O53" s="101"/>
      <c r="P53" s="96"/>
      <c r="Q53" s="96"/>
      <c r="R53" s="96"/>
      <c r="S53" s="96"/>
      <c r="T53" s="96"/>
    </row>
    <row r="54" spans="1:20" x14ac:dyDescent="0.25">
      <c r="A54" s="28"/>
      <c r="B54" s="28"/>
      <c r="C54" s="115"/>
      <c r="D54" s="115"/>
      <c r="E54" s="115"/>
      <c r="F54" s="115"/>
      <c r="G54" s="115"/>
      <c r="H54" s="115"/>
      <c r="I54" s="115"/>
      <c r="J54" s="115"/>
      <c r="K54" s="115"/>
      <c r="L54" s="115"/>
      <c r="M54" s="116"/>
      <c r="O54" s="96"/>
      <c r="P54" s="96"/>
      <c r="Q54" s="96"/>
      <c r="R54" s="96"/>
      <c r="S54" s="96"/>
      <c r="T54" s="96"/>
    </row>
    <row r="55" spans="1:20" x14ac:dyDescent="0.25">
      <c r="A55" s="95">
        <v>9</v>
      </c>
      <c r="B55" s="357" t="s">
        <v>50</v>
      </c>
      <c r="C55" s="358"/>
      <c r="D55" s="358"/>
      <c r="E55" s="358"/>
      <c r="F55" s="358"/>
      <c r="G55" s="358"/>
      <c r="H55" s="358"/>
      <c r="I55" s="358"/>
      <c r="J55" s="358"/>
      <c r="K55" s="358"/>
      <c r="L55" s="358"/>
      <c r="M55" s="359"/>
      <c r="O55" s="96"/>
      <c r="P55" s="96"/>
      <c r="Q55" s="96"/>
      <c r="R55" s="96"/>
      <c r="S55" s="96"/>
      <c r="T55" s="96"/>
    </row>
    <row r="56" spans="1:20" ht="15" customHeight="1" x14ac:dyDescent="0.25">
      <c r="A56" s="97">
        <v>9.1</v>
      </c>
      <c r="B56" s="98" t="s">
        <v>51</v>
      </c>
      <c r="C56" s="107" t="s">
        <v>34</v>
      </c>
      <c r="D56" s="349" t="str">
        <f>IF(ISERROR(D53/IF(NEB_manuell&lt;&gt;"",NEB_manuell,NEB)*100),"",D53/IF(NEB_manuell&lt;&gt;"",NEB_manuell,NEB)*100)</f>
        <v/>
      </c>
      <c r="E56" s="356"/>
      <c r="F56" s="349" t="str">
        <f>IF(ISERROR(F53/IF(NEB_manuell&lt;&gt;"",NEB_manuell,NEB)*100),"",F53/IF(NEB_manuell&lt;&gt;"",NEB_manuell,NEB)*100)</f>
        <v/>
      </c>
      <c r="G56" s="356"/>
      <c r="H56" s="349" t="str">
        <f>IF(ISERROR(H53/IF(NEB_manuell&lt;&gt;"",NEB_manuell,NEB)*100),"",H53/IF(NEB_manuell&lt;&gt;"",NEB_manuell,NEB)*100)</f>
        <v/>
      </c>
      <c r="I56" s="356"/>
      <c r="J56" s="349" t="str">
        <f>IF(ISERROR(J53/IF(NEB_manuell&lt;&gt;"",NEB_manuell,NEB)*100),"",J53/IF(NEB_manuell&lt;&gt;"",NEB_manuell,NEB)*100)</f>
        <v/>
      </c>
      <c r="K56" s="356"/>
      <c r="L56" s="349" t="str">
        <f>IF(ISERROR(L53/IF(NEB_manuell&lt;&gt;"",NEB_manuell,NEB)*100),"",L53/IF(NEB_manuell&lt;&gt;"",NEB_manuell,NEB)*100)</f>
        <v/>
      </c>
      <c r="M56" s="350"/>
      <c r="O56" s="96"/>
      <c r="P56" s="96"/>
      <c r="Q56" s="96"/>
      <c r="R56" s="96"/>
      <c r="S56" s="96"/>
      <c r="T56" s="96"/>
    </row>
    <row r="57" spans="1:20" ht="15" x14ac:dyDescent="0.25">
      <c r="A57" s="97">
        <v>9.1999999999999993</v>
      </c>
      <c r="B57" s="98" t="s">
        <v>52</v>
      </c>
      <c r="C57" s="107" t="s">
        <v>44</v>
      </c>
      <c r="D57" s="360" t="str">
        <f>IFERROR(D56/L56,"")</f>
        <v/>
      </c>
      <c r="E57" s="360"/>
      <c r="F57" s="360" t="str">
        <f>IFERROR(F56/L56,"")</f>
        <v/>
      </c>
      <c r="G57" s="362"/>
      <c r="H57" s="360" t="str">
        <f>IFERROR(H56/L56,"")</f>
        <v/>
      </c>
      <c r="I57" s="362"/>
      <c r="J57" s="360" t="str">
        <f>IFERROR(J56/L56,"")</f>
        <v/>
      </c>
      <c r="K57" s="362"/>
      <c r="L57" s="360">
        <v>1</v>
      </c>
      <c r="M57" s="361"/>
      <c r="O57" s="96"/>
      <c r="P57" s="291"/>
      <c r="Q57" s="291"/>
      <c r="R57" s="96"/>
      <c r="S57" s="96"/>
      <c r="T57" s="96"/>
    </row>
    <row r="58" spans="1:20" ht="15" customHeight="1" x14ac:dyDescent="0.25">
      <c r="A58" s="97">
        <v>9.3000000000000007</v>
      </c>
      <c r="B58" s="352" t="s">
        <v>53</v>
      </c>
      <c r="C58" s="353"/>
      <c r="D58" s="354"/>
      <c r="E58" s="354"/>
      <c r="F58" s="354"/>
      <c r="G58" s="354"/>
      <c r="H58" s="354"/>
      <c r="I58" s="355"/>
      <c r="J58" s="345"/>
      <c r="K58" s="351"/>
      <c r="L58" s="345" t="str">
        <f>IF(MIN(D57:K57)&lt;=1.1,"NEIN","JA")</f>
        <v>NEIN</v>
      </c>
      <c r="M58" s="346"/>
      <c r="O58" s="96"/>
      <c r="P58" s="96"/>
      <c r="Q58" s="96"/>
      <c r="R58" s="96"/>
      <c r="S58" s="96"/>
      <c r="T58" s="96"/>
    </row>
    <row r="59" spans="1:20" x14ac:dyDescent="0.25">
      <c r="A59" s="28"/>
      <c r="B59" s="28"/>
      <c r="C59" s="28"/>
      <c r="D59" s="28"/>
      <c r="E59" s="28"/>
      <c r="F59" s="28"/>
      <c r="G59" s="28"/>
      <c r="H59" s="28"/>
      <c r="I59" s="28"/>
      <c r="J59" s="28"/>
      <c r="K59" s="28"/>
      <c r="L59" s="28"/>
      <c r="M59" s="28"/>
      <c r="O59" s="96"/>
      <c r="P59" s="96"/>
      <c r="Q59" s="96"/>
      <c r="R59" s="96"/>
      <c r="S59" s="96"/>
      <c r="T59" s="96"/>
    </row>
    <row r="60" spans="1:20" x14ac:dyDescent="0.25">
      <c r="A60" s="28"/>
      <c r="B60" s="95" t="s">
        <v>250</v>
      </c>
      <c r="C60" s="95" t="s">
        <v>253</v>
      </c>
      <c r="D60" s="96"/>
      <c r="E60" s="96"/>
      <c r="F60" s="96"/>
      <c r="G60" s="96"/>
      <c r="H60" s="95" t="s">
        <v>254</v>
      </c>
      <c r="I60" s="96"/>
      <c r="J60" s="95"/>
      <c r="K60" s="95"/>
      <c r="L60" s="28"/>
      <c r="M60" s="28"/>
      <c r="O60" s="96"/>
      <c r="P60" s="96"/>
      <c r="Q60" s="96"/>
      <c r="R60" s="96"/>
      <c r="S60" s="96"/>
      <c r="T60" s="96"/>
    </row>
    <row r="61" spans="1:20" x14ac:dyDescent="0.25">
      <c r="A61" s="28"/>
      <c r="B61" s="96"/>
      <c r="C61" s="122"/>
      <c r="D61" s="122"/>
      <c r="E61" s="122"/>
      <c r="F61" s="122"/>
      <c r="G61" s="122"/>
      <c r="H61" s="122"/>
      <c r="I61" s="122"/>
      <c r="J61" s="122"/>
      <c r="K61" s="122"/>
      <c r="L61" s="122"/>
      <c r="M61" s="122"/>
      <c r="O61" s="96"/>
      <c r="P61" s="96"/>
      <c r="Q61" s="96"/>
      <c r="R61" s="117"/>
      <c r="S61" s="96"/>
      <c r="T61" s="96"/>
    </row>
    <row r="62" spans="1:20" ht="22.5" customHeight="1" x14ac:dyDescent="0.25">
      <c r="A62" s="28"/>
      <c r="B62" s="96" t="s">
        <v>251</v>
      </c>
      <c r="C62" s="123"/>
      <c r="D62" s="123"/>
      <c r="E62" s="123"/>
      <c r="F62" s="123"/>
      <c r="G62" s="122"/>
      <c r="H62" s="123"/>
      <c r="I62" s="123"/>
      <c r="J62" s="123"/>
      <c r="K62" s="123"/>
      <c r="L62" s="123"/>
      <c r="M62" s="122"/>
      <c r="O62" s="96"/>
      <c r="P62" s="96"/>
      <c r="Q62" s="96"/>
      <c r="R62" s="96"/>
      <c r="S62" s="96"/>
      <c r="T62" s="96"/>
    </row>
    <row r="63" spans="1:20" x14ac:dyDescent="0.25">
      <c r="A63" s="28"/>
      <c r="B63" s="96"/>
      <c r="C63" s="122"/>
      <c r="D63" s="122"/>
      <c r="E63" s="122"/>
      <c r="F63" s="122"/>
      <c r="G63" s="122"/>
      <c r="H63" s="122"/>
      <c r="I63" s="122"/>
      <c r="J63" s="122"/>
      <c r="K63" s="122"/>
      <c r="L63" s="122"/>
      <c r="M63" s="122"/>
      <c r="O63" s="96"/>
      <c r="P63" s="96"/>
      <c r="Q63" s="96"/>
      <c r="R63" s="96"/>
      <c r="S63" s="96"/>
      <c r="T63" s="96"/>
    </row>
    <row r="64" spans="1:20" x14ac:dyDescent="0.25">
      <c r="A64" s="28"/>
      <c r="B64" s="28" t="s">
        <v>252</v>
      </c>
      <c r="C64" s="123"/>
      <c r="D64" s="123"/>
      <c r="E64" s="123"/>
      <c r="F64" s="123"/>
      <c r="G64" s="122"/>
      <c r="H64" s="123"/>
      <c r="I64" s="123"/>
      <c r="J64" s="123"/>
      <c r="K64" s="123"/>
      <c r="L64" s="123"/>
      <c r="M64" s="122"/>
      <c r="O64" s="96"/>
      <c r="P64" s="96"/>
      <c r="Q64" s="96"/>
      <c r="R64" s="96"/>
      <c r="S64" s="96"/>
      <c r="T64" s="96"/>
    </row>
    <row r="65" spans="1:20" x14ac:dyDescent="0.25">
      <c r="A65" s="28"/>
      <c r="C65" s="124"/>
      <c r="D65" s="124"/>
      <c r="E65" s="124"/>
      <c r="F65" s="124"/>
      <c r="G65" s="122"/>
      <c r="H65" s="124"/>
      <c r="I65" s="124"/>
      <c r="J65" s="124"/>
      <c r="K65" s="124"/>
      <c r="L65" s="124"/>
      <c r="M65" s="122"/>
      <c r="O65" s="96"/>
      <c r="P65" s="96"/>
      <c r="Q65" s="96"/>
      <c r="R65" s="96"/>
      <c r="S65" s="96"/>
      <c r="T65" s="96"/>
    </row>
    <row r="66" spans="1:20" s="28" customFormat="1" ht="12" x14ac:dyDescent="0.25"/>
    <row r="67" spans="1:20" s="28" customFormat="1" ht="12" x14ac:dyDescent="0.25">
      <c r="B67" s="118">
        <f ca="1">TODAY()</f>
        <v>46295</v>
      </c>
    </row>
    <row r="68" spans="1:20" s="28" customFormat="1" ht="12" x14ac:dyDescent="0.25"/>
    <row r="69" spans="1:20" s="12" customFormat="1" ht="12" x14ac:dyDescent="0.25"/>
    <row r="70" spans="1:20" s="28" customFormat="1" ht="12" x14ac:dyDescent="0.25"/>
    <row r="71" spans="1:20" s="28" customFormat="1" ht="12" x14ac:dyDescent="0.25"/>
    <row r="72" spans="1:20" s="28" customFormat="1" ht="12" x14ac:dyDescent="0.25"/>
    <row r="73" spans="1:20" s="28" customFormat="1" ht="12" x14ac:dyDescent="0.25"/>
    <row r="74" spans="1:20" s="28" customFormat="1" ht="12" x14ac:dyDescent="0.25"/>
    <row r="75" spans="1:20" s="28" customFormat="1" ht="12" x14ac:dyDescent="0.25"/>
    <row r="76" spans="1:20" s="28" customFormat="1" ht="12" x14ac:dyDescent="0.25"/>
    <row r="77" spans="1:20" s="28" customFormat="1" ht="12" x14ac:dyDescent="0.25"/>
    <row r="78" spans="1:20" s="28" customFormat="1" ht="12" x14ac:dyDescent="0.25"/>
    <row r="79" spans="1:20" s="28" customFormat="1" ht="12" x14ac:dyDescent="0.25"/>
    <row r="80" spans="1:20" s="28" customFormat="1" ht="12" x14ac:dyDescent="0.25"/>
    <row r="81" s="28" customFormat="1" ht="12" x14ac:dyDescent="0.25"/>
    <row r="82" s="28" customFormat="1" ht="12" x14ac:dyDescent="0.25"/>
    <row r="83" s="28" customFormat="1" ht="12" x14ac:dyDescent="0.25"/>
    <row r="84" s="28" customFormat="1" ht="12" x14ac:dyDescent="0.25"/>
    <row r="85" s="28" customFormat="1" ht="12" x14ac:dyDescent="0.25"/>
    <row r="86" s="28" customFormat="1" ht="12" x14ac:dyDescent="0.25"/>
    <row r="87" s="28" customFormat="1" ht="12" x14ac:dyDescent="0.25"/>
    <row r="88" s="28" customFormat="1" ht="12" x14ac:dyDescent="0.25"/>
    <row r="89" s="28" customFormat="1" ht="12" x14ac:dyDescent="0.25"/>
    <row r="90" s="28" customFormat="1" ht="12" x14ac:dyDescent="0.25"/>
    <row r="91" s="28" customFormat="1" ht="12" x14ac:dyDescent="0.25"/>
    <row r="92" s="28" customFormat="1" ht="12" x14ac:dyDescent="0.25"/>
    <row r="93" s="28" customFormat="1" ht="12" x14ac:dyDescent="0.25"/>
    <row r="94" s="28" customFormat="1" ht="12" x14ac:dyDescent="0.25"/>
    <row r="95" s="28" customFormat="1" ht="12" x14ac:dyDescent="0.25"/>
    <row r="96" s="28" customFormat="1" ht="12" x14ac:dyDescent="0.25"/>
    <row r="97" s="28" customFormat="1" ht="12" x14ac:dyDescent="0.25"/>
    <row r="98" s="28" customFormat="1" ht="12" x14ac:dyDescent="0.25"/>
    <row r="99" s="28" customFormat="1" ht="12" x14ac:dyDescent="0.25"/>
    <row r="100" s="28" customFormat="1" ht="12" x14ac:dyDescent="0.25"/>
    <row r="101" s="28" customFormat="1" ht="12" x14ac:dyDescent="0.25"/>
    <row r="102" s="28" customFormat="1" ht="12" x14ac:dyDescent="0.25"/>
    <row r="103" s="28" customFormat="1" ht="12" x14ac:dyDescent="0.25"/>
    <row r="104" s="28" customFormat="1" ht="12" x14ac:dyDescent="0.25"/>
    <row r="105" s="28" customFormat="1" ht="12" x14ac:dyDescent="0.25"/>
    <row r="106" s="28" customFormat="1" ht="12" x14ac:dyDescent="0.25"/>
    <row r="107" s="28" customFormat="1" ht="12" x14ac:dyDescent="0.25"/>
    <row r="108" s="28" customFormat="1" ht="12" x14ac:dyDescent="0.25"/>
    <row r="109" s="28" customFormat="1" ht="12" x14ac:dyDescent="0.25"/>
    <row r="110" s="28" customFormat="1" ht="12" x14ac:dyDescent="0.25"/>
    <row r="111" s="28" customFormat="1" ht="12" x14ac:dyDescent="0.25"/>
    <row r="112" s="28" customFormat="1" ht="12" x14ac:dyDescent="0.25"/>
    <row r="113" s="28" customFormat="1" ht="12" x14ac:dyDescent="0.25"/>
    <row r="114" s="28" customFormat="1" ht="12" x14ac:dyDescent="0.25"/>
    <row r="115" s="28" customFormat="1" ht="12" x14ac:dyDescent="0.25"/>
    <row r="116" s="28" customFormat="1" ht="12" x14ac:dyDescent="0.25"/>
    <row r="117" s="28" customFormat="1" ht="12" x14ac:dyDescent="0.25"/>
    <row r="118" s="12" customFormat="1" ht="12" x14ac:dyDescent="0.25"/>
    <row r="119" s="28" customFormat="1" ht="12" x14ac:dyDescent="0.25"/>
    <row r="120" s="28" customFormat="1" ht="12" x14ac:dyDescent="0.25"/>
    <row r="121" s="28" customFormat="1" ht="12" x14ac:dyDescent="0.25"/>
    <row r="122" s="28" customFormat="1" ht="12" x14ac:dyDescent="0.25"/>
    <row r="123" s="28" customFormat="1" ht="12" x14ac:dyDescent="0.25"/>
    <row r="124" s="28" customFormat="1" ht="12" x14ac:dyDescent="0.25"/>
    <row r="125" s="28" customFormat="1" ht="12" x14ac:dyDescent="0.25"/>
    <row r="126" s="28" customFormat="1" ht="12" x14ac:dyDescent="0.25"/>
    <row r="127" s="28" customFormat="1" ht="12" x14ac:dyDescent="0.25"/>
    <row r="128" s="28" customFormat="1" ht="12" x14ac:dyDescent="0.25"/>
    <row r="129" s="28" customFormat="1" ht="12" x14ac:dyDescent="0.25"/>
    <row r="130" s="28" customFormat="1" ht="12" x14ac:dyDescent="0.25"/>
    <row r="131" s="28" customFormat="1" ht="12" x14ac:dyDescent="0.25"/>
    <row r="132" s="28" customFormat="1" ht="12" x14ac:dyDescent="0.25"/>
    <row r="133" s="28" customFormat="1" ht="12" x14ac:dyDescent="0.25"/>
    <row r="134" s="28" customFormat="1" ht="12" x14ac:dyDescent="0.25"/>
    <row r="135" s="28" customFormat="1" ht="12" x14ac:dyDescent="0.25"/>
    <row r="136" s="28" customFormat="1" ht="12" x14ac:dyDescent="0.25"/>
    <row r="137" s="28" customFormat="1" ht="12" x14ac:dyDescent="0.25"/>
    <row r="138" s="28" customFormat="1" ht="12" x14ac:dyDescent="0.25"/>
    <row r="139" s="28" customFormat="1" ht="12" x14ac:dyDescent="0.25"/>
    <row r="237" spans="1:15" x14ac:dyDescent="0.25">
      <c r="A237" s="28"/>
      <c r="B237" s="28"/>
      <c r="C237" s="28"/>
      <c r="D237" s="28"/>
      <c r="E237" s="28"/>
      <c r="F237" s="28"/>
      <c r="G237" s="28"/>
      <c r="H237" s="28"/>
      <c r="I237" s="28"/>
      <c r="J237" s="28"/>
      <c r="K237" s="28"/>
      <c r="L237" s="28"/>
      <c r="M237" s="28"/>
      <c r="N237" s="28"/>
      <c r="O237" s="28"/>
    </row>
    <row r="238" spans="1:15" x14ac:dyDescent="0.25">
      <c r="A238" s="28"/>
      <c r="B238" s="28"/>
      <c r="C238" s="28"/>
      <c r="D238" s="28"/>
      <c r="E238" s="28"/>
      <c r="F238" s="28"/>
      <c r="G238" s="28"/>
      <c r="H238" s="28"/>
      <c r="I238" s="28"/>
      <c r="J238" s="28"/>
      <c r="K238" s="28"/>
      <c r="L238" s="28"/>
      <c r="M238" s="28"/>
      <c r="N238" s="28"/>
      <c r="O238" s="28"/>
    </row>
    <row r="239" spans="1:15" x14ac:dyDescent="0.25">
      <c r="A239" s="28"/>
      <c r="B239" s="28"/>
      <c r="C239" s="28"/>
      <c r="D239" s="28"/>
      <c r="E239" s="28"/>
      <c r="F239" s="28"/>
      <c r="G239" s="28"/>
      <c r="H239" s="28"/>
      <c r="I239" s="28"/>
      <c r="J239" s="28"/>
      <c r="K239" s="28"/>
      <c r="L239" s="28"/>
      <c r="M239" s="28"/>
      <c r="N239" s="28"/>
      <c r="O239" s="28"/>
    </row>
    <row r="240" spans="1:15" x14ac:dyDescent="0.25">
      <c r="A240" s="28"/>
      <c r="B240" s="28"/>
      <c r="C240" s="28"/>
      <c r="D240" s="28"/>
      <c r="E240" s="28"/>
      <c r="F240" s="28"/>
      <c r="G240" s="28"/>
      <c r="H240" s="28"/>
      <c r="I240" s="28"/>
      <c r="J240" s="28"/>
      <c r="K240" s="28"/>
      <c r="L240" s="28"/>
      <c r="M240" s="28"/>
      <c r="N240" s="28"/>
      <c r="O240" s="28"/>
    </row>
    <row r="241" spans="1:15" x14ac:dyDescent="0.25">
      <c r="A241" s="28"/>
      <c r="B241" s="28"/>
      <c r="C241" s="28"/>
      <c r="D241" s="28"/>
      <c r="E241" s="28"/>
      <c r="F241" s="28"/>
      <c r="G241" s="28"/>
      <c r="H241" s="28"/>
      <c r="I241" s="28"/>
      <c r="J241" s="28"/>
      <c r="K241" s="28"/>
      <c r="L241" s="28"/>
      <c r="M241" s="28"/>
      <c r="N241" s="28"/>
      <c r="O241" s="28"/>
    </row>
    <row r="242" spans="1:15" x14ac:dyDescent="0.25">
      <c r="A242" s="28"/>
      <c r="B242" s="28"/>
      <c r="C242" s="28"/>
      <c r="D242" s="28"/>
      <c r="E242" s="28"/>
      <c r="F242" s="28"/>
      <c r="G242" s="28"/>
      <c r="H242" s="28"/>
      <c r="I242" s="28"/>
      <c r="J242" s="28"/>
      <c r="K242" s="28"/>
      <c r="L242" s="28"/>
      <c r="M242" s="28"/>
      <c r="N242" s="28"/>
      <c r="O242" s="28"/>
    </row>
    <row r="243" spans="1:15" x14ac:dyDescent="0.25">
      <c r="A243" s="28"/>
      <c r="B243" s="28"/>
      <c r="C243" s="28"/>
      <c r="D243" s="28"/>
      <c r="E243" s="28"/>
      <c r="F243" s="28"/>
      <c r="G243" s="28"/>
      <c r="H243" s="28"/>
      <c r="I243" s="28"/>
      <c r="J243" s="28"/>
      <c r="K243" s="28"/>
      <c r="L243" s="28"/>
      <c r="M243" s="28"/>
      <c r="N243" s="28"/>
      <c r="O243" s="28"/>
    </row>
    <row r="244" spans="1:15" x14ac:dyDescent="0.25">
      <c r="A244" s="28"/>
      <c r="B244" s="28"/>
      <c r="C244" s="28"/>
      <c r="D244" s="28"/>
      <c r="E244" s="28"/>
      <c r="F244" s="28"/>
      <c r="G244" s="28"/>
      <c r="H244" s="28"/>
      <c r="I244" s="28"/>
      <c r="J244" s="28"/>
      <c r="K244" s="28"/>
      <c r="L244" s="28"/>
      <c r="M244" s="28"/>
      <c r="N244" s="28"/>
      <c r="O244" s="28"/>
    </row>
    <row r="245" spans="1:15" x14ac:dyDescent="0.25">
      <c r="A245" s="28"/>
      <c r="B245" s="28"/>
      <c r="C245" s="28"/>
      <c r="D245" s="28"/>
      <c r="E245" s="28"/>
      <c r="F245" s="28"/>
      <c r="G245" s="28"/>
      <c r="H245" s="28"/>
      <c r="I245" s="28"/>
      <c r="J245" s="28"/>
      <c r="K245" s="28"/>
      <c r="L245" s="28"/>
      <c r="M245" s="28"/>
      <c r="N245" s="28"/>
      <c r="O245" s="28"/>
    </row>
    <row r="246" spans="1:15" x14ac:dyDescent="0.25">
      <c r="A246" s="28"/>
      <c r="B246" s="28"/>
      <c r="C246" s="28"/>
      <c r="D246" s="28"/>
      <c r="E246" s="28"/>
      <c r="F246" s="28"/>
      <c r="G246" s="28"/>
      <c r="H246" s="28"/>
      <c r="I246" s="28"/>
      <c r="J246" s="28"/>
      <c r="K246" s="28"/>
      <c r="L246" s="28"/>
      <c r="M246" s="28"/>
      <c r="N246" s="28"/>
      <c r="O246" s="28"/>
    </row>
    <row r="247" spans="1:15" x14ac:dyDescent="0.25">
      <c r="A247" s="28"/>
      <c r="B247" s="28"/>
      <c r="C247" s="28"/>
      <c r="D247" s="28"/>
      <c r="E247" s="28"/>
      <c r="F247" s="28"/>
      <c r="G247" s="28"/>
      <c r="H247" s="28"/>
      <c r="I247" s="28"/>
      <c r="J247" s="28"/>
      <c r="K247" s="28"/>
      <c r="L247" s="28"/>
      <c r="M247" s="28"/>
      <c r="N247" s="28"/>
      <c r="O247" s="28"/>
    </row>
    <row r="248" spans="1:15" x14ac:dyDescent="0.25">
      <c r="A248" s="28"/>
      <c r="B248" s="28"/>
      <c r="C248" s="28"/>
      <c r="D248" s="28"/>
      <c r="E248" s="28"/>
      <c r="F248" s="28"/>
      <c r="G248" s="28"/>
      <c r="H248" s="28"/>
      <c r="I248" s="28"/>
      <c r="J248" s="28"/>
      <c r="K248" s="28"/>
      <c r="L248" s="28"/>
      <c r="M248" s="28"/>
      <c r="N248" s="28"/>
      <c r="O248" s="28"/>
    </row>
    <row r="249" spans="1:15" x14ac:dyDescent="0.25">
      <c r="A249" s="28"/>
      <c r="B249" s="28"/>
      <c r="C249" s="28"/>
      <c r="D249" s="28"/>
      <c r="E249" s="28"/>
      <c r="F249" s="28"/>
      <c r="G249" s="28"/>
      <c r="H249" s="28"/>
      <c r="I249" s="28"/>
      <c r="J249" s="28"/>
      <c r="K249" s="28"/>
      <c r="L249" s="28"/>
      <c r="M249" s="28"/>
      <c r="N249" s="28"/>
      <c r="O249" s="28"/>
    </row>
    <row r="250" spans="1:15" x14ac:dyDescent="0.25">
      <c r="A250" s="28"/>
      <c r="B250" s="28"/>
      <c r="C250" s="28"/>
      <c r="D250" s="28"/>
      <c r="E250" s="28"/>
      <c r="F250" s="28"/>
      <c r="G250" s="28"/>
      <c r="H250" s="28"/>
      <c r="I250" s="28"/>
      <c r="J250" s="28"/>
      <c r="K250" s="28"/>
      <c r="L250" s="28"/>
      <c r="M250" s="28"/>
      <c r="N250" s="28"/>
      <c r="O250" s="28"/>
    </row>
    <row r="251" spans="1:15" x14ac:dyDescent="0.25">
      <c r="A251" s="28"/>
      <c r="B251" s="28"/>
      <c r="C251" s="28"/>
      <c r="D251" s="28"/>
      <c r="E251" s="28"/>
      <c r="F251" s="28"/>
      <c r="G251" s="28"/>
      <c r="H251" s="28"/>
      <c r="I251" s="28"/>
      <c r="J251" s="28"/>
      <c r="K251" s="28"/>
      <c r="L251" s="28"/>
      <c r="M251" s="28"/>
      <c r="N251" s="28"/>
      <c r="O251" s="28"/>
    </row>
  </sheetData>
  <sheetProtection algorithmName="SHA-512" hashValue="wbAysR8kbFAgYk0ei9igIgS9/2PV22ngVN808tJnZN7uR8QlYQdN+HaY8VwkW0zs0MsvpWVpyuBJsYjZpa8xig==" saltValue="xouuWHml56ZUogAtz7deuA==" spinCount="100000" sheet="1" objects="1" scenarios="1"/>
  <dataConsolidate/>
  <mergeCells count="141">
    <mergeCell ref="L20:M20"/>
    <mergeCell ref="L23:M23"/>
    <mergeCell ref="L24:M24"/>
    <mergeCell ref="B1:H2"/>
    <mergeCell ref="H17:M17"/>
    <mergeCell ref="H18:M18"/>
    <mergeCell ref="D19:I19"/>
    <mergeCell ref="B18:G18"/>
    <mergeCell ref="L19:M19"/>
    <mergeCell ref="D23:E23"/>
    <mergeCell ref="J20:K20"/>
    <mergeCell ref="J23:K23"/>
    <mergeCell ref="L4:M4"/>
    <mergeCell ref="B10:M10"/>
    <mergeCell ref="L16:M16"/>
    <mergeCell ref="J12:K12"/>
    <mergeCell ref="L12:M12"/>
    <mergeCell ref="J11:M11"/>
    <mergeCell ref="H13:I13"/>
    <mergeCell ref="H14:I14"/>
    <mergeCell ref="F14:G14"/>
    <mergeCell ref="J13:M13"/>
    <mergeCell ref="J14:M14"/>
    <mergeCell ref="H15:I15"/>
    <mergeCell ref="H16:I16"/>
    <mergeCell ref="J15:M15"/>
    <mergeCell ref="J16:K16"/>
    <mergeCell ref="G4:H4"/>
    <mergeCell ref="B7:B8"/>
    <mergeCell ref="L45:M45"/>
    <mergeCell ref="L46:M46"/>
    <mergeCell ref="J48:K48"/>
    <mergeCell ref="J51:K51"/>
    <mergeCell ref="D45:E45"/>
    <mergeCell ref="F40:G40"/>
    <mergeCell ref="L31:M31"/>
    <mergeCell ref="L34:M34"/>
    <mergeCell ref="F25:G25"/>
    <mergeCell ref="F29:G29"/>
    <mergeCell ref="F34:G34"/>
    <mergeCell ref="D33:E33"/>
    <mergeCell ref="F33:G33"/>
    <mergeCell ref="H33:I33"/>
    <mergeCell ref="J33:K33"/>
    <mergeCell ref="L33:M33"/>
    <mergeCell ref="D29:E29"/>
    <mergeCell ref="D41:E41"/>
    <mergeCell ref="F41:G41"/>
    <mergeCell ref="J25:K25"/>
    <mergeCell ref="L41:M41"/>
    <mergeCell ref="L29:M29"/>
    <mergeCell ref="D25:E25"/>
    <mergeCell ref="J45:K45"/>
    <mergeCell ref="F50:G50"/>
    <mergeCell ref="F51:G51"/>
    <mergeCell ref="H45:I45"/>
    <mergeCell ref="H46:I46"/>
    <mergeCell ref="J46:K46"/>
    <mergeCell ref="J50:K50"/>
    <mergeCell ref="F46:G46"/>
    <mergeCell ref="D46:E46"/>
    <mergeCell ref="L30:M30"/>
    <mergeCell ref="L40:M40"/>
    <mergeCell ref="J40:K40"/>
    <mergeCell ref="H40:I40"/>
    <mergeCell ref="D32:E32"/>
    <mergeCell ref="F32:G32"/>
    <mergeCell ref="H32:I32"/>
    <mergeCell ref="J32:K32"/>
    <mergeCell ref="L32:M32"/>
    <mergeCell ref="D30:E30"/>
    <mergeCell ref="F30:G30"/>
    <mergeCell ref="F52:G52"/>
    <mergeCell ref="D48:E48"/>
    <mergeCell ref="H50:I50"/>
    <mergeCell ref="H47:I47"/>
    <mergeCell ref="J47:K47"/>
    <mergeCell ref="L50:M50"/>
    <mergeCell ref="L51:M51"/>
    <mergeCell ref="J53:K53"/>
    <mergeCell ref="F56:G56"/>
    <mergeCell ref="F53:G53"/>
    <mergeCell ref="D50:E50"/>
    <mergeCell ref="D51:E51"/>
    <mergeCell ref="D52:E52"/>
    <mergeCell ref="H52:I52"/>
    <mergeCell ref="H48:I48"/>
    <mergeCell ref="J52:K52"/>
    <mergeCell ref="L52:M52"/>
    <mergeCell ref="L48:M48"/>
    <mergeCell ref="H51:I51"/>
    <mergeCell ref="L58:M58"/>
    <mergeCell ref="L53:M53"/>
    <mergeCell ref="L56:M56"/>
    <mergeCell ref="J58:K58"/>
    <mergeCell ref="B58:I58"/>
    <mergeCell ref="D56:E56"/>
    <mergeCell ref="D53:E53"/>
    <mergeCell ref="H53:I53"/>
    <mergeCell ref="J56:K56"/>
    <mergeCell ref="H56:I56"/>
    <mergeCell ref="B55:M55"/>
    <mergeCell ref="L57:M57"/>
    <mergeCell ref="J57:K57"/>
    <mergeCell ref="H57:I57"/>
    <mergeCell ref="F57:G57"/>
    <mergeCell ref="D57:E57"/>
    <mergeCell ref="H30:I30"/>
    <mergeCell ref="H41:I41"/>
    <mergeCell ref="J34:K34"/>
    <mergeCell ref="H34:I34"/>
    <mergeCell ref="D40:E40"/>
    <mergeCell ref="D34:E34"/>
    <mergeCell ref="J30:K30"/>
    <mergeCell ref="L47:M47"/>
    <mergeCell ref="D47:E47"/>
    <mergeCell ref="J41:K41"/>
    <mergeCell ref="L25:M25"/>
    <mergeCell ref="D20:E20"/>
    <mergeCell ref="H29:I29"/>
    <mergeCell ref="O8:P8"/>
    <mergeCell ref="C5:M5"/>
    <mergeCell ref="C6:M6"/>
    <mergeCell ref="C7:D7"/>
    <mergeCell ref="C8:D8"/>
    <mergeCell ref="H7:J7"/>
    <mergeCell ref="H8:J8"/>
    <mergeCell ref="E7:G7"/>
    <mergeCell ref="E8:G8"/>
    <mergeCell ref="K7:M7"/>
    <mergeCell ref="K8:M8"/>
    <mergeCell ref="O7:P7"/>
    <mergeCell ref="H20:I20"/>
    <mergeCell ref="H23:I23"/>
    <mergeCell ref="H24:I24"/>
    <mergeCell ref="H25:I25"/>
    <mergeCell ref="J24:K24"/>
    <mergeCell ref="J29:K29"/>
    <mergeCell ref="F20:G20"/>
    <mergeCell ref="F23:G23"/>
    <mergeCell ref="F24:G24"/>
  </mergeCells>
  <conditionalFormatting sqref="B18:G18">
    <cfRule type="expression" dxfId="42" priority="4">
      <formula>$H$17="Ja"</formula>
    </cfRule>
  </conditionalFormatting>
  <conditionalFormatting sqref="E22">
    <cfRule type="cellIs" dxfId="41" priority="34" operator="greaterThan">
      <formula>VLOOKUP(System_1,Nutzungsgrad_max,3,FALSE)</formula>
    </cfRule>
  </conditionalFormatting>
  <conditionalFormatting sqref="F14:G14">
    <cfRule type="cellIs" dxfId="40" priority="9" operator="greaterThan">
      <formula>100</formula>
    </cfRule>
    <cfRule type="cellIs" dxfId="39" priority="10" operator="greaterThan">
      <formula>50</formula>
    </cfRule>
  </conditionalFormatting>
  <conditionalFormatting sqref="G22">
    <cfRule type="cellIs" dxfId="38" priority="8" operator="greaterThan">
      <formula>VLOOKUP(System_1b,Nutzungsgrad_max,3,FALSE)</formula>
    </cfRule>
  </conditionalFormatting>
  <conditionalFormatting sqref="H18:M18">
    <cfRule type="expression" dxfId="37" priority="5">
      <formula>$H$17="Ja"</formula>
    </cfRule>
  </conditionalFormatting>
  <conditionalFormatting sqref="H18:XFD18 A18:B18">
    <cfRule type="expression" dxfId="36" priority="6">
      <formula>$H$17="Ja"</formula>
    </cfRule>
  </conditionalFormatting>
  <conditionalFormatting sqref="I22">
    <cfRule type="cellIs" dxfId="35" priority="33" operator="greaterThan">
      <formula>VLOOKUP(System_2,Nutzungsgrad_max,3,FALSE)</formula>
    </cfRule>
  </conditionalFormatting>
  <conditionalFormatting sqref="J58">
    <cfRule type="cellIs" dxfId="34" priority="54" stopIfTrue="1" operator="equal">
      <formula>"NEIN"</formula>
    </cfRule>
    <cfRule type="cellIs" dxfId="33" priority="55" stopIfTrue="1" operator="equal">
      <formula>"JA"</formula>
    </cfRule>
  </conditionalFormatting>
  <conditionalFormatting sqref="K22">
    <cfRule type="cellIs" dxfId="32" priority="1" operator="greaterThan">
      <formula>VLOOKUP(System_2,Nutzungsgrad_max,3,FALSE)</formula>
    </cfRule>
  </conditionalFormatting>
  <conditionalFormatting sqref="L58">
    <cfRule type="cellIs" dxfId="31" priority="37" stopIfTrue="1" operator="equal">
      <formula>"NEIN"</formula>
    </cfRule>
    <cfRule type="cellIs" dxfId="30" priority="38" stopIfTrue="1" operator="equal">
      <formula>"JA"</formula>
    </cfRule>
  </conditionalFormatting>
  <conditionalFormatting sqref="L4:M4">
    <cfRule type="cellIs" dxfId="29" priority="66" operator="lessThan">
      <formula>$B$67</formula>
    </cfRule>
    <cfRule type="cellIs" dxfId="28" priority="67" operator="lessThan">
      <formula>TODAY()</formula>
    </cfRule>
  </conditionalFormatting>
  <conditionalFormatting sqref="M22">
    <cfRule type="cellIs" dxfId="27" priority="2" operator="greaterThan">
      <formula>VLOOKUP(System_3,Nutzungsgrad_max,3,FALSE)</formula>
    </cfRule>
  </conditionalFormatting>
  <dataValidations xWindow="1064" yWindow="940" count="25">
    <dataValidation type="list" allowBlank="1" showInputMessage="1" showErrorMessage="1" sqref="WVU20 WLY20 WCC20 VSG20 VIK20 UYO20 UOS20 UEW20 TVA20 TLE20 TBI20 SRM20 SHQ20 RXU20 RNY20 REC20 QUG20 QKK20 QAO20 PQS20 PGW20 OXA20 ONE20 ODI20 NTM20 NJQ20 MZU20 MPY20 MGC20 LWG20 LMK20 LCO20 KSS20 KIW20 JZA20 JPE20 JFI20 IVM20 ILQ20 IBU20 HRY20 HIC20 GYG20 GOK20 GEO20 FUS20 FKW20 FBA20 ERE20 EHI20 DXM20 DNQ20 DDU20 CTY20 CKC20 CAG20 BQK20 BGO20 AWS20 AMW20 ADA20 TE20 JI20" xr:uid="{00000000-0002-0000-0000-000003000000}">
      <formula1>#REF!</formula1>
    </dataValidation>
    <dataValidation type="list" allowBlank="1" showInputMessage="1" showErrorMessage="1" sqref="JG20 WLW20 WCA20 VSE20 VII20 UYM20 UOQ20 UEU20 TUY20 TLC20 TBG20 SRK20 SHO20 RXS20 RNW20 REA20 QUE20 QKI20 QAM20 PQQ20 PGU20 OWY20 ONC20 ODG20 NTK20 NJO20 MZS20 MPW20 MGA20 LWE20 LMI20 LCM20 KSQ20 KIU20 JYY20 JPC20 JFG20 IVK20 ILO20 IBS20 HRW20 HIA20 GYE20 GOI20 GEM20 FUQ20 FKU20 FAY20 ERC20 EHG20 DXK20 DNO20 DDS20 CTW20 CKA20 CAE20 BQI20 BGM20 AWQ20 AMU20 ACY20 TC20" xr:uid="{00000000-0002-0000-0000-000004000000}">
      <formula1>$B$56:$B$70</formula1>
    </dataValidation>
    <dataValidation type="list" allowBlank="1" showInputMessage="1" showErrorMessage="1" promptTitle="Heizungssystem: WP" prompt="Entweder aussenaufgestellte (a) oder innenaufgestellte (i) Wärmepumpe anwählen. " sqref="F20:G20" xr:uid="{00000000-0002-0000-0000-000005000000}">
      <formula1>WP_Luft_Liste</formula1>
    </dataValidation>
    <dataValidation type="decimal" allowBlank="1" showInputMessage="1" showErrorMessage="1" errorTitle="Zahlenwert erforderlich" error="In diesem Feld muss ein Wert in Tausend Franken eingegeben werden" promptTitle="Effizienzmassnahmen" prompt="Kosten für die Effizienzmassnahmen zur Reduktion des Verbrauchs um 20% angeben. " sqref="L29:M29" xr:uid="{93BA441A-B920-44B1-8C41-F94FCD09D0B3}">
      <formula1>0</formula1>
      <formula2>100000000</formula2>
    </dataValidation>
    <dataValidation allowBlank="1" showInputMessage="1" showErrorMessage="1" promptTitle="Bezeichnung des Bauvorhabens" prompt="frei wählbar" sqref="C5:M5" xr:uid="{E310C4AF-067B-4A78-B131-306A5CD115FE}"/>
    <dataValidation allowBlank="1" showInputMessage="1" showErrorMessage="1" promptTitle="Adresse" prompt="Strassse Hausnummer, PLZ Ort" sqref="C6:M6" xr:uid="{C8384F50-F243-40D4-AB08-C67C54FC748C}"/>
    <dataValidation allowBlank="1" showInputMessage="1" showErrorMessage="1" prompt="Automatisch aus GWR zurückgegebene Felder." sqref="E7:G8 K7:M8" xr:uid="{90101317-75D4-4E8F-9149-CE9EA4453153}"/>
    <dataValidation type="list" allowBlank="1" showInputMessage="1" showErrorMessage="1" promptTitle="Gebäudekategorie gemäss SIA" prompt="Gebäudekategorie aus Pulldown-Menü wählen. " sqref="J11:M11" xr:uid="{74E04F36-4DF2-4DE4-91A9-9D7D96052D8F}">
      <formula1>Gebäudekategorie_ref</formula1>
    </dataValidation>
    <dataValidation allowBlank="1" showInputMessage="1" showErrorMessage="1" promptTitle="Stromverbraucherprofil" prompt="Eigene Eingabe Stromverbraucherprofil (begründen). _x000a_Wert links wird dann übersteuert. " sqref="L12:M12" xr:uid="{6873B818-A24D-4370-A58B-DD5A1F0509F1}"/>
    <dataValidation allowBlank="1" showInputMessage="1" showErrorMessage="1" promptTitle="Energiebezugsfläche" prompt="Berechnung der Energiebezugsfläche nach SIA 380. Der Wert aus dem GWR, falls vorhanden, kann als Richtwert dienen (Zelle K7). Achtung bei Gebäuden mit Heizungen, wo mehrere Gebäude an die Heizung angehängt sind!" sqref="J13:M13" xr:uid="{1F6E3468-E244-4971-90D0-878D4662F230}"/>
    <dataValidation allowBlank="1" showInputMessage="1" showErrorMessage="1" promptTitle="Heizleistungsbedarf" prompt="Heizleistungsbedarf (nach SIA 384/2 oder 384.201 wenn vorhanden). Oder anhand realem Verbrauch bestimmt. " sqref="J14:M14" xr:uid="{AC909CB5-94F2-461A-A3F8-D4567964A631}"/>
    <dataValidation allowBlank="1" showInputMessage="1" showErrorMessage="1" promptTitle="Nutzenergiebedarf" prompt="Eingabefeld für eigene Berechnung Nutzenergiebedarf. Feld rechts wird dadurch üersteuert. ACHTUNG: Verbrauchsdaten (z.B. Heizöl) sind in Nutzenergie umzurechnen (Wirkungsgrad). " sqref="L16:M16" xr:uid="{4A650855-BAD8-4FB2-9BB5-1E4CABE9206E}"/>
    <dataValidation type="list" allowBlank="1" showInputMessage="1" showErrorMessage="1" promptTitle="Heizungssystem" prompt="Auswahlfeld Heizungssystem" sqref="H20:K20" xr:uid="{8814FEBD-779C-4302-A350-3758114FB783}">
      <formula1>Alternativen1_ref</formula1>
    </dataValidation>
    <dataValidation allowBlank="1" showInputMessage="1" showErrorMessage="1" promptTitle="Nutzungsgrad Ölfeuerung" prompt="Individueller Nutzungsgrad hier eintragen. Wert ist zu belegen. Wert links wird dadurch übersteuert. " sqref="M22" xr:uid="{A7EBAD67-81EB-47DA-A308-EBE31AD68E62}"/>
    <dataValidation allowBlank="1" showInputMessage="1" showErrorMessage="1" promptTitle="Nutzungsgrad / JAZ" prompt="Nutzungsgrad respektive Jahresarbeitszahl können hier eingetragen werden. Standardwert (rechts) wird dadurch übersteuert. " sqref="G22 I22 K22" xr:uid="{772B35DB-49F2-4EB0-A27A-FD8F7EBDFB35}"/>
    <dataValidation allowBlank="1" showInputMessage="1" showErrorMessage="1" promptTitle="Energiepreis" prompt="Eigene Angabe (muss belegt werden). Übersteuert Wert links. " sqref="E24" xr:uid="{7A662E2F-CBB8-4CA9-8D8D-508EA5579A0F}"/>
    <dataValidation allowBlank="1" showInputMessage="1" showErrorMessage="1" promptTitle="Technik und Bauliches" prompt="Eintrag eigener Wert hier  möglich (muss belegt sein). Eintrag übersteuert Wert links. " sqref="E27 G27 I27 K27 M27" xr:uid="{6E84539C-7367-4DB2-B719-5F12FD84AE36}"/>
    <dataValidation allowBlank="1" showInputMessage="1" showErrorMessage="1" promptTitle="Honorare" prompt="Eintrag eigener Wert hier  möglich (muss belegt sein). Eintrag übersteuert Wert links. " sqref="E28 G28 I28 K28 M28" xr:uid="{3E7D5FB4-5A91-443B-8CCD-B63035874FCE}"/>
    <dataValidation allowBlank="1" showInputMessage="1" showErrorMessage="1" promptTitle="Förderbeitrag Kanton" prompt="Eintrag eigener Wert hier  möglich (muss belegt sein). Eintrag übersteuert Wert links. " sqref="E31 G31 I31 K31" xr:uid="{9D0DAF88-E12F-41F8-88B0-68942A1D0243}"/>
    <dataValidation allowBlank="1" showInputMessage="1" showErrorMessage="1" promptTitle="Förderbeitrag Gemeinde" prompt="optionale Eingabe" sqref="D32:E32 F32:G32 H32:I32 J32:K32" xr:uid="{2070ABA9-9453-4342-9809-6CFFEFEFF796}"/>
    <dataValidation allowBlank="1" showInputMessage="1" showErrorMessage="1" promptTitle="weitere Förderbeiträge" prompt="optionale Eingabe" sqref="D33:K33" xr:uid="{FE576D6E-6C39-42C8-99FF-40E083BAB29F}"/>
    <dataValidation allowBlank="1" showInputMessage="1" showErrorMessage="1" promptTitle="Invest. mit Amort. 40 Jahre" prompt="Eigene Eingabe anhand Offerte. Übersteuert Wert links. " sqref="E36 G36 I36 K36 M36" xr:uid="{241D44A1-D442-4D1D-97D2-32D3DC490EBB}"/>
    <dataValidation allowBlank="1" showInputMessage="1" showErrorMessage="1" promptTitle="Kosten mit Amort. 40 Jahre" prompt="Eigene Angabe anhand Offerte. Übersteuert Wert links. " sqref="E37 G37 I37 K37 M37" xr:uid="{477D8388-B2DC-450E-B270-2C3ED6E1B038}"/>
    <dataValidation allowBlank="1" showInputMessage="1" showErrorMessage="1" promptTitle="Raumbedarf" prompt="Eigene Angabe belegen. Übersteuert Wert links. " sqref="E39 G39 I39 K39 M39" xr:uid="{C149644C-7F5A-4D44-B17A-37AA4294778F}"/>
    <dataValidation allowBlank="1" showInputMessage="1" showErrorMessage="1" promptTitle="Wartungskosten" prompt="Eigene Angabe belegen. Übersteuert den Wert links. " sqref="E43 G43 I43 K43 M43" xr:uid="{B2F3B843-68E4-43E9-9EDA-DCE722ABD137}"/>
  </dataValidations>
  <hyperlinks>
    <hyperlink ref="T17" r:id="rId1" xr:uid="{B6119BAC-397B-42AE-A7EC-27B4E37B63BB}"/>
  </hyperlinks>
  <pageMargins left="0.59055118110236227" right="0.43307086614173229" top="0.59055118110236227" bottom="0.59055118110236227" header="0.31496062992125984" footer="0.31496062992125984"/>
  <pageSetup paperSize="9" scale="75" orientation="portrait" r:id="rId2"/>
  <ignoredErrors>
    <ignoredError sqref="E34" unlockedFormula="1"/>
  </ignoredErrors>
  <drawing r:id="rId3"/>
  <extLst>
    <ext xmlns:x14="http://schemas.microsoft.com/office/spreadsheetml/2009/9/main" uri="{CCE6A557-97BC-4b89-ADB6-D9C93CAAB3DF}">
      <x14:dataValidations xmlns:xm="http://schemas.microsoft.com/office/excel/2006/main" xWindow="1064" yWindow="940" count="3">
        <x14:dataValidation type="list" allowBlank="1" showInputMessage="1" showErrorMessage="1" xr:uid="{00000000-0002-0000-0000-000007000000}">
          <x14:formula1>
            <xm:f>Berechnungsgrundlagen!$B$48:$B$62</xm:f>
          </x14:formula1>
          <xm:sqref>WVS20</xm:sqref>
        </x14:dataValidation>
        <x14:dataValidation type="list" allowBlank="1" showInputMessage="1" xr:uid="{00000000-0002-0000-0000-000008000000}">
          <x14:formula1>
            <xm:f>Berechnungsgrundlagen!$B$28:$B$31</xm:f>
          </x14:formula1>
          <xm:sqref>H18:M18</xm:sqref>
        </x14:dataValidation>
        <x14:dataValidation type="list" allowBlank="1" showInputMessage="1" showErrorMessage="1" promptTitle="Ferwärme möglich? " prompt="Wenn Fernwärmeleitung in der Nähe: Ja. _x000a_www.geo.ur.ch Layer Fernwärme. " xr:uid="{042E7C8D-DC3D-48A1-9FCE-285B9ACEFE62}">
          <x14:formula1>
            <xm:f>Berechnungsgrundlagen!$B$23:$B$25</xm:f>
          </x14:formula1>
          <xm:sqref>H17:M17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9"/>
  <dimension ref="A1:F8"/>
  <sheetViews>
    <sheetView zoomScale="160" zoomScaleNormal="160" workbookViewId="0">
      <selection activeCell="J12" sqref="J12"/>
    </sheetView>
  </sheetViews>
  <sheetFormatPr baseColWidth="10" defaultRowHeight="15" x14ac:dyDescent="0.25"/>
  <cols>
    <col min="1" max="1" width="23.28515625" customWidth="1"/>
    <col min="2" max="6" width="12.7109375" customWidth="1"/>
  </cols>
  <sheetData>
    <row r="1" spans="1:6" ht="21" x14ac:dyDescent="0.35">
      <c r="A1" s="185" t="s">
        <v>563</v>
      </c>
      <c r="B1" s="183" t="s">
        <v>568</v>
      </c>
      <c r="C1" s="183" t="s">
        <v>567</v>
      </c>
      <c r="D1" s="183" t="s">
        <v>566</v>
      </c>
      <c r="E1" s="183" t="s">
        <v>564</v>
      </c>
      <c r="F1" s="183" t="s">
        <v>565</v>
      </c>
    </row>
    <row r="2" spans="1:6" x14ac:dyDescent="0.25">
      <c r="A2" t="s">
        <v>569</v>
      </c>
      <c r="B2" s="184" t="str">
        <f>System_1</f>
        <v xml:space="preserve"> </v>
      </c>
      <c r="C2" s="184" t="str">
        <f>IF(System_1b&lt;&gt;0,System_1b,"")</f>
        <v>WP-Luft (a)</v>
      </c>
      <c r="D2" s="184" t="str">
        <f>IF(System_2&lt;&gt;0,System_2,"")</f>
        <v>WP-Sonde</v>
      </c>
      <c r="E2" s="184" t="str">
        <f>System_3</f>
        <v>Holz-Pellets</v>
      </c>
      <c r="F2" s="184" t="str">
        <f>IF(System_4&lt;&gt;0,System_4,"")</f>
        <v>Oelheizung</v>
      </c>
    </row>
    <row r="3" spans="1:6" x14ac:dyDescent="0.25">
      <c r="A3" t="s">
        <v>47</v>
      </c>
      <c r="B3" s="73" t="str">
        <f>Berechnung!D50</f>
        <v xml:space="preserve"> </v>
      </c>
      <c r="C3" s="73" t="str">
        <f>Berechnung!F50</f>
        <v xml:space="preserve"> </v>
      </c>
      <c r="D3" s="73" t="str">
        <f>Berechnung!H50</f>
        <v xml:space="preserve"> </v>
      </c>
      <c r="E3" s="73" t="str">
        <f>Berechnung!J50</f>
        <v xml:space="preserve"> </v>
      </c>
      <c r="F3" s="73" t="str">
        <f>Berechnung!L50</f>
        <v xml:space="preserve"> </v>
      </c>
    </row>
    <row r="4" spans="1:6" x14ac:dyDescent="0.25">
      <c r="A4" t="s">
        <v>39</v>
      </c>
      <c r="B4" s="73" t="str">
        <f>Berechnung!D51</f>
        <v xml:space="preserve"> </v>
      </c>
      <c r="C4" s="73">
        <f>Berechnung!F51</f>
        <v>437.99999999999727</v>
      </c>
      <c r="D4" s="73">
        <f>Berechnung!H51</f>
        <v>-367.99999999999773</v>
      </c>
      <c r="E4" s="73">
        <f>Berechnung!J51</f>
        <v>-779.99999999999511</v>
      </c>
      <c r="F4" s="73">
        <f>Berechnung!L51</f>
        <v>959.99999999999409</v>
      </c>
    </row>
    <row r="5" spans="1:6" x14ac:dyDescent="0.25">
      <c r="A5" t="s">
        <v>48</v>
      </c>
      <c r="B5" s="73" t="str">
        <f>Berechnung!D52</f>
        <v xml:space="preserve"> </v>
      </c>
      <c r="C5" s="73">
        <f>Berechnung!F52</f>
        <v>2488.7330658730325</v>
      </c>
      <c r="D5" s="73">
        <f>Berechnung!H52</f>
        <v>-1644.0905437302704</v>
      </c>
      <c r="E5" s="73">
        <f>Berechnung!J52</f>
        <v>-1477.3301304269141</v>
      </c>
      <c r="F5" s="73">
        <f>Berechnung!L52</f>
        <v>2727.3787023266109</v>
      </c>
    </row>
    <row r="6" spans="1:6" x14ac:dyDescent="0.25">
      <c r="A6" t="s">
        <v>96</v>
      </c>
      <c r="B6" s="73" t="str">
        <f>IF(SUM(B3:B5)&lt;&gt;0,SUM(B3:B5),"")</f>
        <v/>
      </c>
      <c r="C6" s="73">
        <f t="shared" ref="C6:E6" si="0">IF(SUM(C3:C5)&lt;&gt;0,SUM(C3:C5),"")</f>
        <v>2926.7330658730298</v>
      </c>
      <c r="D6" s="73">
        <f t="shared" si="0"/>
        <v>-2012.0905437302681</v>
      </c>
      <c r="E6" s="73">
        <f t="shared" si="0"/>
        <v>-2257.3301304269094</v>
      </c>
      <c r="F6" s="73">
        <f>IF(System_4&lt;&gt;0,SUM(F3:F5),"")</f>
        <v>3687.378702326605</v>
      </c>
    </row>
    <row r="7" spans="1:6" x14ac:dyDescent="0.25">
      <c r="A7" s="183"/>
      <c r="B7" s="183"/>
      <c r="C7" s="183"/>
      <c r="D7" s="183"/>
      <c r="E7" s="183" t="e">
        <f>IF(Berechnung!#REF!=1,Berechnung!J53,Berechnung!L53)</f>
        <v>#REF!</v>
      </c>
      <c r="F7" s="183"/>
    </row>
    <row r="8" spans="1:6" x14ac:dyDescent="0.25">
      <c r="A8" t="s">
        <v>582</v>
      </c>
      <c r="B8" s="73">
        <f>1.1*$F$6</f>
        <v>4056.1165725592659</v>
      </c>
      <c r="C8" s="73">
        <f>B8</f>
        <v>4056.1165725592659</v>
      </c>
      <c r="D8" s="73">
        <f t="shared" ref="D8:E8" si="1">C8</f>
        <v>4056.1165725592659</v>
      </c>
      <c r="E8" s="73">
        <f t="shared" si="1"/>
        <v>4056.1165725592659</v>
      </c>
      <c r="F8" s="73">
        <f>E8</f>
        <v>4056.1165725592659</v>
      </c>
    </row>
  </sheetData>
  <sheetProtection algorithmName="SHA-512" hashValue="5Gt8Kc7D5wNNGSLr3rtsxybFWH+P1jxXijITE3WOXyUzC2lyVs0aDVMhoVkUB+060tmFlme+bJUn0Qvaa+HcQQ==" saltValue="gtQDX1K46QhFHtFQoaYzNw==" spinCount="100000" sheet="1" objects="1" scenarios="1"/>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56"/>
  <sheetViews>
    <sheetView topLeftCell="A13" workbookViewId="0">
      <selection activeCell="F15" sqref="F15"/>
    </sheetView>
  </sheetViews>
  <sheetFormatPr baseColWidth="10" defaultColWidth="9.140625" defaultRowHeight="15" x14ac:dyDescent="0.25"/>
  <cols>
    <col min="1" max="1" width="30.42578125" customWidth="1"/>
    <col min="2" max="2" width="52.5703125" customWidth="1"/>
    <col min="3" max="3" width="49.7109375" bestFit="1" customWidth="1"/>
    <col min="4" max="4" width="35.85546875" bestFit="1" customWidth="1"/>
    <col min="5" max="5" width="42.42578125" bestFit="1" customWidth="1"/>
    <col min="6" max="6" width="42.42578125" customWidth="1"/>
    <col min="7" max="7" width="21.85546875" bestFit="1" customWidth="1"/>
  </cols>
  <sheetData>
    <row r="1" spans="1:5" x14ac:dyDescent="0.25">
      <c r="A1" s="170" t="s">
        <v>530</v>
      </c>
      <c r="B1" s="1" t="str">
        <f>IF(Berechnung!C6="","",_xlfn.WEBSERVICE(CONCATENATE("https://api3.geo.admin.ch/rest/services/api/SearchServer?searchText=" &amp; Berechnung!C6 &amp; "&amp;origins=address&amp;type=locations")))</f>
        <v/>
      </c>
      <c r="C1" s="160"/>
      <c r="D1" s="160"/>
      <c r="E1" s="160"/>
    </row>
    <row r="2" spans="1:5" x14ac:dyDescent="0.25">
      <c r="A2" s="172" t="s">
        <v>527</v>
      </c>
      <c r="B2" s="1" t="str">
        <f>IF($B1="","",IF(ISNUMBER(SEARCH("[]",$B1)),"Adresse nicht eindeutig","Gebäude gefunden"))</f>
        <v/>
      </c>
      <c r="C2" s="160"/>
      <c r="D2" s="160"/>
      <c r="E2" s="160" t="s">
        <v>382</v>
      </c>
    </row>
    <row r="3" spans="1:5" x14ac:dyDescent="0.25">
      <c r="A3" s="173" t="s">
        <v>529</v>
      </c>
      <c r="B3" s="161" t="str">
        <f>IF($B1="","",IF(ISNUMBER(SEARCH("[]",$B1))," ",MID($B1,SEARCH("featureId",$B1)+12,SEARCH(",""geom_quadindex"":",$B1)-SEARCH("featureId",$B1)-13)))</f>
        <v/>
      </c>
      <c r="C3" s="162" t="e">
        <f>VALUE(MID(B3,1,FIND("_",B3,1)-1))</f>
        <v>#VALUE!</v>
      </c>
      <c r="D3" s="163" t="e">
        <f>VALUE(MID(B3,FIND("_",B3,1)+1,3))</f>
        <v>#VALUE!</v>
      </c>
    </row>
    <row r="4" spans="1:5" x14ac:dyDescent="0.25">
      <c r="A4" s="174"/>
    </row>
    <row r="5" spans="1:5" x14ac:dyDescent="0.25">
      <c r="A5" s="170" t="s">
        <v>427</v>
      </c>
      <c r="B5" s="1" t="str">
        <f>IF(ISERROR(C3),"",CONCATENATE(_xlfn.WEBSERVICE("https://api3.geo.admin.ch/rest/services/api/MapServer/find?layer=ch.bfs.gebaeude_wohnungs_register&amp;searchText="&amp;C3&amp;"&amp;searchField=egid&amp;returnGeometry=false&amp;contains=false")))</f>
        <v/>
      </c>
      <c r="D5" s="1"/>
    </row>
    <row r="6" spans="1:5" x14ac:dyDescent="0.25">
      <c r="A6" s="170" t="s">
        <v>428</v>
      </c>
      <c r="B6" s="1" t="str">
        <f>SUBSTITUTE(B5,"""","")</f>
        <v/>
      </c>
    </row>
    <row r="7" spans="1:5" x14ac:dyDescent="0.25">
      <c r="A7" s="170"/>
      <c r="B7" s="1"/>
    </row>
    <row r="8" spans="1:5" x14ac:dyDescent="0.25">
      <c r="A8" s="170"/>
      <c r="B8" s="179" t="s">
        <v>528</v>
      </c>
      <c r="C8" s="179" t="s">
        <v>548</v>
      </c>
      <c r="D8" s="179" t="s">
        <v>560</v>
      </c>
      <c r="E8" s="179" t="s">
        <v>538</v>
      </c>
    </row>
    <row r="9" spans="1:5" x14ac:dyDescent="0.25">
      <c r="A9" s="178" t="s">
        <v>429</v>
      </c>
      <c r="B9" s="180" t="e">
        <f>C9</f>
        <v>#VALUE!</v>
      </c>
      <c r="C9" s="180" t="e">
        <f>D9</f>
        <v>#VALUE!</v>
      </c>
      <c r="D9" s="180" t="e">
        <f>MID(B6,SEARCH("gebf:",B6)+6,SEARCH(", gwaerzh1",B6)-SEARCH("gebf:",B6)-6)</f>
        <v>#VALUE!</v>
      </c>
      <c r="E9" s="180" t="s">
        <v>547</v>
      </c>
    </row>
    <row r="10" spans="1:5" x14ac:dyDescent="0.25">
      <c r="A10" s="178" t="s">
        <v>479</v>
      </c>
      <c r="B10" s="180" t="e">
        <f>C10</f>
        <v>#VALUE!</v>
      </c>
      <c r="C10" s="180" t="e">
        <f>IF(D10="null","keine Angaben",VLOOKUP(_xlfn.NUMBERVALUE(D10),Table24[],2,FALSE))</f>
        <v>#VALUE!</v>
      </c>
      <c r="D10" s="180" t="e">
        <f>MID(B6,SEARCH("gwaerzh1: ",B6)+10,SEARCH(", genh1",B6)-SEARCH("gwaerzh1: ",B6)-10)</f>
        <v>#VALUE!</v>
      </c>
      <c r="E10" s="180" t="s">
        <v>539</v>
      </c>
    </row>
    <row r="11" spans="1:5" x14ac:dyDescent="0.25">
      <c r="A11" s="178" t="s">
        <v>430</v>
      </c>
      <c r="B11" s="180" t="e">
        <f>IF(C11="keine Angaben",C11,VLOOKUP(C11,Table2[[Quelle]:[Heizsystem (Übersetzung)]],2,FALSE))</f>
        <v>#VALUE!</v>
      </c>
      <c r="C11" s="180" t="e">
        <f>IF(D11="null","keine Angaben",VLOOKUP(_xlfn.NUMBERVALUE(D11),Table2[],2,FALSE))</f>
        <v>#VALUE!</v>
      </c>
      <c r="D11" s="180" t="e">
        <f>MID(B6,SEARCH("genh1: ",B6)+7,SEARCH(", gwaersceh1",B6)-SEARCH("genh1: ",B6)-7)</f>
        <v>#VALUE!</v>
      </c>
      <c r="E11" s="180" t="s">
        <v>541</v>
      </c>
    </row>
    <row r="12" spans="1:5" x14ac:dyDescent="0.25">
      <c r="A12" s="178" t="s">
        <v>481</v>
      </c>
      <c r="B12" s="180" t="e">
        <f>C12</f>
        <v>#VALUE!</v>
      </c>
      <c r="C12" s="180" t="e">
        <f>IF(D12="null","keine Angaben",VLOOKUP(_xlfn.NUMBERVALUE(D12),Table242[],2,FALSE))</f>
        <v>#VALUE!</v>
      </c>
      <c r="D12" s="180" t="e">
        <f>MID(B6,SEARCH("gwaerzw1: ",B6)+10,SEARCH(", genw1",B6)-SEARCH("gwaerzw1: ",B6)-10)</f>
        <v>#VALUE!</v>
      </c>
      <c r="E12" s="180" t="s">
        <v>543</v>
      </c>
    </row>
    <row r="13" spans="1:5" x14ac:dyDescent="0.25">
      <c r="A13" s="178" t="s">
        <v>482</v>
      </c>
      <c r="B13" s="180" t="e">
        <f>IF(C13="keine Angaben",C13,VLOOKUP(C13,Table2[[Quelle]:[Heizsystem (Übersetzung)]],2,FALSE))</f>
        <v>#VALUE!</v>
      </c>
      <c r="C13" s="180" t="e">
        <f>IF(D13="null","keine Angaben",VLOOKUP(_xlfn.NUMBERVALUE(D13),Table2[],2,FALSE))</f>
        <v>#VALUE!</v>
      </c>
      <c r="D13" s="180" t="e">
        <f>MID(B6,SEARCH("genw1: ",B6)+7,SEARCH(", gwaerscew1",B6)-SEARCH("genw1: ",B6)-7)</f>
        <v>#VALUE!</v>
      </c>
      <c r="E13" s="180" t="s">
        <v>545</v>
      </c>
    </row>
    <row r="14" spans="1:5" x14ac:dyDescent="0.25">
      <c r="A14" s="178" t="s">
        <v>480</v>
      </c>
      <c r="B14" s="180" t="e">
        <f>C14</f>
        <v>#VALUE!</v>
      </c>
      <c r="C14" s="180" t="e">
        <f>IF(D14="null","keine Angaben",VLOOKUP(_xlfn.NUMBERVALUE(D14),Table24[],2,FALSE))</f>
        <v>#VALUE!</v>
      </c>
      <c r="D14" s="180" t="e">
        <f>MID(B6,SEARCH("gwaerzh2: ",B6)+10,SEARCH(", genh2",B6)-SEARCH("gwaerzh2: ",B6)-10)</f>
        <v>#VALUE!</v>
      </c>
      <c r="E14" s="180" t="s">
        <v>540</v>
      </c>
    </row>
    <row r="15" spans="1:5" x14ac:dyDescent="0.25">
      <c r="A15" s="178" t="s">
        <v>431</v>
      </c>
      <c r="B15" s="180" t="e">
        <f>IF(C15="keine Angaben",C15,VLOOKUP(C15,Table2[[Quelle]:[Heizsystem (Übersetzung)]],2,FALSE))</f>
        <v>#VALUE!</v>
      </c>
      <c r="C15" s="180" t="e">
        <f>IF(D15="null","keine Angaben",VLOOKUP(_xlfn.NUMBERVALUE(D15),Table2[],2,FALSE))</f>
        <v>#VALUE!</v>
      </c>
      <c r="D15" s="180" t="e">
        <f>MID(B6,SEARCH("genh2: ",B6)+7,SEARCH(", gwaersceh2",B6)-SEARCH("genh2: ",B6)-7)</f>
        <v>#VALUE!</v>
      </c>
      <c r="E15" s="180" t="s">
        <v>542</v>
      </c>
    </row>
    <row r="16" spans="1:5" x14ac:dyDescent="0.25">
      <c r="A16" s="178" t="s">
        <v>483</v>
      </c>
      <c r="B16" s="180" t="e">
        <f>C16</f>
        <v>#VALUE!</v>
      </c>
      <c r="C16" s="180" t="e">
        <f>IF(D16="null","keine Angaben",VLOOKUP(_xlfn.NUMBERVALUE(D16),Table242[],2,FALSE))</f>
        <v>#VALUE!</v>
      </c>
      <c r="D16" s="180" t="e">
        <f>MID(B6,SEARCH("gwaerzw2: ",B6)+10,SEARCH(", genw2",B6)-SEARCH("gwaerzw2: ",B6)-10)</f>
        <v>#VALUE!</v>
      </c>
      <c r="E16" s="180" t="s">
        <v>544</v>
      </c>
    </row>
    <row r="17" spans="1:6" x14ac:dyDescent="0.25">
      <c r="A17" s="178" t="s">
        <v>483</v>
      </c>
      <c r="B17" s="180" t="e">
        <f>IF(C17="keine Angaben",C17,VLOOKUP(C17,Table2[[Quelle]:[Heizsystem (Übersetzung)]],2,FALSE))</f>
        <v>#VALUE!</v>
      </c>
      <c r="C17" s="180" t="e">
        <f>IF(D17="null","keine Angaben",VLOOKUP(_xlfn.NUMBERVALUE(D17),Table2[],2,FALSE))</f>
        <v>#VALUE!</v>
      </c>
      <c r="D17" s="180" t="e">
        <f>MID(B6,SEARCH("genw2: ",B6)+7,SEARCH(", gwaerscew2",B6)-SEARCH("genw2: ",B6)-7)</f>
        <v>#VALUE!</v>
      </c>
      <c r="E17" s="180" t="s">
        <v>546</v>
      </c>
    </row>
    <row r="19" spans="1:6" x14ac:dyDescent="0.25">
      <c r="A19" s="171" t="s">
        <v>532</v>
      </c>
    </row>
    <row r="20" spans="1:6" x14ac:dyDescent="0.25">
      <c r="A20" s="171"/>
    </row>
    <row r="21" spans="1:6" x14ac:dyDescent="0.25">
      <c r="A21" s="177" t="s">
        <v>549</v>
      </c>
      <c r="D21" s="177" t="s">
        <v>531</v>
      </c>
    </row>
    <row r="22" spans="1:6" x14ac:dyDescent="0.25">
      <c r="A22" s="177" t="s">
        <v>434</v>
      </c>
      <c r="B22" s="177" t="s">
        <v>507</v>
      </c>
      <c r="C22" s="177"/>
      <c r="D22" s="177" t="s">
        <v>434</v>
      </c>
      <c r="E22" s="177" t="s">
        <v>79</v>
      </c>
      <c r="F22" s="177" t="s">
        <v>526</v>
      </c>
    </row>
    <row r="23" spans="1:6" x14ac:dyDescent="0.25">
      <c r="A23" s="171">
        <v>7400</v>
      </c>
      <c r="B23" s="171" t="s">
        <v>508</v>
      </c>
      <c r="C23" s="171"/>
      <c r="D23" s="171">
        <v>7500</v>
      </c>
      <c r="E23" s="171" t="s">
        <v>435</v>
      </c>
      <c r="F23" s="171" t="s">
        <v>435</v>
      </c>
    </row>
    <row r="24" spans="1:6" x14ac:dyDescent="0.25">
      <c r="A24" s="171">
        <v>7410</v>
      </c>
      <c r="B24" s="171" t="s">
        <v>509</v>
      </c>
      <c r="C24" s="171"/>
      <c r="D24" s="171">
        <v>7501</v>
      </c>
      <c r="E24" s="171" t="s">
        <v>436</v>
      </c>
      <c r="F24" s="171" t="s">
        <v>437</v>
      </c>
    </row>
    <row r="25" spans="1:6" x14ac:dyDescent="0.25">
      <c r="A25" s="171">
        <v>7411</v>
      </c>
      <c r="B25" s="171" t="s">
        <v>510</v>
      </c>
      <c r="C25" s="171"/>
      <c r="D25" s="171">
        <v>7510</v>
      </c>
      <c r="E25" s="171" t="s">
        <v>438</v>
      </c>
      <c r="F25" s="171" t="s">
        <v>439</v>
      </c>
    </row>
    <row r="26" spans="1:6" x14ac:dyDescent="0.25">
      <c r="A26" s="171">
        <v>7420</v>
      </c>
      <c r="B26" s="171" t="s">
        <v>511</v>
      </c>
      <c r="C26" s="171"/>
      <c r="D26" s="171">
        <v>7511</v>
      </c>
      <c r="E26" s="171" t="s">
        <v>440</v>
      </c>
      <c r="F26" s="171" t="s">
        <v>439</v>
      </c>
    </row>
    <row r="27" spans="1:6" x14ac:dyDescent="0.25">
      <c r="A27" s="171">
        <v>7421</v>
      </c>
      <c r="B27" s="171" t="s">
        <v>512</v>
      </c>
      <c r="C27" s="171"/>
      <c r="D27" s="171">
        <v>7512</v>
      </c>
      <c r="E27" s="171" t="s">
        <v>443</v>
      </c>
      <c r="F27" s="171" t="s">
        <v>439</v>
      </c>
    </row>
    <row r="28" spans="1:6" x14ac:dyDescent="0.25">
      <c r="A28" s="171">
        <v>7430</v>
      </c>
      <c r="B28" s="171" t="s">
        <v>513</v>
      </c>
      <c r="C28" s="171"/>
      <c r="D28" s="171">
        <v>7513</v>
      </c>
      <c r="E28" s="171" t="s">
        <v>444</v>
      </c>
      <c r="F28" s="171" t="s">
        <v>457</v>
      </c>
    </row>
    <row r="29" spans="1:6" x14ac:dyDescent="0.25">
      <c r="A29" s="171">
        <v>7431</v>
      </c>
      <c r="B29" s="171" t="s">
        <v>514</v>
      </c>
      <c r="C29" s="171"/>
      <c r="D29" s="171">
        <v>7520</v>
      </c>
      <c r="E29" s="171" t="s">
        <v>445</v>
      </c>
      <c r="F29" s="171" t="s">
        <v>59</v>
      </c>
    </row>
    <row r="30" spans="1:6" x14ac:dyDescent="0.25">
      <c r="A30" s="171">
        <v>7432</v>
      </c>
      <c r="B30" s="171" t="s">
        <v>515</v>
      </c>
      <c r="C30" s="171"/>
      <c r="D30" s="171">
        <v>7530</v>
      </c>
      <c r="E30" s="171" t="s">
        <v>446</v>
      </c>
      <c r="F30" s="171" t="s">
        <v>458</v>
      </c>
    </row>
    <row r="31" spans="1:6" x14ac:dyDescent="0.25">
      <c r="A31" s="171">
        <v>7433</v>
      </c>
      <c r="B31" s="171" t="s">
        <v>516</v>
      </c>
      <c r="C31" s="171"/>
      <c r="D31" s="171">
        <v>7540</v>
      </c>
      <c r="E31" s="171" t="s">
        <v>447</v>
      </c>
      <c r="F31" s="171" t="s">
        <v>459</v>
      </c>
    </row>
    <row r="32" spans="1:6" x14ac:dyDescent="0.25">
      <c r="A32" s="171">
        <v>7434</v>
      </c>
      <c r="B32" s="171" t="s">
        <v>517</v>
      </c>
      <c r="C32" s="171"/>
      <c r="D32" s="171">
        <v>7541</v>
      </c>
      <c r="E32" s="171" t="s">
        <v>448</v>
      </c>
      <c r="F32" s="171" t="s">
        <v>460</v>
      </c>
    </row>
    <row r="33" spans="1:6" x14ac:dyDescent="0.25">
      <c r="A33" s="171">
        <v>7435</v>
      </c>
      <c r="B33" s="171" t="s">
        <v>518</v>
      </c>
      <c r="C33" s="171"/>
      <c r="D33" s="171">
        <v>7542</v>
      </c>
      <c r="E33" s="171" t="s">
        <v>449</v>
      </c>
      <c r="F33" s="171" t="s">
        <v>461</v>
      </c>
    </row>
    <row r="34" spans="1:6" x14ac:dyDescent="0.25">
      <c r="A34" s="171">
        <v>7436</v>
      </c>
      <c r="B34" s="171" t="s">
        <v>519</v>
      </c>
      <c r="C34" s="171"/>
      <c r="D34" s="171">
        <v>7543</v>
      </c>
      <c r="E34" s="171" t="s">
        <v>450</v>
      </c>
      <c r="F34" s="171" t="s">
        <v>462</v>
      </c>
    </row>
    <row r="35" spans="1:6" x14ac:dyDescent="0.25">
      <c r="A35" s="171">
        <v>7440</v>
      </c>
      <c r="B35" s="171" t="s">
        <v>520</v>
      </c>
      <c r="C35" s="171"/>
      <c r="D35" s="171">
        <v>7550</v>
      </c>
      <c r="E35" s="171" t="s">
        <v>451</v>
      </c>
      <c r="F35" s="171" t="s">
        <v>463</v>
      </c>
    </row>
    <row r="36" spans="1:6" x14ac:dyDescent="0.25">
      <c r="A36" s="171">
        <v>7441</v>
      </c>
      <c r="B36" s="171" t="s">
        <v>521</v>
      </c>
      <c r="C36" s="171"/>
      <c r="D36" s="171">
        <v>7560</v>
      </c>
      <c r="E36" s="171" t="s">
        <v>452</v>
      </c>
      <c r="F36" s="171" t="s">
        <v>464</v>
      </c>
    </row>
    <row r="37" spans="1:6" x14ac:dyDescent="0.25">
      <c r="A37" s="171">
        <v>7450</v>
      </c>
      <c r="B37" s="171" t="s">
        <v>522</v>
      </c>
      <c r="C37" s="171"/>
      <c r="D37" s="171">
        <v>7570</v>
      </c>
      <c r="E37" s="171" t="s">
        <v>453</v>
      </c>
      <c r="F37" s="171" t="s">
        <v>465</v>
      </c>
    </row>
    <row r="38" spans="1:6" x14ac:dyDescent="0.25">
      <c r="A38" s="171">
        <v>7451</v>
      </c>
      <c r="B38" s="171" t="s">
        <v>523</v>
      </c>
      <c r="C38" s="171"/>
      <c r="D38" s="171">
        <v>7580</v>
      </c>
      <c r="E38" s="171" t="s">
        <v>454</v>
      </c>
      <c r="F38" s="171" t="s">
        <v>62</v>
      </c>
    </row>
    <row r="39" spans="1:6" x14ac:dyDescent="0.25">
      <c r="A39" s="171">
        <v>7452</v>
      </c>
      <c r="B39" s="171" t="s">
        <v>131</v>
      </c>
      <c r="C39" s="171"/>
      <c r="D39" s="171">
        <v>7581</v>
      </c>
      <c r="E39" s="171" t="s">
        <v>455</v>
      </c>
      <c r="F39" s="171" t="s">
        <v>62</v>
      </c>
    </row>
    <row r="40" spans="1:6" x14ac:dyDescent="0.25">
      <c r="A40" s="171">
        <v>7460</v>
      </c>
      <c r="B40" s="171" t="s">
        <v>524</v>
      </c>
      <c r="C40" s="171"/>
      <c r="D40" s="171">
        <v>7582</v>
      </c>
      <c r="E40" s="171" t="s">
        <v>456</v>
      </c>
      <c r="F40" s="171" t="s">
        <v>62</v>
      </c>
    </row>
    <row r="41" spans="1:6" x14ac:dyDescent="0.25">
      <c r="A41" s="171">
        <v>7461</v>
      </c>
      <c r="B41" s="171" t="s">
        <v>525</v>
      </c>
      <c r="C41" s="171"/>
      <c r="D41" s="171">
        <v>7598</v>
      </c>
      <c r="E41" s="171" t="s">
        <v>442</v>
      </c>
      <c r="F41" s="171" t="s">
        <v>466</v>
      </c>
    </row>
    <row r="42" spans="1:6" x14ac:dyDescent="0.25">
      <c r="A42" s="171">
        <v>7499</v>
      </c>
      <c r="B42" s="171" t="s">
        <v>441</v>
      </c>
      <c r="C42" s="171"/>
      <c r="D42" s="171">
        <v>7599</v>
      </c>
      <c r="E42" s="171" t="s">
        <v>441</v>
      </c>
      <c r="F42" s="171" t="s">
        <v>441</v>
      </c>
    </row>
    <row r="43" spans="1:6" x14ac:dyDescent="0.25">
      <c r="A43" s="159"/>
      <c r="B43" s="159"/>
      <c r="C43" s="159"/>
    </row>
    <row r="44" spans="1:6" x14ac:dyDescent="0.25">
      <c r="A44" s="177" t="s">
        <v>550</v>
      </c>
    </row>
    <row r="45" spans="1:6" x14ac:dyDescent="0.25">
      <c r="A45" s="177" t="s">
        <v>434</v>
      </c>
      <c r="B45" s="177" t="s">
        <v>507</v>
      </c>
    </row>
    <row r="46" spans="1:6" x14ac:dyDescent="0.25">
      <c r="A46" s="171">
        <v>7600</v>
      </c>
      <c r="B46" s="171" t="s">
        <v>508</v>
      </c>
    </row>
    <row r="47" spans="1:6" x14ac:dyDescent="0.25">
      <c r="A47" s="171">
        <v>7610</v>
      </c>
      <c r="B47" s="171" t="s">
        <v>551</v>
      </c>
    </row>
    <row r="48" spans="1:6" x14ac:dyDescent="0.25">
      <c r="A48" s="171">
        <v>7620</v>
      </c>
      <c r="B48" s="171" t="s">
        <v>465</v>
      </c>
    </row>
    <row r="49" spans="1:2" x14ac:dyDescent="0.25">
      <c r="A49" s="171">
        <v>7630</v>
      </c>
      <c r="B49" s="171" t="s">
        <v>552</v>
      </c>
    </row>
    <row r="50" spans="1:2" x14ac:dyDescent="0.25">
      <c r="A50" s="171">
        <v>7632</v>
      </c>
      <c r="B50" s="171" t="s">
        <v>553</v>
      </c>
    </row>
    <row r="51" spans="1:2" x14ac:dyDescent="0.25">
      <c r="A51" s="171">
        <v>7634</v>
      </c>
      <c r="B51" s="171" t="s">
        <v>554</v>
      </c>
    </row>
    <row r="52" spans="1:2" x14ac:dyDescent="0.25">
      <c r="A52" s="171">
        <v>7640</v>
      </c>
      <c r="B52" s="171" t="s">
        <v>555</v>
      </c>
    </row>
    <row r="53" spans="1:2" x14ac:dyDescent="0.25">
      <c r="A53" s="171">
        <v>7650</v>
      </c>
      <c r="B53" s="171" t="s">
        <v>556</v>
      </c>
    </row>
    <row r="54" spans="1:2" x14ac:dyDescent="0.25">
      <c r="A54" s="171">
        <v>7651</v>
      </c>
      <c r="B54" s="171" t="s">
        <v>557</v>
      </c>
    </row>
    <row r="55" spans="1:2" x14ac:dyDescent="0.25">
      <c r="A55" s="171">
        <v>7660</v>
      </c>
      <c r="B55" s="171" t="s">
        <v>558</v>
      </c>
    </row>
    <row r="56" spans="1:2" x14ac:dyDescent="0.25">
      <c r="A56" s="171">
        <v>7699</v>
      </c>
      <c r="B56" s="171" t="s">
        <v>441</v>
      </c>
    </row>
  </sheetData>
  <sheetProtection algorithmName="SHA-512" hashValue="6UMCadPji0KtnYJUq02GgKCZjMcwXojLQR/zt95JkI3rBuN7Pl/bQ9MUtjkvLKGSgN/oe5VJn5txSwKKDcBnwA==" saltValue="5vfmtt4qtM9AO3RCWGO8uA==" spinCount="100000" sheet="1" objects="1" scenarios="1"/>
  <phoneticPr fontId="55" type="noConversion"/>
  <conditionalFormatting sqref="B2">
    <cfRule type="expression" dxfId="26" priority="3">
      <formula>IF(B2="Adresse nicht eindeutig",TRUE,FALSE)</formula>
    </cfRule>
  </conditionalFormatting>
  <pageMargins left="0.7" right="0.7" top="0.75" bottom="0.75" header="0.3" footer="0.3"/>
  <pageSetup paperSize="9" orientation="portrait" verticalDpi="0"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T137"/>
  <sheetViews>
    <sheetView zoomScale="175" zoomScaleNormal="175" workbookViewId="0">
      <selection activeCell="F15" sqref="F15"/>
    </sheetView>
  </sheetViews>
  <sheetFormatPr baseColWidth="10" defaultColWidth="11.42578125" defaultRowHeight="12" x14ac:dyDescent="0.2"/>
  <cols>
    <col min="1" max="1" width="9.140625" style="3" bestFit="1" customWidth="1"/>
    <col min="2" max="2" width="48.28515625" style="3" bestFit="1" customWidth="1"/>
    <col min="3" max="3" width="30.42578125" style="3" bestFit="1" customWidth="1"/>
    <col min="4" max="4" width="26.5703125" style="3" bestFit="1" customWidth="1"/>
    <col min="5" max="5" width="25.42578125" style="3" bestFit="1" customWidth="1"/>
    <col min="6" max="6" width="18.28515625" style="3" bestFit="1" customWidth="1"/>
    <col min="7" max="7" width="20.5703125" style="3" bestFit="1" customWidth="1"/>
    <col min="8" max="9" width="15.5703125" style="3" customWidth="1"/>
    <col min="10" max="16384" width="11.42578125" style="3"/>
  </cols>
  <sheetData>
    <row r="1" spans="1:20" ht="25.5" x14ac:dyDescent="0.2">
      <c r="A1" s="20" t="s">
        <v>239</v>
      </c>
      <c r="B1" s="14" t="s">
        <v>76</v>
      </c>
      <c r="C1" s="14" t="s">
        <v>240</v>
      </c>
      <c r="D1" s="14" t="s">
        <v>354</v>
      </c>
      <c r="E1" s="12"/>
      <c r="F1" s="12"/>
      <c r="G1" s="12"/>
      <c r="H1" s="12"/>
      <c r="I1" s="12"/>
      <c r="J1" s="12"/>
      <c r="K1" s="12"/>
      <c r="L1" s="12"/>
      <c r="M1" s="12"/>
      <c r="N1" s="12"/>
      <c r="O1" s="12"/>
      <c r="P1" s="12"/>
      <c r="Q1" s="12"/>
      <c r="R1" s="12"/>
      <c r="S1" s="12"/>
      <c r="T1" s="12"/>
    </row>
    <row r="2" spans="1:20" x14ac:dyDescent="0.2">
      <c r="A2" s="13"/>
    </row>
    <row r="3" spans="1:20" x14ac:dyDescent="0.2">
      <c r="A3" s="13"/>
      <c r="B3" s="3" t="s">
        <v>7</v>
      </c>
      <c r="C3" s="3" t="s">
        <v>242</v>
      </c>
      <c r="D3" s="3">
        <v>21</v>
      </c>
    </row>
    <row r="4" spans="1:20" x14ac:dyDescent="0.2">
      <c r="A4" s="13"/>
      <c r="B4" s="3" t="s">
        <v>2</v>
      </c>
      <c r="C4" s="3" t="s">
        <v>241</v>
      </c>
      <c r="D4" s="3">
        <v>14</v>
      </c>
    </row>
    <row r="5" spans="1:20" x14ac:dyDescent="0.2">
      <c r="A5" s="13"/>
      <c r="B5" s="3" t="s">
        <v>8</v>
      </c>
      <c r="C5" s="3" t="s">
        <v>244</v>
      </c>
      <c r="D5" s="3">
        <v>7</v>
      </c>
    </row>
    <row r="6" spans="1:20" x14ac:dyDescent="0.2">
      <c r="A6" s="13"/>
      <c r="B6" s="3" t="s">
        <v>9</v>
      </c>
      <c r="C6" s="3" t="s">
        <v>244</v>
      </c>
      <c r="D6" s="3">
        <v>7</v>
      </c>
    </row>
    <row r="7" spans="1:20" x14ac:dyDescent="0.2">
      <c r="A7" s="13"/>
      <c r="B7" s="3" t="s">
        <v>10</v>
      </c>
      <c r="C7" s="3" t="s">
        <v>244</v>
      </c>
      <c r="D7" s="3">
        <v>7</v>
      </c>
    </row>
    <row r="8" spans="1:20" x14ac:dyDescent="0.2">
      <c r="A8" s="13"/>
      <c r="B8" s="3" t="s">
        <v>11</v>
      </c>
      <c r="C8" s="3" t="s">
        <v>244</v>
      </c>
      <c r="D8" s="3">
        <v>56</v>
      </c>
    </row>
    <row r="9" spans="1:20" x14ac:dyDescent="0.2">
      <c r="A9" s="13"/>
      <c r="B9" s="3" t="s">
        <v>12</v>
      </c>
      <c r="C9" s="3" t="s">
        <v>244</v>
      </c>
      <c r="D9" s="3">
        <v>14</v>
      </c>
    </row>
    <row r="10" spans="1:20" x14ac:dyDescent="0.2">
      <c r="A10" s="13"/>
      <c r="B10" s="3" t="s">
        <v>13</v>
      </c>
      <c r="C10" s="3" t="s">
        <v>244</v>
      </c>
      <c r="D10" s="3">
        <v>28</v>
      </c>
    </row>
    <row r="11" spans="1:20" x14ac:dyDescent="0.2">
      <c r="A11" s="13"/>
      <c r="B11" s="3" t="s">
        <v>14</v>
      </c>
      <c r="C11" s="3" t="s">
        <v>244</v>
      </c>
      <c r="D11" s="3">
        <v>7</v>
      </c>
    </row>
    <row r="12" spans="1:20" x14ac:dyDescent="0.2">
      <c r="A12" s="13"/>
      <c r="B12" s="3" t="s">
        <v>15</v>
      </c>
      <c r="C12" s="3" t="s">
        <v>244</v>
      </c>
      <c r="D12" s="3">
        <v>1</v>
      </c>
    </row>
    <row r="13" spans="1:20" x14ac:dyDescent="0.2">
      <c r="A13" s="13"/>
      <c r="B13" s="3" t="s">
        <v>16</v>
      </c>
      <c r="C13" s="3" t="s">
        <v>244</v>
      </c>
      <c r="D13" s="3">
        <v>83</v>
      </c>
    </row>
    <row r="14" spans="1:20" x14ac:dyDescent="0.2">
      <c r="A14" s="13"/>
      <c r="B14" s="3" t="s">
        <v>17</v>
      </c>
      <c r="C14" s="3" t="s">
        <v>244</v>
      </c>
      <c r="D14" s="3">
        <v>83</v>
      </c>
    </row>
    <row r="15" spans="1:20" x14ac:dyDescent="0.2">
      <c r="A15" s="13"/>
    </row>
    <row r="16" spans="1:20" s="22" customFormat="1" x14ac:dyDescent="0.2">
      <c r="A16" s="21">
        <v>1.6</v>
      </c>
      <c r="B16" s="22" t="s">
        <v>5</v>
      </c>
    </row>
    <row r="17" spans="1:5" x14ac:dyDescent="0.2">
      <c r="A17" s="13"/>
      <c r="B17" s="1" t="s">
        <v>583</v>
      </c>
      <c r="C17" s="1">
        <v>2951</v>
      </c>
      <c r="D17" s="1" t="s">
        <v>492</v>
      </c>
      <c r="E17" s="1"/>
    </row>
    <row r="18" spans="1:5" x14ac:dyDescent="0.2">
      <c r="A18" s="13"/>
      <c r="B18" s="1" t="s">
        <v>20</v>
      </c>
      <c r="C18" s="1">
        <v>18</v>
      </c>
      <c r="D18" s="1" t="s">
        <v>21</v>
      </c>
      <c r="E18" s="1"/>
    </row>
    <row r="19" spans="1:5" x14ac:dyDescent="0.2">
      <c r="A19" s="13"/>
      <c r="B19" s="1" t="s">
        <v>22</v>
      </c>
      <c r="C19" s="1">
        <v>20</v>
      </c>
      <c r="D19" s="1" t="s">
        <v>23</v>
      </c>
      <c r="E19" s="1"/>
    </row>
    <row r="20" spans="1:5" x14ac:dyDescent="0.2">
      <c r="A20" s="13"/>
      <c r="B20" s="1" t="s">
        <v>24</v>
      </c>
      <c r="C20" s="1">
        <v>-6</v>
      </c>
      <c r="D20" s="1" t="s">
        <v>23</v>
      </c>
      <c r="E20" s="1"/>
    </row>
    <row r="21" spans="1:5" x14ac:dyDescent="0.2">
      <c r="A21" s="13"/>
    </row>
    <row r="22" spans="1:5" s="22" customFormat="1" x14ac:dyDescent="0.2">
      <c r="A22" s="23">
        <v>1.7</v>
      </c>
      <c r="B22" s="24" t="s">
        <v>104</v>
      </c>
    </row>
    <row r="23" spans="1:5" x14ac:dyDescent="0.2">
      <c r="A23" s="13"/>
    </row>
    <row r="24" spans="1:5" x14ac:dyDescent="0.2">
      <c r="A24" s="13"/>
      <c r="B24" s="3" t="s">
        <v>83</v>
      </c>
    </row>
    <row r="25" spans="1:5" x14ac:dyDescent="0.2">
      <c r="A25" s="13"/>
      <c r="B25" s="3" t="s">
        <v>84</v>
      </c>
    </row>
    <row r="26" spans="1:5" x14ac:dyDescent="0.2">
      <c r="A26" s="13"/>
    </row>
    <row r="27" spans="1:5" s="22" customFormat="1" x14ac:dyDescent="0.2">
      <c r="A27" s="21">
        <v>1.8</v>
      </c>
      <c r="B27" s="22" t="s">
        <v>105</v>
      </c>
    </row>
    <row r="28" spans="1:5" x14ac:dyDescent="0.2">
      <c r="A28" s="13"/>
      <c r="B28" s="3" t="s">
        <v>604</v>
      </c>
    </row>
    <row r="29" spans="1:5" x14ac:dyDescent="0.2">
      <c r="A29" s="13"/>
      <c r="B29" s="3" t="s">
        <v>605</v>
      </c>
    </row>
    <row r="30" spans="1:5" x14ac:dyDescent="0.2">
      <c r="A30" s="13"/>
      <c r="B30" s="3" t="s">
        <v>606</v>
      </c>
    </row>
    <row r="31" spans="1:5" x14ac:dyDescent="0.2">
      <c r="A31" s="13"/>
    </row>
    <row r="32" spans="1:5" s="22" customFormat="1" x14ac:dyDescent="0.2"/>
    <row r="33" spans="1:2" s="46" customFormat="1" hidden="1" x14ac:dyDescent="0.2">
      <c r="A33" s="44">
        <v>1.8</v>
      </c>
      <c r="B33" s="45" t="s">
        <v>18</v>
      </c>
    </row>
    <row r="34" spans="1:2" s="46" customFormat="1" hidden="1" x14ac:dyDescent="0.2">
      <c r="A34" s="47"/>
    </row>
    <row r="35" spans="1:2" s="46" customFormat="1" hidden="1" x14ac:dyDescent="0.2">
      <c r="A35" s="47"/>
      <c r="B35" s="46" t="s">
        <v>19</v>
      </c>
    </row>
    <row r="36" spans="1:2" s="46" customFormat="1" hidden="1" x14ac:dyDescent="0.2">
      <c r="A36" s="47"/>
      <c r="B36" s="46" t="s">
        <v>3</v>
      </c>
    </row>
    <row r="37" spans="1:2" hidden="1" x14ac:dyDescent="0.2">
      <c r="A37" s="13"/>
    </row>
    <row r="38" spans="1:2" s="22" customFormat="1" x14ac:dyDescent="0.2">
      <c r="A38" s="22">
        <v>2</v>
      </c>
      <c r="B38" s="22" t="s">
        <v>54</v>
      </c>
    </row>
    <row r="39" spans="1:2" x14ac:dyDescent="0.2">
      <c r="A39" s="13"/>
    </row>
    <row r="40" spans="1:2" x14ac:dyDescent="0.2">
      <c r="A40" s="13"/>
      <c r="B40" s="3" t="s">
        <v>249</v>
      </c>
    </row>
    <row r="41" spans="1:2" x14ac:dyDescent="0.2">
      <c r="A41" s="13"/>
      <c r="B41" s="3" t="s">
        <v>248</v>
      </c>
    </row>
    <row r="42" spans="1:2" x14ac:dyDescent="0.2">
      <c r="A42" s="13"/>
      <c r="B42" s="3" t="s">
        <v>57</v>
      </c>
    </row>
    <row r="43" spans="1:2" x14ac:dyDescent="0.2">
      <c r="A43" s="13"/>
      <c r="B43" s="3" t="s">
        <v>58</v>
      </c>
    </row>
    <row r="44" spans="1:2" x14ac:dyDescent="0.2">
      <c r="A44" s="13"/>
      <c r="B44" s="3" t="s">
        <v>55</v>
      </c>
    </row>
    <row r="45" spans="1:2" x14ac:dyDescent="0.2">
      <c r="A45" s="13"/>
      <c r="B45" s="3" t="s">
        <v>56</v>
      </c>
    </row>
    <row r="46" spans="1:2" x14ac:dyDescent="0.2">
      <c r="A46" s="13"/>
      <c r="B46" s="3" t="s">
        <v>460</v>
      </c>
    </row>
    <row r="47" spans="1:2" x14ac:dyDescent="0.2">
      <c r="A47" s="13"/>
      <c r="B47" s="3" t="s">
        <v>29</v>
      </c>
    </row>
    <row r="48" spans="1:2" x14ac:dyDescent="0.2">
      <c r="A48" s="13"/>
      <c r="B48" s="3" t="s">
        <v>59</v>
      </c>
    </row>
    <row r="49" spans="1:20" x14ac:dyDescent="0.2">
      <c r="A49" s="13"/>
    </row>
    <row r="50" spans="1:20" s="22" customFormat="1" ht="39" customHeight="1" x14ac:dyDescent="0.2">
      <c r="A50" s="20" t="s">
        <v>91</v>
      </c>
      <c r="B50" s="14" t="s">
        <v>209</v>
      </c>
      <c r="C50" s="34" t="s">
        <v>74</v>
      </c>
      <c r="D50" s="34" t="s">
        <v>200</v>
      </c>
      <c r="E50" s="14" t="s">
        <v>75</v>
      </c>
      <c r="F50" s="14" t="s">
        <v>92</v>
      </c>
      <c r="G50" s="14"/>
      <c r="H50" s="14"/>
      <c r="I50" s="14"/>
      <c r="J50" s="14"/>
      <c r="K50" s="14"/>
      <c r="L50" s="14"/>
      <c r="M50" s="14"/>
      <c r="N50" s="14"/>
      <c r="O50" s="14"/>
      <c r="P50" s="14"/>
      <c r="Q50" s="14"/>
      <c r="R50" s="14"/>
      <c r="S50" s="14"/>
      <c r="T50" s="14"/>
    </row>
    <row r="51" spans="1:20" x14ac:dyDescent="0.2">
      <c r="A51" s="13"/>
      <c r="B51" s="3" t="s">
        <v>62</v>
      </c>
      <c r="C51" s="1">
        <f>VLOOKUP(B51,Nutzungsgrad_Tabelle,4,FALSE)</f>
        <v>1</v>
      </c>
      <c r="D51" s="1">
        <f t="shared" ref="D51:D60" si="0">VLOOKUP(B51,Nutzungsgrad_Tabelle,5,FALSE)</f>
        <v>1</v>
      </c>
      <c r="E51" s="5" t="s">
        <v>111</v>
      </c>
      <c r="F51" s="3">
        <v>1</v>
      </c>
    </row>
    <row r="52" spans="1:20" x14ac:dyDescent="0.2">
      <c r="A52" s="13"/>
      <c r="B52" s="3" t="s">
        <v>249</v>
      </c>
      <c r="C52" s="1">
        <f t="shared" ref="C52:C60" si="1">VLOOKUP(B52,Nutzungsgrad_Tabelle,4,FALSE)</f>
        <v>2.5</v>
      </c>
      <c r="D52" s="1">
        <f t="shared" si="0"/>
        <v>6</v>
      </c>
      <c r="E52" s="27" t="e">
        <f>VLOOKUP(IF(Berechnung!L12="",Berechnung!J12,Berechnung!L12),Strompreis_ref,3)</f>
        <v>#N/A</v>
      </c>
      <c r="F52" s="3">
        <v>1</v>
      </c>
    </row>
    <row r="53" spans="1:20" x14ac:dyDescent="0.2">
      <c r="A53" s="13"/>
      <c r="B53" s="3" t="s">
        <v>248</v>
      </c>
      <c r="C53" s="1">
        <f t="shared" si="1"/>
        <v>2.5</v>
      </c>
      <c r="D53" s="1">
        <f t="shared" si="0"/>
        <v>6</v>
      </c>
      <c r="E53" s="27" t="e">
        <f>VLOOKUP(IF(Berechnung!L12="",Berechnung!J12,Berechnung!L12),Strompreis_ref,3)</f>
        <v>#N/A</v>
      </c>
      <c r="F53" s="3">
        <v>1</v>
      </c>
    </row>
    <row r="54" spans="1:20" x14ac:dyDescent="0.2">
      <c r="A54" s="13"/>
      <c r="B54" s="3" t="s">
        <v>57</v>
      </c>
      <c r="C54" s="1">
        <f>VLOOKUP(B54,Nutzungsgrad_Tabelle,4,FALSE)</f>
        <v>3.5</v>
      </c>
      <c r="D54" s="1">
        <f t="shared" si="0"/>
        <v>10</v>
      </c>
      <c r="E54" s="27" t="e">
        <f>VLOOKUP(IF(Berechnung!L12="",Berechnung!J12,Berechnung!L12),Strompreis_ref,3)</f>
        <v>#N/A</v>
      </c>
      <c r="F54" s="3">
        <v>1</v>
      </c>
    </row>
    <row r="55" spans="1:20" x14ac:dyDescent="0.2">
      <c r="A55" s="13"/>
      <c r="B55" s="3" t="s">
        <v>58</v>
      </c>
      <c r="C55" s="1">
        <f t="shared" si="1"/>
        <v>3.5</v>
      </c>
      <c r="D55" s="1">
        <f t="shared" si="0"/>
        <v>10</v>
      </c>
      <c r="E55" s="27" t="e">
        <f>VLOOKUP(IF(Berechnung!L12="",Berechnung!J12,Berechnung!L12),Strompreis_ref,3)</f>
        <v>#N/A</v>
      </c>
      <c r="F55" s="3">
        <v>1</v>
      </c>
    </row>
    <row r="56" spans="1:20" x14ac:dyDescent="0.2">
      <c r="A56" s="13"/>
      <c r="B56" s="3" t="s">
        <v>55</v>
      </c>
      <c r="C56" s="1">
        <f t="shared" si="1"/>
        <v>0.85</v>
      </c>
      <c r="D56" s="1">
        <f t="shared" si="0"/>
        <v>0.9</v>
      </c>
      <c r="E56" s="27">
        <f>'2.3 Energiepreise'!D52</f>
        <v>10.425541732758177</v>
      </c>
      <c r="F56" s="3">
        <v>3</v>
      </c>
    </row>
    <row r="57" spans="1:20" x14ac:dyDescent="0.2">
      <c r="A57" s="13"/>
      <c r="B57" s="3" t="s">
        <v>56</v>
      </c>
      <c r="C57" s="1">
        <f t="shared" si="1"/>
        <v>0.75</v>
      </c>
      <c r="D57" s="1">
        <f t="shared" si="0"/>
        <v>0.9</v>
      </c>
      <c r="E57" s="27">
        <f>'2.3 Energiepreise'!D59</f>
        <v>7.5421548135299217</v>
      </c>
      <c r="F57" s="3">
        <v>3</v>
      </c>
    </row>
    <row r="58" spans="1:20" x14ac:dyDescent="0.2">
      <c r="A58" s="13"/>
      <c r="B58" s="3" t="s">
        <v>460</v>
      </c>
      <c r="C58" s="1">
        <f t="shared" si="1"/>
        <v>0.75</v>
      </c>
      <c r="D58" s="1">
        <f t="shared" si="0"/>
        <v>0.9</v>
      </c>
      <c r="E58" s="27">
        <f>'2.3 Energiepreise'!E63</f>
        <v>3.8693666666666662</v>
      </c>
      <c r="F58" s="3">
        <v>3</v>
      </c>
    </row>
    <row r="59" spans="1:20" x14ac:dyDescent="0.2">
      <c r="A59" s="13"/>
      <c r="B59" s="3" t="s">
        <v>29</v>
      </c>
      <c r="C59" s="1">
        <f t="shared" si="1"/>
        <v>0.85</v>
      </c>
      <c r="D59" s="1">
        <f t="shared" si="0"/>
        <v>0.92</v>
      </c>
      <c r="E59" s="5">
        <f>'2.3 Energiepreise'!D71</f>
        <v>11.889134082582776</v>
      </c>
      <c r="F59" s="3">
        <v>2</v>
      </c>
    </row>
    <row r="60" spans="1:20" x14ac:dyDescent="0.2">
      <c r="A60" s="13"/>
      <c r="B60" s="3" t="s">
        <v>59</v>
      </c>
      <c r="C60" s="1">
        <f t="shared" si="1"/>
        <v>0.85</v>
      </c>
      <c r="D60" s="1">
        <f t="shared" si="0"/>
        <v>0.95</v>
      </c>
      <c r="E60" s="27">
        <f>'2.3 Energiepreise'!D77*100</f>
        <v>748.21756330547817</v>
      </c>
      <c r="F60" s="3">
        <v>2</v>
      </c>
    </row>
    <row r="61" spans="1:20" hidden="1" x14ac:dyDescent="0.2">
      <c r="A61" s="13"/>
      <c r="B61" s="3" t="s">
        <v>60</v>
      </c>
      <c r="C61" s="1">
        <f>'2.1 Nutzungsgrad'!E7</f>
        <v>0.85</v>
      </c>
      <c r="D61" s="1">
        <f>'2.1 Nutzungsgrad'!F7</f>
        <v>0.95</v>
      </c>
      <c r="E61" s="27">
        <f>'2.3 Energiepreise'!D77*100</f>
        <v>748.21756330547817</v>
      </c>
      <c r="F61" s="1">
        <v>2</v>
      </c>
    </row>
    <row r="62" spans="1:20" hidden="1" x14ac:dyDescent="0.2">
      <c r="A62" s="13"/>
      <c r="B62" s="3" t="s">
        <v>61</v>
      </c>
      <c r="C62" s="1">
        <f>'2.1 Nutzungsgrad'!E7</f>
        <v>0.85</v>
      </c>
      <c r="D62" s="1">
        <f>'2.1 Nutzungsgrad'!F7</f>
        <v>0.95</v>
      </c>
      <c r="E62" s="27">
        <f>'2.3 Energiepreise'!D77*100</f>
        <v>748.21756330547817</v>
      </c>
      <c r="F62" s="1">
        <v>2</v>
      </c>
    </row>
    <row r="63" spans="1:20" x14ac:dyDescent="0.2">
      <c r="A63" s="13"/>
      <c r="D63" s="5"/>
    </row>
    <row r="64" spans="1:20" x14ac:dyDescent="0.2">
      <c r="A64" s="21">
        <v>2.2999999999999998</v>
      </c>
      <c r="B64" s="22" t="s">
        <v>110</v>
      </c>
      <c r="C64" s="1"/>
      <c r="D64" s="5"/>
    </row>
    <row r="65" spans="1:7" x14ac:dyDescent="0.2">
      <c r="A65" s="21"/>
      <c r="B65" s="3" t="str">
        <f>B28</f>
        <v>Heizwerk A</v>
      </c>
      <c r="C65" s="27">
        <v>10</v>
      </c>
      <c r="D65" s="5"/>
    </row>
    <row r="66" spans="1:7" x14ac:dyDescent="0.2">
      <c r="A66" s="21"/>
      <c r="B66" s="3" t="str">
        <f t="shared" ref="B66:B67" si="2">B29</f>
        <v>Heizwerk B</v>
      </c>
      <c r="C66" s="27">
        <v>10</v>
      </c>
      <c r="D66" s="5"/>
    </row>
    <row r="67" spans="1:7" x14ac:dyDescent="0.2">
      <c r="A67" s="21"/>
      <c r="B67" s="3" t="str">
        <f t="shared" si="2"/>
        <v>Heizwerk C</v>
      </c>
      <c r="C67" s="27">
        <v>10</v>
      </c>
      <c r="D67" s="5"/>
    </row>
    <row r="68" spans="1:7" x14ac:dyDescent="0.2">
      <c r="A68" s="13"/>
    </row>
    <row r="69" spans="1:7" ht="60" x14ac:dyDescent="0.2">
      <c r="A69" s="54">
        <v>3</v>
      </c>
      <c r="B69" s="2" t="s">
        <v>228</v>
      </c>
      <c r="C69" s="25" t="s">
        <v>343</v>
      </c>
      <c r="D69" s="25" t="s">
        <v>342</v>
      </c>
      <c r="E69" s="25" t="s">
        <v>344</v>
      </c>
      <c r="F69" s="25" t="s">
        <v>358</v>
      </c>
      <c r="G69" s="1"/>
    </row>
    <row r="70" spans="1:7" x14ac:dyDescent="0.2">
      <c r="A70" s="13"/>
      <c r="B70" s="1" t="s">
        <v>62</v>
      </c>
      <c r="C70" s="1">
        <f>ROUND(IF(Heizleistungsbedarf&lt;8,INDEX(Fernwärme_Invest_ref,1,3),IF(Heizleistungsbedarf&lt;29,INDEX(Fernwärme_Invest_ref,2,3),IF(Heizleistungsbedarf&lt;69,INDEX(Fernwärme_Invest_ref,3,3),IF(Heizleistungsbedarf&lt;191,INDEX(Fernwärme_Invest_ref,4,3),IF(Heizleistungsbedarf&gt;190,INDEX(Fernwärme_Invest_ref,5,3)))))),-3)</f>
        <v>22000</v>
      </c>
      <c r="D70" s="1">
        <f>ROUND(IF(Heizleistungsbedarf&lt;8,INDEX(Fernwärme_Invest_ref,1,4),IF(Heizleistungsbedarf&lt;29,INDEX(Fernwärme_Invest_ref,2,4),IF(Heizleistungsbedarf&lt;69,INDEX(Fernwärme_Invest_ref,3,4),IF(Heizleistungsbedarf&lt;191,INDEX(Fernwärme_Invest_ref,4,4),IF(Heizleistungsbedarf&gt;190,INDEX(Fernwärme_Invest_ref,5,4)))))),-3)</f>
        <v>0</v>
      </c>
      <c r="E70" s="1">
        <f>ROUND(IF(Heizleistungsbedarf&lt;8,INDEX(Fernwärme_Invest_ref,1,5),IF(Heizleistungsbedarf&lt;29,INDEX(Fernwärme_Invest_ref,2,5),IF(Heizleistungsbedarf&lt;69,INDEX(Fernwärme_Invest_ref,3,5),IF(Heizleistungsbedarf&lt;191,INDEX(Fernwärme_Invest_ref,4,5),IF(Heizleistungsbedarf&gt;190,INDEX(Fernwärme_Invest_ref,5,5)))))),-3)</f>
        <v>8000</v>
      </c>
      <c r="F70" s="1">
        <f>ROUND(IF(Heizleistungsbedarf&lt;8,INDEX(Fernwärme_Invest_ref,1,6),IF(Heizleistungsbedarf&lt;29,INDEX(Fernwärme_Invest_ref,2,6),IF(Heizleistungsbedarf&lt;69,INDEX(Fernwärme_Invest_ref,3,6),IF(Heizleistungsbedarf&lt;191,INDEX(Fernwärme_Invest_ref,4,6),IF(Heizleistungsbedarf&gt;190,INDEX(Fernwärme_Invest_ref,5,6)))))),-3)</f>
        <v>26000</v>
      </c>
      <c r="G70" s="1" t="s">
        <v>361</v>
      </c>
    </row>
    <row r="71" spans="1:7" x14ac:dyDescent="0.2">
      <c r="A71" s="13"/>
      <c r="B71" s="1" t="s">
        <v>249</v>
      </c>
      <c r="C71" s="1">
        <f>ROUND(IF(Heizleistungsbedarf&lt;8,INDEX(WPLuft_Invest_ref,1,3),IF(Heizleistungsbedarf&lt;29,INDEX(WPLuft_Invest_ref,2,3),IF(Heizleistungsbedarf&lt;69,INDEX(WPLuft_Invest_ref,3,3),IF(Heizleistungsbedarf&lt;191,INDEX(WPLuft_Invest_ref,4,3),IF(Heizleistungsbedarf&gt;190,INDEX(WPLuft_Invest_ref,5,3)))))),-3)</f>
        <v>29000</v>
      </c>
      <c r="D71" s="1">
        <f>ROUND(IF(Heizleistungsbedarf&lt;8,INDEX(WPLuft_Invest_ref,1,4),IF(Heizleistungsbedarf&lt;29,INDEX(WPLuft_Invest_ref,2,4),IF(Heizleistungsbedarf&lt;69,INDEX(WPLuft_Invest_ref,3,4),IF(Heizleistungsbedarf&lt;191,INDEX(WPLuft_Invest_ref,4,4),IF(Heizleistungsbedarf&gt;190,INDEX(WPLuft_Invest_ref,5,4)))))),-3)</f>
        <v>3000</v>
      </c>
      <c r="E71" s="1">
        <f>ROUND(IF(Heizleistungsbedarf&lt;8,INDEX(WPLuft_Invest_ref,1,5),IF(Heizleistungsbedarf&lt;29,INDEX(WPLuft_Invest_ref,2,5),IF(Heizleistungsbedarf&lt;69,INDEX(WPLuft_Invest_ref,3,5),IF(Heizleistungsbedarf&lt;191,INDEX(WPLuft_Invest_ref,4,5),IF(Heizleistungsbedarf&gt;190,INDEX(WPLuft_Invest_ref,5,5)))))),-3)</f>
        <v>15000</v>
      </c>
      <c r="F71" s="1">
        <f>ROUND(IF(Heizleistungsbedarf&lt;8,INDEX(WPLuft_Invest_ref,1,6),IF(Heizleistungsbedarf&lt;29,INDEX(WPLuft_Invest_ref,2,6),IF(Heizleistungsbedarf&lt;69,INDEX(WPLuft_Invest_ref,3,6),IF(Heizleistungsbedarf&lt;191,INDEX(WPLuft_Invest_ref,4,6),IF(Heizleistungsbedarf&gt;190,INDEX(WPLuft_Invest_ref,5,6)))))),-3)</f>
        <v>0</v>
      </c>
      <c r="G71" s="1"/>
    </row>
    <row r="72" spans="1:7" x14ac:dyDescent="0.2">
      <c r="A72" s="13"/>
      <c r="B72" s="1" t="s">
        <v>248</v>
      </c>
      <c r="C72" s="1">
        <f>ROUND(IF(Heizleistungsbedarf&lt;8,INDEX(WPLufti_Invest_ref,1,3),IF(Heizleistungsbedarf&lt;29,INDEX(WPLufti_Invest_ref,2,3),IF(Heizleistungsbedarf&lt;69,INDEX(WPLufti_Invest_ref,3,3),IF(Heizleistungsbedarf&lt;191,INDEX(WPLufti_Invest_ref,4,3),IF(Heizleistungsbedarf&gt;190,INDEX(WPLufti_Invest_ref,5,3)))))),-3)</f>
        <v>36000</v>
      </c>
      <c r="D72" s="1">
        <f>ROUND(IF(Heizleistungsbedarf&lt;8,INDEX(WPLufti_Invest_ref,1,4),IF(Heizleistungsbedarf&lt;29,INDEX(WPLufti_Invest_ref,2,4),IF(Heizleistungsbedarf&lt;69,INDEX(WPLufti_Invest_ref,3,4),IF(Heizleistungsbedarf&lt;191,INDEX(WPLufti_Invest_ref,4,4),IF(Heizleistungsbedarf&gt;190,INDEX(WPLufti_Invest_ref,5,4)))))),-3)</f>
        <v>10000</v>
      </c>
      <c r="E72" s="1">
        <f>ROUND(IF(Heizleistungsbedarf&lt;8,INDEX(WPLufti_Invest_ref,1,5),IF(Heizleistungsbedarf&lt;29,INDEX(WPLufti_Invest_ref,2,5),IF(Heizleistungsbedarf&lt;69,INDEX(WPLufti_Invest_ref,3,5),IF(Heizleistungsbedarf&lt;191,INDEX(WPLufti_Invest_ref,4,5),IF(Heizleistungsbedarf&gt;190,INDEX(WPLufti_Invest_ref,5,5)))))),-3)</f>
        <v>18000</v>
      </c>
      <c r="F72" s="1">
        <f>IF(Heizleistungsbedarf&lt;8,INDEX(WPLufti_Invest_ref,1,6),IF(Heizleistungsbedarf&lt;29,INDEX(WPLufti_Invest_ref,2,6),IF(Heizleistungsbedarf&lt;69,INDEX(WPLufti_Invest_ref,3,6),IF(Heizleistungsbedarf&lt;191,INDEX(WPLufti_Invest_ref,4,6),IF(Heizleistungsbedarf&gt;190,INDEX(WPLufti_Invest_ref,5,6))))))</f>
        <v>0</v>
      </c>
      <c r="G72" s="1"/>
    </row>
    <row r="73" spans="1:7" x14ac:dyDescent="0.2">
      <c r="A73" s="13"/>
      <c r="B73" s="1" t="s">
        <v>57</v>
      </c>
      <c r="C73" s="1">
        <f>ROUND(IF(Heizleistungsbedarf&lt;8,INDEX(WPSonde_Invest_ref,1,3),IF(Heizleistungsbedarf&lt;29,INDEX(WPSonde_Invest_ref,2,3),IF(Heizleistungsbedarf&lt;69,INDEX(WPSonde_Invest_ref,3,3),IF(Heizleistungsbedarf&lt;191,INDEX(WPSonde_Invest_ref,4,3),IF(Heizleistungsbedarf&gt;190,INDEX(WPSonde_Invest_ref,5,3)))))),-3)</f>
        <v>29000</v>
      </c>
      <c r="D73" s="1">
        <f>ROUND(IF(Heizleistungsbedarf&lt;8,INDEX(WPSonde_Invest_ref,1,4),IF(Heizleistungsbedarf&lt;29,INDEX(WPSonde_Invest_ref,2,4),IF(Heizleistungsbedarf&lt;69,INDEX(WPSonde_Invest_ref,3,4),IF(Heizleistungsbedarf&lt;191,INDEX(WPSonde_Invest_ref,4,4),IF(Heizleistungsbedarf&gt;190,INDEX(WPSonde_Invest_ref,5,4)))))),-3)</f>
        <v>1000</v>
      </c>
      <c r="E73" s="1">
        <f>ROUND(IF(Heizleistungsbedarf&lt;8,INDEX(WPSonde_Invest_ref,1,5),IF(Heizleistungsbedarf&lt;29,INDEX(WPSonde_Invest_ref,2,5),IF(Heizleistungsbedarf&lt;69,INDEX(WPSonde_Invest_ref,3,5),IF(Heizleistungsbedarf&lt;191,INDEX(WPSonde_Invest_ref,4,5),IF(Heizleistungsbedarf&gt;190,INDEX(WPSonde_Invest_ref,5,5)))))),-3)</f>
        <v>18000</v>
      </c>
      <c r="F73" s="1">
        <f>ROUND(IF(Heizleistungsbedarf&lt;8,INDEX(WPSonde_Invest_ref,1,6),IF(Heizleistungsbedarf&lt;29,INDEX(WPSonde_Invest_ref,2,6),IF(Heizleistungsbedarf&lt;69,INDEX(WPSonde_Invest_ref,3,6),IF(Heizleistungsbedarf&lt;191,INDEX(WPSonde_Invest_ref,4,6),IF(Heizleistungsbedarf&gt;190,INDEX(WPSonde_Invest_ref,5,6)))))),-3)</f>
        <v>14000</v>
      </c>
      <c r="G73" s="1"/>
    </row>
    <row r="74" spans="1:7" x14ac:dyDescent="0.2">
      <c r="A74" s="13"/>
      <c r="B74" s="1" t="s">
        <v>58</v>
      </c>
      <c r="C74" s="1">
        <f>D84</f>
        <v>0</v>
      </c>
      <c r="D74" s="1" t="e">
        <f>ROUND(IF(Heizleistungsbedarf&lt;8,INDEX(WPWasser_Invest_ref,1,4),IF(Heizleistungsbedarf&lt;29,INDEX(WPWasser_Invest_ref,2,4),IF(Heizleistungsbedarf&lt;69,INDEX(WPWasser_Invest_ref,3,4),IF(Heizleistungsbedarf&lt;191,INDEX(WPWasser_Invest_ref,4,4),IF(Heizleistungsbedarf&gt;190,INDEX(WPWasser_Invest_ref,5,4)))))),-3)</f>
        <v>#VALUE!</v>
      </c>
      <c r="E74" s="1" t="e">
        <f>ROUND(IF(Heizleistungsbedarf&lt;8,INDEX(WPWasser_Invest_ref,1,5),IF(Heizleistungsbedarf&lt;29,INDEX(WPWasser_Invest_ref,2,5),IF(Heizleistungsbedarf&lt;69,INDEX(WPWasser_Invest_ref,3,5),IF(Heizleistungsbedarf&lt;191,INDEX(WPWasser_Invest_ref,4,5),IF(Heizleistungsbedarf&gt;190,INDEX(WPWasser_Invest_ref,5,5)))))),-3)</f>
        <v>#VALUE!</v>
      </c>
      <c r="F74" s="1">
        <f>ROUND(IF(Heizleistungsbedarf&lt;8,INDEX(WPWasser_Invest_ref,1,6),IF(Heizleistungsbedarf&lt;29,INDEX(WPWasser_Invest_ref,2,6),IF(Heizleistungsbedarf&lt;69,INDEX(WPWasser_Invest_ref,3,6),IF(Heizleistungsbedarf&lt;191,INDEX(WPWasser_Invest_ref,4,6),IF(Heizleistungsbedarf&gt;190,INDEX(WPWasser_Invest_ref,5,6)))))),-3)</f>
        <v>0</v>
      </c>
      <c r="G74" s="1"/>
    </row>
    <row r="75" spans="1:7" x14ac:dyDescent="0.2">
      <c r="A75" s="13"/>
      <c r="B75" s="1" t="s">
        <v>55</v>
      </c>
      <c r="C75" s="1">
        <f>ROUND(IF(Heizleistungsbedarf&lt;8,INDEX(Pellets_Invest_ref,1,3),IF(Heizleistungsbedarf&lt;29,INDEX(Pellets_Invest_ref,2,3),IF(Heizleistungsbedarf&lt;69,INDEX(Pellets_Invest_ref,3,3),IF(Heizleistungsbedarf&lt;191,INDEX(Pellets_Invest_ref,4,3),IF(Heizleistungsbedarf&gt;190,INDEX(Pellets_Invest_ref,5,3)))))),-3)</f>
        <v>35000</v>
      </c>
      <c r="D75" s="1">
        <f>ROUND(IF(Heizleistungsbedarf&lt;8,INDEX(Pellets_Invest_ref,1,4),IF(Heizleistungsbedarf&lt;29,INDEX(Pellets_Invest_ref,2,4),IF(Heizleistungsbedarf&lt;69,INDEX(Pellets_Invest_ref,3,4),IF(Heizleistungsbedarf&lt;191,INDEX(Pellets_Invest_ref,4,4),IF(Heizleistungsbedarf&gt;190,INDEX(Pellets_Invest_ref,5,4)))))),-3)</f>
        <v>2000</v>
      </c>
      <c r="E75" s="1">
        <f>ROUND(IF(Heizleistungsbedarf&lt;8,INDEX(Pellets_Invest_ref,1,5),IF(Heizleistungsbedarf&lt;29,INDEX(Pellets_Invest_ref,2,5),IF(Heizleistungsbedarf&lt;69,INDEX(Pellets_Invest_ref,3,5),IF(Heizleistungsbedarf&lt;191,INDEX(Pellets_Invest_ref,4,5),IF(Heizleistungsbedarf&gt;190,INDEX(Pellets_Invest_ref,5,5)))))),-3)</f>
        <v>17000</v>
      </c>
      <c r="F75" s="1">
        <v>0</v>
      </c>
      <c r="G75" s="1"/>
    </row>
    <row r="76" spans="1:7" x14ac:dyDescent="0.2">
      <c r="A76" s="13"/>
      <c r="B76" s="1" t="s">
        <v>56</v>
      </c>
      <c r="C76" s="1" t="e">
        <f>ROUND(IF(Heizleistungsbedarf&lt;8,INDEX(Schnitzel_Invest_ref,1,3),IF(Heizleistungsbedarf&lt;29,INDEX(Schnitzel_Invest_ref,2,3),IF(Heizleistungsbedarf&lt;69,INDEX(Schnitzel_Invest_ref,3,3),IF(Heizleistungsbedarf&lt;191,INDEX(Schnitzel_Invest_ref,4,3),IF(Heizleistungsbedarf&gt;190,INDEX(Schnitzel_Invest_ref,5,3)))))),-3)</f>
        <v>#VALUE!</v>
      </c>
      <c r="D76" s="1" t="e">
        <f>ROUND(IF(Heizleistungsbedarf&lt;8,INDEX(Schnitzel_Invest_ref,1,4),IF(Heizleistungsbedarf&lt;29,INDEX(Schnitzel_Invest_ref,2,4),IF(Heizleistungsbedarf&lt;69,INDEX(Schnitzel_Invest_ref,3,4),IF(Heizleistungsbedarf&lt;191,INDEX(Schnitzel_Invest_ref,4,4),IF(Heizleistungsbedarf&gt;190,INDEX(Schnitzel_Invest_ref,5,4)))))),-3)</f>
        <v>#VALUE!</v>
      </c>
      <c r="E76" s="1" t="e">
        <f>ROUND(IF(Heizleistungsbedarf&lt;8,INDEX(Schnitzel_Invest_ref,1,5),IF(Heizleistungsbedarf&lt;29,INDEX(Schnitzel_Invest_ref,2,5),IF(Heizleistungsbedarf&lt;69,INDEX(Schnitzel_Invest_ref,3,5),IF(Heizleistungsbedarf&lt;191,INDEX(Schnitzel_Invest_ref,4,5),IF(Heizleistungsbedarf&gt;190,INDEX(Schnitzel_Invest_ref,5,5)))))),-3)</f>
        <v>#VALUE!</v>
      </c>
      <c r="F76" s="1">
        <v>0</v>
      </c>
      <c r="G76" s="1"/>
    </row>
    <row r="77" spans="1:7" x14ac:dyDescent="0.2">
      <c r="A77" s="13"/>
      <c r="B77" s="1" t="s">
        <v>460</v>
      </c>
      <c r="C77" s="1">
        <f>ROUND(IF(Heizleistungsbedarf&lt;8,INDEX(Stückholz_Invest_ref,1,3),IF(Heizleistungsbedarf&lt;29,INDEX(Stückholz_Invest_ref,2,3),IF(Heizleistungsbedarf&lt;69,INDEX(Stückholz_Invest_ref,3,3),IF(Heizleistungsbedarf&lt;191,INDEX(Stückholz_Invest_ref,4,3),IF(Heizleistungsbedarf&gt;190,INDEX(Stückholz_Invest_ref,5,3)))))),-3)</f>
        <v>35000</v>
      </c>
      <c r="D77" s="1">
        <f>ROUND(IF(Heizleistungsbedarf&lt;8,INDEX(Stückholz_Invest_ref,1,4),IF(Heizleistungsbedarf&lt;29,INDEX(Stückholz_Invest_ref,2,4),IF(Heizleistungsbedarf&lt;69,INDEX(Stückholz_Invest_ref,3,4),IF(Heizleistungsbedarf&lt;191,INDEX(Stückholz_Invest_ref,4,4),IF(Heizleistungsbedarf&gt;190,INDEX(Stückholz_Invest_ref,5,4)))))),-3)</f>
        <v>2000</v>
      </c>
      <c r="E77" s="1">
        <f>ROUND(IF(Heizleistungsbedarf&lt;8,INDEX(Stückholz_Invest_ref,1,5),IF(Heizleistungsbedarf&lt;29,INDEX(Stückholz_Invest_ref,2,5),IF(Heizleistungsbedarf&lt;69,INDEX(Stückholz_Invest_ref,3,5),IF(Heizleistungsbedarf&lt;191,INDEX(Stückholz_Invest_ref,4,5),IF(Heizleistungsbedarf&gt;190,INDEX(Stückholz_Invest_ref,5,5)))))),-3)</f>
        <v>17000</v>
      </c>
      <c r="F77" s="1">
        <v>0</v>
      </c>
      <c r="G77" s="1"/>
    </row>
    <row r="78" spans="1:7" x14ac:dyDescent="0.2">
      <c r="A78" s="13"/>
      <c r="B78" s="1" t="s">
        <v>29</v>
      </c>
      <c r="C78" s="1">
        <f>ROUND(IF(Heizleistungsbedarf&lt;8,INDEX(Oelheizung_Invest_ref,1,3),IF(Heizleistungsbedarf&lt;29,INDEX(Oelheizung_Invest_ref,2,3),IF(Heizleistungsbedarf&lt;69,INDEX(Oelheizung_Invest_ref,3,3),IF(Heizleistungsbedarf&lt;191,INDEX(Oelheizung_Invest_ref,4,3),IF(Heizleistungsbedarf&gt;190,INDEX(Oelheizung_Invest_ref,5,3)))))),-3)</f>
        <v>36000</v>
      </c>
      <c r="D78" s="1">
        <f>ROUND(IF(Heizleistungsbedarf&lt;8,INDEX(Oelheizung_Invest_ref,1,4),IF(Heizleistungsbedarf&lt;29,INDEX(Oelheizung_Invest_ref,2,4),IF(Heizleistungsbedarf&lt;69,INDEX(Oelheizung_Invest_ref,3,4),IF(Heizleistungsbedarf&lt;191,INDEX(Oelheizung_Invest_ref,4,4),IF(Heizleistungsbedarf&gt;190,INDEX(Oelheizung_Invest_ref,5,4)))))),-3)</f>
        <v>1000</v>
      </c>
      <c r="E78" s="1">
        <f>ROUND(IF(Heizleistungsbedarf&lt;8,INDEX(Oelheizung_Invest_ref,1,5),IF(Heizleistungsbedarf&lt;29,INDEX(Oelheizung_Invest_ref,2,5),IF(Heizleistungsbedarf&lt;69,INDEX(Oelheizung_Invest_ref,3,5),IF(Heizleistungsbedarf&lt;191,INDEX(Oelheizung_Invest_ref,4,5),IF(Heizleistungsbedarf&gt;190,INDEX(Oelheizung_Invest_ref,5,5)))))),-3)</f>
        <v>11000</v>
      </c>
      <c r="F78" s="1">
        <f>ROUND(IF(Heizleistungsbedarf&lt;8,INDEX(Oelheizung_Invest_ref,1,6),IF(Heizleistungsbedarf&lt;29,INDEX(Oelheizung_Invest_ref,2,6),IF(Heizleistungsbedarf&lt;69,INDEX(Oelheizung_Invest_ref,3,6),IF(Heizleistungsbedarf&lt;191,INDEX(Oelheizung_Invest_ref,4,6),IF(Heizleistungsbedarf&gt;190,INDEX(Oelheizung_Invest_ref,5,6)))))),-3)</f>
        <v>0</v>
      </c>
      <c r="G78" s="1"/>
    </row>
    <row r="79" spans="1:7" x14ac:dyDescent="0.2">
      <c r="A79" s="13"/>
      <c r="B79" s="1" t="s">
        <v>59</v>
      </c>
      <c r="C79" s="1">
        <f>ROUND(IF(Heizleistungsbedarf&lt;8,INDEX(Gasheizung_Invest_ref,1,3),IF(Heizleistungsbedarf&lt;29,INDEX(Gasheizung_Invest_ref,2,3),IF(Heizleistungsbedarf&lt;69,INDEX(Gasheizung_Invest_ref,3,3),IF(Heizleistungsbedarf&lt;191,INDEX(Gasheizung_Invest_ref,4,3),IF(Heizleistungsbedarf&gt;190,INDEX(Gasheizung_Invest_ref,5,3)))))),-3)</f>
        <v>26000</v>
      </c>
      <c r="D79" s="1">
        <f>ROUND(IF(Heizleistungsbedarf&lt;8,INDEX(Gasheizung_Invest_ref,1,4),IF(Heizleistungsbedarf&lt;29,INDEX(Gasheizung_Invest_ref,2,4),IF(Heizleistungsbedarf&lt;69,INDEX(Gasheizung_Invest_ref,3,4),IF(Heizleistungsbedarf&lt;191,INDEX(Gasheizung_Invest_ref,4,4),IF(Heizleistungsbedarf&gt;190,INDEX(Gasheizung_Invest_ref,5,4)))))),-3)</f>
        <v>1000</v>
      </c>
      <c r="E79" s="1">
        <f>ROUND(IF(Heizleistungsbedarf&lt;8,INDEX(Gasheizung_Invest_ref,1,5),IF(Heizleistungsbedarf&lt;29,INDEX(Gasheizung_Invest_ref,2,5),IF(Heizleistungsbedarf&lt;69,INDEX(Gasheizung_Invest_ref,3,5),IF(Heizleistungsbedarf&lt;191,INDEX(Gasheizung_Invest_ref,4,5),IF(Heizleistungsbedarf&gt;190,INDEX(Gasheizung_Invest_ref,5,5)))))),-3)</f>
        <v>9000</v>
      </c>
      <c r="F79" s="1">
        <f>ROUND(IF(Heizleistungsbedarf&lt;8,INDEX(Gasheizung_Invest_ref,1,6),IF(Heizleistungsbedarf&lt;29,INDEX(Gasheizung_Invest_ref,2,6),IF(Heizleistungsbedarf&lt;69,INDEX(Gasheizung_Invest_ref,3,6),IF(Heizleistungsbedarf&lt;191,INDEX(Gasheizung_Invest_ref,4,6),IF(Heizleistungsbedarf&gt;190,INDEX(Gasheizung_Invest_ref,5,6)))))),-3)</f>
        <v>0</v>
      </c>
      <c r="G79" s="1"/>
    </row>
    <row r="80" spans="1:7" x14ac:dyDescent="0.2">
      <c r="A80" s="13"/>
      <c r="B80" s="1" t="s">
        <v>60</v>
      </c>
      <c r="C80" s="175" t="e">
        <f>ROUND(IF(Heizleistungsbedarf&lt;8,INDEX(WPAbsropt_Invest_ref,1,3),IF(Heizleistungsbedarf&lt;29,INDEX(WPAbsropt_Invest_ref,2,3),IF(Heizleistungsbedarf&lt;69,INDEX(WPAbsropt_Invest_ref,3,3),IF(Heizleistungsbedarf&lt;191,INDEX(WPAbsropt_Invest_ref,4,3),IF(Heizleistungsbedarf&gt;190,INDEX(WPAbsropt_Invest_ref,5,3)))))),-3)</f>
        <v>#VALUE!</v>
      </c>
      <c r="D80" s="175" t="e">
        <f>ROUND(IF(Heizleistungsbedarf&lt;8,INDEX(WPAbsropt_Invest_ref,1,4),IF(Heizleistungsbedarf&lt;29,INDEX(WPAbsropt_Invest_ref,2,4),IF(Heizleistungsbedarf&lt;69,INDEX(WPAbsropt_Invest_ref,3,4),IF(Heizleistungsbedarf&lt;191,INDEX(WPAbsropt_Invest_ref,4,4),IF(Heizleistungsbedarf&gt;190,INDEX(WPAbsropt_Invest_ref,5,4)))))),-3)</f>
        <v>#VALUE!</v>
      </c>
      <c r="E80" s="175" t="e">
        <f>ROUND(IF(Heizleistungsbedarf&lt;8,INDEX(WPAbsropt_Invest_ref,1,5),IF(Heizleistungsbedarf&lt;29,INDEX(WPAbsropt_Invest_ref,2,5),IF(Heizleistungsbedarf&lt;69,INDEX(WPAbsropt_Invest_ref,3,5),IF(Heizleistungsbedarf&lt;191,INDEX(WPAbsropt_Invest_ref,4,5),IF(Heizleistungsbedarf&gt;190,INDEX(WPAbsropt_Invest_ref,5,5)))))),-3)</f>
        <v>#VALUE!</v>
      </c>
      <c r="F80" s="175" t="e">
        <f>ROUND(IF(Heizleistungsbedarf&lt;8,INDEX(WPAbsropt_Invest_ref,1,6),IF(Heizleistungsbedarf&lt;29,INDEX(WPAbsropt_Invest_ref,2,6),IF(Heizleistungsbedarf&lt;69,INDEX(WPAbsropt_Invest_ref,3,6),IF(Heizleistungsbedarf&lt;191,INDEX(WPAbsropt_Invest_ref,4,6),IF(Heizleistungsbedarf&gt;190,INDEX(WPAbsropt_Invest_ref,5,6)))))),-3)</f>
        <v>#VALUE!</v>
      </c>
      <c r="G80" s="1"/>
    </row>
    <row r="81" spans="1:12" x14ac:dyDescent="0.2">
      <c r="A81" s="13"/>
      <c r="B81" s="1" t="s">
        <v>61</v>
      </c>
      <c r="C81" s="175" t="e">
        <f>ROUND(IF(Heizleistungsbedarf&lt;8,INDEX(WPZeolyth_Invest_ref,1,3),IF(Heizleistungsbedarf&lt;29,INDEX(WPZeolyth_Invest_ref,2,3),IF(Heizleistungsbedarf&lt;69,INDEX(WPZeolyth_Invest_ref,3,3),IF(Heizleistungsbedarf&lt;191,INDEX(WPZeolyth_Invest_ref,4,3),IF(Heizleistungsbedarf&gt;190,INDEX(WPZeolyth_Invest_ref,5,3)))))),-3)</f>
        <v>#VALUE!</v>
      </c>
      <c r="D81" s="175" t="e">
        <f>ROUND(IF(Heizleistungsbedarf&lt;8,INDEX(WPZeolyth_Invest_ref,1,4),IF(Heizleistungsbedarf&lt;29,INDEX(WPZeolyth_Invest_ref,2,4),IF(Heizleistungsbedarf&lt;69,INDEX(WPZeolyth_Invest_ref,3,4),IF(Heizleistungsbedarf&lt;191,INDEX(WPZeolyth_Invest_ref,4,4),IF(Heizleistungsbedarf&gt;190,INDEX(WPZeolyth_Invest_ref,5,4)))))),-3)</f>
        <v>#VALUE!</v>
      </c>
      <c r="E81" s="175" t="e">
        <f>ROUND(IF(Heizleistungsbedarf&lt;8,INDEX(WPZeolyth_Invest_ref,1,5),IF(Heizleistungsbedarf&lt;29,INDEX(WPZeolyth_Invest_ref,2,5),IF(Heizleistungsbedarf&lt;69,INDEX(WPZeolyth_Invest_ref,3,5),IF(Heizleistungsbedarf&lt;191,INDEX(WPZeolyth_Invest_ref,4,5),IF(Heizleistungsbedarf&gt;190,INDEX(WPZeolyth_Invest_ref,5,5)))))),-3)</f>
        <v>#VALUE!</v>
      </c>
      <c r="F81" s="175" t="e">
        <f>ROUND(IF(Heizleistungsbedarf&lt;8,INDEX(WPZeolyth_Invest_ref,1,6),IF(Heizleistungsbedarf&lt;29,INDEX(WPZeolyth_Invest_ref,2,6),IF(Heizleistungsbedarf&lt;69,INDEX(WPZeolyth_Invest_ref,3,6),IF(Heizleistungsbedarf&lt;191,INDEX(WPZeolyth_Invest_ref,4,6),IF(Heizleistungsbedarf&gt;190,INDEX(WPZeolyth_Invest_ref,5,6)))))),-3)</f>
        <v>#VALUE!</v>
      </c>
      <c r="G81" s="1"/>
    </row>
    <row r="82" spans="1:12" x14ac:dyDescent="0.2">
      <c r="A82" s="13"/>
      <c r="B82" s="1"/>
      <c r="C82" s="1"/>
      <c r="D82" s="1"/>
      <c r="E82" s="1"/>
      <c r="F82" s="1"/>
      <c r="G82" s="1"/>
    </row>
    <row r="83" spans="1:12" s="22" customFormat="1" ht="12" customHeight="1" x14ac:dyDescent="0.2">
      <c r="A83" s="22">
        <v>3.5</v>
      </c>
      <c r="B83" s="2" t="s">
        <v>384</v>
      </c>
      <c r="C83" s="25" t="s">
        <v>601</v>
      </c>
      <c r="D83" s="25"/>
      <c r="E83" s="25"/>
      <c r="F83" s="25"/>
      <c r="G83" s="2"/>
      <c r="I83" s="25"/>
      <c r="K83" s="2"/>
      <c r="L83" s="25"/>
    </row>
    <row r="84" spans="1:12" x14ac:dyDescent="0.2">
      <c r="B84" s="1" t="s">
        <v>62</v>
      </c>
      <c r="C84" s="1">
        <f>IF(AND(Heizleistungsbedarf&lt;=70,Heizleistungsbedarf&lt;&gt;0),'3.5 Förderbeitrag (Kanton)'!B4+Heizleistungsbedarf*'3.5 Förderbeitrag (Kanton)'!C4,IF(AND(Heizleistungsbedarf&lt;=500,Heizleistungsbedarf&lt;&gt;0),'3.5 Förderbeitrag (Kanton)'!D4+Heizleistungsbedarf*'3.5 Förderbeitrag (Kanton)'!E4,'3.5 Förderbeitrag (Kanton)'!F4+Heizleistungsbedarf*'3.5 Förderbeitrag (Kanton)'!G4))</f>
        <v>18000</v>
      </c>
      <c r="D84" s="1"/>
      <c r="E84" s="1"/>
      <c r="F84" s="1"/>
      <c r="G84" s="1"/>
      <c r="I84" s="1"/>
      <c r="K84" s="1"/>
      <c r="L84" s="1"/>
    </row>
    <row r="85" spans="1:12" x14ac:dyDescent="0.2">
      <c r="B85" s="1" t="s">
        <v>249</v>
      </c>
      <c r="C85" s="1">
        <f>IF(AND(Heizleistungsbedarf&lt;=20,Heizleistungsbedarf&lt;&gt;0),'3.5 Förderbeitrag (Kanton)'!B6+Heizleistungsbedarf*'3.5 Förderbeitrag (Kanton)'!C6,IF(AND(Heizleistungsbedarf&lt;=70,Heizleistungsbedarf&lt;&gt;0),'3.5 Förderbeitrag (Kanton)'!D6+(Heizleistungsbedarf-20)*'3.5 Förderbeitrag (Kanton)'!E6,'3.5 Förderbeitrag (Kanton)'!F6+Heizleistungsbedarf*'3.5 Förderbeitrag (Kanton)'!G6))</f>
        <v>3200</v>
      </c>
      <c r="D85" s="1"/>
      <c r="E85" s="1" t="e">
        <f>ROUND(IF(Heizleistungsbedarf&lt;8,INDEX(WPWasser_Invest_ref,1,3),IF(Heizleistungsbedarf&lt;29,INDEX(WPWasser_Invest_ref,2,3),IF(Heizleistungsbedarf&lt;69,INDEX(WPWasser_Invest_ref,3,3),IF(Heizleistungsbedarf&lt;191,INDEX(WPWasser_Invest_ref,4,3),IF(Heizleistungsbedarf&gt;190,INDEX(WPWasser_Invest_ref,5,3)))))),-3)</f>
        <v>#VALUE!</v>
      </c>
      <c r="F85" s="1"/>
      <c r="G85" s="1"/>
      <c r="I85" s="1"/>
      <c r="K85" s="1"/>
      <c r="L85" s="1"/>
    </row>
    <row r="86" spans="1:12" x14ac:dyDescent="0.2">
      <c r="B86" s="1" t="s">
        <v>248</v>
      </c>
      <c r="C86" s="1">
        <f>IF(AND(Heizleistungsbedarf&lt;=20,Heizleistungsbedarf&lt;&gt;0),'3.5 Förderbeitrag (Kanton)'!B6+Heizleistungsbedarf*'3.5 Förderbeitrag (Kanton)'!C6,IF(AND(Heizleistungsbedarf&lt;=70,Heizleistungsbedarf&lt;&gt;0),'3.5 Förderbeitrag (Kanton)'!D6+(Heizleistungsbedarf-20)*'3.5 Förderbeitrag (Kanton)'!E6,'3.5 Förderbeitrag (Kanton)'!F6+Heizleistungsbedarf*'3.5 Förderbeitrag (Kanton)'!G6))</f>
        <v>3200</v>
      </c>
      <c r="D86" s="1"/>
      <c r="E86" s="1"/>
      <c r="F86" s="1"/>
      <c r="G86" s="1"/>
      <c r="I86" s="1"/>
      <c r="K86" s="1"/>
      <c r="L86" s="1"/>
    </row>
    <row r="87" spans="1:12" x14ac:dyDescent="0.2">
      <c r="B87" s="1" t="s">
        <v>57</v>
      </c>
      <c r="C87" s="1">
        <f>IF(AND(Heizleistungsbedarf&lt;=30,Heizleistungsbedarf&lt;&gt;0),'3.5 Förderbeitrag (Kanton)'!B8+Heizleistungsbedarf*'3.5 Förderbeitrag (Kanton)'!C8,IF(AND(Heizleistungsbedarf&lt;=70,Heizleistungsbedarf&lt;&gt;0),'3.5 Förderbeitrag (Kanton)'!D8+(Heizleistungsbedarf-30)*'3.5 Förderbeitrag (Kanton)'!E8,IF(AND(Heizleistungsbedarf&lt;=500,Heizleistungsbedarf&lt;&gt;0),'3.5 Förderbeitrag (Kanton)'!F8+Heizleistungsbedarf*'3.5 Förderbeitrag (Kanton)'!G8,'3.5 Förderbeitrag (Kanton)'!H8+Heizleistungsbedarf*'3.5 Förderbeitrag (Kanton)'!I8)))</f>
        <v>84800</v>
      </c>
      <c r="D87" s="1"/>
      <c r="E87" s="1"/>
      <c r="F87" s="1"/>
      <c r="G87" s="1"/>
      <c r="I87" s="1"/>
      <c r="K87" s="1"/>
      <c r="L87" s="1"/>
    </row>
    <row r="88" spans="1:12" x14ac:dyDescent="0.2">
      <c r="B88" s="1" t="s">
        <v>58</v>
      </c>
      <c r="C88" s="1">
        <f>IF(AND(Heizleistungsbedarf&lt;=30,Heizleistungsbedarf&lt;&gt;0),'3.5 Förderbeitrag (Kanton)'!B8+Heizleistungsbedarf*'3.5 Förderbeitrag (Kanton)'!C8,IF(AND(Heizleistungsbedarf&lt;=70,Heizleistungsbedarf&lt;&gt;0),'3.5 Förderbeitrag (Kanton)'!D8+(Heizleistungsbedarf-30)*'3.5 Förderbeitrag (Kanton)'!E8,IF(AND(Heizleistungsbedarf&lt;=500,Heizleistungsbedarf&lt;&gt;0),'3.5 Förderbeitrag (Kanton)'!F8+Heizleistungsbedarf*'3.5 Förderbeitrag (Kanton)'!G8,'3.5 Förderbeitrag (Kanton)'!H8+Heizleistungsbedarf*'3.5 Förderbeitrag (Kanton)'!I8)))</f>
        <v>84800</v>
      </c>
      <c r="D88" s="1"/>
      <c r="E88" s="1"/>
      <c r="F88" s="1"/>
      <c r="G88" s="1"/>
      <c r="I88" s="1"/>
      <c r="K88" s="1"/>
      <c r="L88" s="1"/>
    </row>
    <row r="89" spans="1:12" x14ac:dyDescent="0.2">
      <c r="B89" s="1" t="s">
        <v>55</v>
      </c>
      <c r="C89" s="1">
        <f>IF(AND(Heizleistungsbedarf&lt;=30,Heizleistungsbedarf&lt;&gt;0),'3.5 Förderbeitrag (Kanton)'!B10+Heizleistungsbedarf*'3.5 Förderbeitrag (Kanton)'!C10,IF(AND(Heizleistungsbedarf&lt;=70,Heizleistungsbedarf&lt;&gt;0),'3.5 Förderbeitrag (Kanton)'!D10+(Heizleistungsbedarf-30)*'3.5 Förderbeitrag (Kanton)'!E10,IF(AND(Heizleistungsbedarf&lt;=500,Heizleistungsbedarf&lt;&gt;0),'3.5 Förderbeitrag (Kanton)'!F10+Heizleistungsbedarf*'3.5 Förderbeitrag (Kanton)'!G10,'3.5 Förderbeitrag (Kanton)'!H10+Heizleistungsbedarf*'3.5 Förderbeitrag (Kanton)'!I10)))</f>
        <v>80000</v>
      </c>
      <c r="D89" s="1"/>
      <c r="E89" s="1"/>
      <c r="F89" s="1"/>
      <c r="G89" s="1"/>
      <c r="I89" s="1"/>
      <c r="K89" s="1"/>
      <c r="L89" s="1"/>
    </row>
    <row r="90" spans="1:12" x14ac:dyDescent="0.2">
      <c r="B90" s="1" t="s">
        <v>56</v>
      </c>
      <c r="C90" s="1">
        <f>IF(AND(Heizleistungsbedarf&lt;=30,Heizleistungsbedarf&lt;&gt;0),'3.5 Förderbeitrag (Kanton)'!B10+Heizleistungsbedarf*'3.5 Förderbeitrag (Kanton)'!C10,IF(AND(Heizleistungsbedarf&lt;=70,Heizleistungsbedarf&lt;&gt;0),'3.5 Förderbeitrag (Kanton)'!D10+(Heizleistungsbedarf-30)*'3.5 Förderbeitrag (Kanton)'!E10,IF(AND(Heizleistungsbedarf&lt;=500,Heizleistungsbedarf&lt;&gt;0),'3.5 Förderbeitrag (Kanton)'!F10+Heizleistungsbedarf*'3.5 Förderbeitrag (Kanton)'!G10,'3.5 Förderbeitrag (Kanton)'!H10+Heizleistungsbedarf*'3.5 Förderbeitrag (Kanton)'!I10)))</f>
        <v>80000</v>
      </c>
      <c r="D90" s="1"/>
      <c r="E90" s="1"/>
      <c r="F90" s="1"/>
      <c r="G90" s="1"/>
      <c r="I90" s="1"/>
      <c r="K90" s="1"/>
      <c r="L90" s="1"/>
    </row>
    <row r="91" spans="1:12" x14ac:dyDescent="0.2">
      <c r="B91" s="1" t="s">
        <v>460</v>
      </c>
      <c r="C91" s="293">
        <f>'3.5 Förderbeitrag (Kanton)'!B12</f>
        <v>4000</v>
      </c>
      <c r="D91" s="1"/>
      <c r="E91" s="1"/>
      <c r="F91" s="1"/>
      <c r="G91" s="1"/>
      <c r="I91" s="1"/>
      <c r="K91" s="1"/>
      <c r="L91" s="1"/>
    </row>
    <row r="92" spans="1:12" x14ac:dyDescent="0.2">
      <c r="D92" s="401"/>
      <c r="E92" s="401"/>
    </row>
    <row r="93" spans="1:12" ht="13.5" x14ac:dyDescent="0.2">
      <c r="A93" s="52">
        <v>5.0999999999999996</v>
      </c>
      <c r="B93" s="2" t="s">
        <v>220</v>
      </c>
      <c r="C93" s="154"/>
      <c r="D93" s="1"/>
      <c r="E93" s="1"/>
    </row>
    <row r="94" spans="1:12" x14ac:dyDescent="0.2">
      <c r="A94" s="52"/>
      <c r="B94" s="2"/>
      <c r="C94" s="1"/>
      <c r="D94" s="1"/>
      <c r="E94" s="1"/>
    </row>
    <row r="95" spans="1:12" x14ac:dyDescent="0.2">
      <c r="A95" s="51"/>
      <c r="B95" s="1" t="s">
        <v>62</v>
      </c>
      <c r="C95" s="1" t="e">
        <f>ROUND(IF(Heizleistungsbedarf="","",IF(Heizleistungsbedarf&lt;25,'5.1 Raumbedarf'!D9,IF(Heizleistungsbedarf&lt;50,'5.1 Raumbedarf'!D10,IF(Heizleistungsbedarf&lt;70,'5.1 Raumbedarf'!D11,IF(Heizleistungsbedarf&lt;100,'5.1 Raumbedarf'!D12,IF(Heizleistungsbedarf&lt;250,'5.1 Raumbedarf'!D13,IF(Heizleistungsbedarf&lt;500,'5.1 Raumbedarf'!D14,IF(Heizleistungsbedarf&gt;=500,'5.1 Raumbedarf'!D15,0)))))))),0)</f>
        <v>#VALUE!</v>
      </c>
      <c r="D95" s="27"/>
      <c r="F95" s="1"/>
    </row>
    <row r="96" spans="1:12" x14ac:dyDescent="0.2">
      <c r="A96" s="51"/>
      <c r="B96" s="1" t="s">
        <v>249</v>
      </c>
      <c r="C96" s="1" t="e">
        <f>ROUND(IF(Heizleistungsbedarf="","",IF(Heizleistungsbedarf&lt;25,'5.1 Raumbedarf'!D9,IF(Heizleistungsbedarf&lt;50,'5.1 Raumbedarf'!D10,IF(Heizleistungsbedarf&lt;70,'5.1 Raumbedarf'!D11,IF(Heizleistungsbedarf&lt;100,'5.1 Raumbedarf'!D12,IF(Heizleistungsbedarf&lt;250,'5.1 Raumbedarf'!D13,IF(Heizleistungsbedarf&lt;500,'5.1 Raumbedarf'!D14,IF(Heizleistungsbedarf&gt;=500,'5.1 Raumbedarf'!D15,0)))))))),0)</f>
        <v>#VALUE!</v>
      </c>
      <c r="D96" s="27"/>
      <c r="F96" s="1"/>
    </row>
    <row r="97" spans="1:8" x14ac:dyDescent="0.2">
      <c r="A97" s="51"/>
      <c r="B97" s="1" t="s">
        <v>248</v>
      </c>
      <c r="C97" s="1" t="e">
        <f>ROUND(IF(Heizleistungsbedarf="","",IF(Heizleistungsbedarf&lt;25,'5.1 Raumbedarf'!D19,IF(Heizleistungsbedarf&lt;50,'5.1 Raumbedarf'!D20,IF(Heizleistungsbedarf&lt;70,'5.1 Raumbedarf'!D21,IF(Heizleistungsbedarf&lt;100,'5.1 Raumbedarf'!D22,IF(Heizleistungsbedarf&lt;250,'5.1 Raumbedarf'!D23,IF(Heizleistungsbedarf&lt;500,'5.1 Raumbedarf'!D24,IF(Heizleistungsbedarf&gt;=500,'5.1 Raumbedarf'!D25,0)))))))),0)</f>
        <v>#VALUE!</v>
      </c>
      <c r="D97" s="27"/>
    </row>
    <row r="98" spans="1:8" x14ac:dyDescent="0.2">
      <c r="A98" s="51"/>
      <c r="B98" s="1" t="s">
        <v>57</v>
      </c>
      <c r="C98" s="1" t="e">
        <f>ROUND(IF(Heizleistungsbedarf="","",IF(Heizleistungsbedarf&lt;25,'5.1 Raumbedarf'!D9,IF(Heizleistungsbedarf&lt;50,'5.1 Raumbedarf'!D10,IF(Heizleistungsbedarf&lt;70,'5.1 Raumbedarf'!D11,IF(Heizleistungsbedarf&lt;100,'5.1 Raumbedarf'!D12,IF(Heizleistungsbedarf&lt;250,'5.1 Raumbedarf'!D13,IF(Heizleistungsbedarf&lt;500,'5.1 Raumbedarf'!D14,IF(Heizleistungsbedarf&gt;=500,'5.1 Raumbedarf'!D15,0)))))))),0)</f>
        <v>#VALUE!</v>
      </c>
      <c r="D98" s="27"/>
    </row>
    <row r="99" spans="1:8" x14ac:dyDescent="0.2">
      <c r="A99" s="51"/>
      <c r="B99" s="1" t="s">
        <v>58</v>
      </c>
      <c r="C99" s="1" t="e">
        <f>ROUND(IF(Heizleistungsbedarf="","",IF(Heizleistungsbedarf&lt;25,'5.1 Raumbedarf'!D9,IF(Heizleistungsbedarf&lt;50,'5.1 Raumbedarf'!D10,IF(Heizleistungsbedarf&lt;70,'5.1 Raumbedarf'!D11,IF(Heizleistungsbedarf&lt;100,'5.1 Raumbedarf'!D12,IF(Heizleistungsbedarf&lt;250,'5.1 Raumbedarf'!D13,IF(Heizleistungsbedarf&lt;500,'5.1 Raumbedarf'!D14,IF(Heizleistungsbedarf&gt;=500,'5.1 Raumbedarf'!D15,0)))))))),0)</f>
        <v>#VALUE!</v>
      </c>
      <c r="D99" s="27"/>
      <c r="E99" s="1"/>
    </row>
    <row r="100" spans="1:8" x14ac:dyDescent="0.2">
      <c r="A100" s="51"/>
      <c r="B100" s="1" t="s">
        <v>55</v>
      </c>
      <c r="C100" s="175" t="e">
        <f>ROUND('5.1 Raumbedarf'!D29,0)</f>
        <v>#VALUE!</v>
      </c>
      <c r="D100" s="27"/>
      <c r="E100" s="1"/>
    </row>
    <row r="101" spans="1:8" x14ac:dyDescent="0.2">
      <c r="A101" s="51"/>
      <c r="B101" s="1" t="s">
        <v>56</v>
      </c>
      <c r="C101" s="175" t="e">
        <f>ROUND('5.1 Raumbedarf'!D33,0)</f>
        <v>#VALUE!</v>
      </c>
      <c r="D101" s="27"/>
      <c r="E101" s="1"/>
    </row>
    <row r="102" spans="1:8" x14ac:dyDescent="0.2">
      <c r="A102" s="51"/>
      <c r="B102" s="1" t="s">
        <v>460</v>
      </c>
      <c r="C102" s="175" t="e">
        <f>ROUND('5.1 Raumbedarf'!D37,0)</f>
        <v>#VALUE!</v>
      </c>
      <c r="D102" s="27"/>
      <c r="E102" s="1"/>
    </row>
    <row r="103" spans="1:8" s="1" customFormat="1" x14ac:dyDescent="0.2">
      <c r="A103" s="51"/>
      <c r="B103" s="1" t="s">
        <v>29</v>
      </c>
      <c r="C103" s="1" t="e">
        <f>ROUND(IF(Heizleistungsbedarf="","",IF(Heizleistungsbedarf&lt;25,'5.1 Raumbedarf'!E41,IF(Heizleistungsbedarf&lt;50,'5.1 Raumbedarf'!E42,IF(Heizleistungsbedarf&lt;70,'5.1 Raumbedarf'!E43,IF(Heizleistungsbedarf&lt;100,'5.1 Raumbedarf'!E44,IF(Heizleistungsbedarf&lt;250,'5.1 Raumbedarf'!E45,IF(Heizleistungsbedarf&lt;500,'5.1 Raumbedarf'!E46,IF(Heizleistungsbedarf&gt;=500,'5.1 Raumbedarf'!E47,0)))))))),0)</f>
        <v>#VALUE!</v>
      </c>
      <c r="D103" s="27"/>
      <c r="F103" s="3"/>
    </row>
    <row r="104" spans="1:8" s="1" customFormat="1" x14ac:dyDescent="0.2">
      <c r="A104" s="51"/>
      <c r="B104" s="1" t="s">
        <v>59</v>
      </c>
      <c r="C104" s="1" t="e">
        <f>ROUND(IF(Heizleistungsbedarf="","",IF(Heizleistungsbedarf&lt;25,'5.1 Raumbedarf'!D52,IF(Heizleistungsbedarf&lt;50,'5.1 Raumbedarf'!D53,IF(Heizleistungsbedarf&lt;70,'5.1 Raumbedarf'!D54,IF(Heizleistungsbedarf&lt;100,'5.1 Raumbedarf'!D55,IF(Heizleistungsbedarf&lt;250,'5.1 Raumbedarf'!D56,IF(Heizleistungsbedarf&lt;500,'5.1 Raumbedarf'!D57,IF(Heizleistungsbedarf&gt;=500,'5.1 Raumbedarf'!D58,0)))))))),0)</f>
        <v>#VALUE!</v>
      </c>
      <c r="D104" s="27"/>
      <c r="E104" s="3"/>
      <c r="F104" s="154"/>
    </row>
    <row r="105" spans="1:8" hidden="1" x14ac:dyDescent="0.2">
      <c r="A105" s="51"/>
      <c r="B105" s="1" t="s">
        <v>60</v>
      </c>
      <c r="C105" s="1"/>
      <c r="D105" s="27"/>
      <c r="E105" s="1"/>
    </row>
    <row r="106" spans="1:8" hidden="1" x14ac:dyDescent="0.2">
      <c r="A106" s="51"/>
      <c r="B106" s="1" t="s">
        <v>61</v>
      </c>
      <c r="C106" s="1"/>
      <c r="D106" s="27"/>
      <c r="E106" s="1"/>
    </row>
    <row r="107" spans="1:8" x14ac:dyDescent="0.2">
      <c r="A107" s="13"/>
    </row>
    <row r="108" spans="1:8" x14ac:dyDescent="0.2">
      <c r="A108" s="21">
        <v>5.2</v>
      </c>
      <c r="B108" s="22" t="s">
        <v>63</v>
      </c>
      <c r="C108" s="3">
        <v>300</v>
      </c>
    </row>
    <row r="109" spans="1:8" x14ac:dyDescent="0.2">
      <c r="A109" s="13"/>
    </row>
    <row r="110" spans="1:8" x14ac:dyDescent="0.2">
      <c r="A110" s="21">
        <v>7.1</v>
      </c>
      <c r="B110" s="22" t="s">
        <v>64</v>
      </c>
      <c r="C110" s="3">
        <v>20</v>
      </c>
      <c r="D110" s="1">
        <v>30</v>
      </c>
      <c r="E110" s="3">
        <v>40</v>
      </c>
      <c r="F110" s="1">
        <v>50</v>
      </c>
      <c r="G110" s="1"/>
    </row>
    <row r="111" spans="1:8" x14ac:dyDescent="0.2">
      <c r="A111" s="21"/>
      <c r="B111" s="22" t="s">
        <v>221</v>
      </c>
      <c r="C111" s="35">
        <f>PMT($C$114,C110,-1)</f>
        <v>5.6820389631804392E-2</v>
      </c>
      <c r="D111" s="35">
        <f>PMT($C$114,D110,-1)</f>
        <v>4.0178543433263728E-2</v>
      </c>
      <c r="E111" s="35">
        <f>PMT($C$114,E110,-1)</f>
        <v>3.1921413908580824E-2</v>
      </c>
      <c r="F111" s="35">
        <f>PMT($C$114,F110,-1)</f>
        <v>2.7017625074134778E-2</v>
      </c>
      <c r="G111" s="1"/>
      <c r="H111" s="53"/>
    </row>
    <row r="112" spans="1:8" x14ac:dyDescent="0.2">
      <c r="A112" s="21"/>
      <c r="B112" s="22" t="s">
        <v>65</v>
      </c>
      <c r="C112" s="27">
        <f>1/PMT($C$114,C110,-1)</f>
        <v>17.599316134225599</v>
      </c>
      <c r="D112" s="27">
        <f>1/PMT($C$114,D110,-1)</f>
        <v>24.888906230784418</v>
      </c>
      <c r="E112" s="27">
        <f>1/PMT($C$114,E110,-1)</f>
        <v>31.326933163546027</v>
      </c>
      <c r="F112" s="27">
        <f>1/PMT($C$114,F110,-1)</f>
        <v>37.012875752626613</v>
      </c>
      <c r="G112" s="1"/>
    </row>
    <row r="113" spans="1:13" x14ac:dyDescent="0.2">
      <c r="A113" s="13"/>
      <c r="D113" s="6"/>
      <c r="E113" s="6"/>
      <c r="F113" s="6"/>
      <c r="G113" s="6"/>
    </row>
    <row r="114" spans="1:13" x14ac:dyDescent="0.2">
      <c r="A114" s="21">
        <v>7.2</v>
      </c>
      <c r="B114" s="22" t="s">
        <v>66</v>
      </c>
      <c r="C114" s="4">
        <f>'7.2 Kalkulationszinssatz'!C3</f>
        <v>1.2500000000000001E-2</v>
      </c>
      <c r="D114" s="6"/>
      <c r="E114" s="6"/>
      <c r="F114" s="6"/>
      <c r="G114" s="6"/>
    </row>
    <row r="115" spans="1:13" x14ac:dyDescent="0.2">
      <c r="A115" s="13"/>
      <c r="D115" s="6"/>
      <c r="E115" s="6"/>
      <c r="F115" s="6"/>
      <c r="G115" s="6"/>
    </row>
    <row r="116" spans="1:13" x14ac:dyDescent="0.2">
      <c r="A116" s="21">
        <v>7.3</v>
      </c>
      <c r="B116" s="22" t="s">
        <v>68</v>
      </c>
      <c r="C116" s="4">
        <v>0</v>
      </c>
      <c r="D116" s="6"/>
      <c r="E116" s="6"/>
      <c r="F116" s="6"/>
      <c r="G116" s="6"/>
    </row>
    <row r="117" spans="1:13" x14ac:dyDescent="0.2">
      <c r="A117" s="13"/>
      <c r="D117" s="6"/>
      <c r="E117" s="6"/>
      <c r="F117" s="6"/>
      <c r="G117" s="6"/>
    </row>
    <row r="118" spans="1:13" x14ac:dyDescent="0.2">
      <c r="A118" s="21">
        <v>7.4</v>
      </c>
      <c r="B118" s="24" t="s">
        <v>69</v>
      </c>
      <c r="C118" s="4">
        <v>0</v>
      </c>
      <c r="D118" s="6"/>
      <c r="E118" s="6"/>
      <c r="F118" s="6"/>
      <c r="G118" s="6"/>
    </row>
    <row r="119" spans="1:13" x14ac:dyDescent="0.2">
      <c r="A119" s="13"/>
      <c r="D119" s="6"/>
      <c r="E119" s="6"/>
      <c r="F119" s="6"/>
      <c r="G119" s="6"/>
    </row>
    <row r="120" spans="1:13" x14ac:dyDescent="0.2">
      <c r="A120" s="21">
        <v>8.1</v>
      </c>
      <c r="B120" s="22" t="s">
        <v>64</v>
      </c>
      <c r="C120" s="3">
        <v>20</v>
      </c>
      <c r="D120" s="1">
        <v>30</v>
      </c>
      <c r="E120" s="3">
        <v>40</v>
      </c>
      <c r="F120" s="1">
        <v>50</v>
      </c>
      <c r="G120" s="6"/>
    </row>
    <row r="121" spans="1:13" x14ac:dyDescent="0.2">
      <c r="A121" s="21"/>
      <c r="B121" s="22" t="s">
        <v>70</v>
      </c>
      <c r="C121" s="5">
        <f>IF($C$114&lt;&gt;$C$116,1/($C$114-$C$116)*(1-((1+$C$116)/(1+$C$114))^C110),C110/(1+$C$114))</f>
        <v>17.599316134225489</v>
      </c>
      <c r="D121" s="27">
        <f>IF($C$114&lt;&gt;$C$116,1/($C$114-$C$116)*(1-((1+$C$116)/(1+$C$114))^D110),D110/(1+$C$114))</f>
        <v>24.888906230784276</v>
      </c>
      <c r="E121" s="27">
        <f>IF($C$114&lt;&gt;$C$116,1/($C$114-$C$116)*(1-((1+$C$116)/(1+$C$114))^E110),E110/(1+$C$114))</f>
        <v>31.32693316354586</v>
      </c>
      <c r="F121" s="27">
        <f>IF($C$114&lt;&gt;$C$116,1/($C$114-$C$116)*(1-((1+$C$116)/(1+$C$114))^F110),F110/(1+$C$114))</f>
        <v>37.012875752626428</v>
      </c>
      <c r="G121" s="7"/>
    </row>
    <row r="122" spans="1:13" x14ac:dyDescent="0.2">
      <c r="A122" s="21"/>
      <c r="B122" s="22" t="s">
        <v>70</v>
      </c>
      <c r="C122" s="5">
        <f>SUM(C121/C112)</f>
        <v>0.99999999999999378</v>
      </c>
      <c r="D122" s="27">
        <f>SUM(D121/D112)</f>
        <v>0.99999999999999434</v>
      </c>
      <c r="E122" s="27">
        <f>SUM(E121/E112)</f>
        <v>0.99999999999999467</v>
      </c>
      <c r="F122" s="27">
        <f>SUM(F121/F112)</f>
        <v>0.999999999999995</v>
      </c>
      <c r="G122" s="7"/>
    </row>
    <row r="123" spans="1:13" x14ac:dyDescent="0.2">
      <c r="A123" s="13"/>
      <c r="D123" s="1"/>
      <c r="F123" s="1"/>
      <c r="G123" s="6"/>
    </row>
    <row r="124" spans="1:13" x14ac:dyDescent="0.2">
      <c r="A124" s="23">
        <v>8.1999999999999993</v>
      </c>
      <c r="B124" s="24" t="s">
        <v>64</v>
      </c>
      <c r="C124" s="3">
        <v>20</v>
      </c>
      <c r="D124" s="1">
        <v>30</v>
      </c>
      <c r="E124" s="3">
        <v>40</v>
      </c>
      <c r="F124" s="1">
        <v>50</v>
      </c>
      <c r="G124" s="6"/>
    </row>
    <row r="125" spans="1:13" x14ac:dyDescent="0.2">
      <c r="A125" s="23"/>
      <c r="B125" s="24" t="s">
        <v>71</v>
      </c>
      <c r="C125" s="5">
        <f>IF($C$114&lt;&gt;$C$118,1/($C$114-$C$118)*(1-((1+$C$118)/(1+$C$114))^C110),C110/(1+$C$114))</f>
        <v>17.599316134225489</v>
      </c>
      <c r="D125" s="27">
        <f>IF($C$114&lt;&gt;$C$118,1/($C$114-$C$118)*(1-((1+$C$118)/(1+$C$114))^D110),D110/(1+$C$114))</f>
        <v>24.888906230784276</v>
      </c>
      <c r="E125" s="27">
        <f>IF($C$114&lt;&gt;$C$118,1/($C$114-$C$118)*(1-((1+$C$118)/(1+$C$114))^E110),E110/(1+$C$114))</f>
        <v>31.32693316354586</v>
      </c>
      <c r="F125" s="27">
        <f>IF($C$114&lt;&gt;$C$118,1/($C$114-$C$118)*(1-((1+$C$118)/(1+$C$114))^F110),F110/(1+$C$114))</f>
        <v>37.012875752626428</v>
      </c>
      <c r="G125" s="7"/>
    </row>
    <row r="126" spans="1:13" x14ac:dyDescent="0.2">
      <c r="A126" s="23"/>
      <c r="B126" s="24" t="s">
        <v>71</v>
      </c>
      <c r="C126" s="5">
        <f>SUM(C125/C112)</f>
        <v>0.99999999999999378</v>
      </c>
      <c r="D126" s="27">
        <f>SUM(D125/D112)</f>
        <v>0.99999999999999434</v>
      </c>
      <c r="E126" s="27">
        <f>SUM(E125/E112)</f>
        <v>0.99999999999999467</v>
      </c>
      <c r="F126" s="27">
        <f>SUM(F125/F112)</f>
        <v>0.999999999999995</v>
      </c>
      <c r="G126" s="7"/>
    </row>
    <row r="127" spans="1:13" s="22" customFormat="1" x14ac:dyDescent="0.2">
      <c r="A127" s="13"/>
      <c r="B127" s="3"/>
      <c r="C127" s="3"/>
      <c r="D127" s="3"/>
      <c r="E127" s="3"/>
      <c r="F127" s="3"/>
      <c r="G127" s="3"/>
      <c r="H127" s="3"/>
      <c r="I127" s="3"/>
      <c r="J127" s="3"/>
      <c r="K127" s="3"/>
      <c r="L127" s="3"/>
      <c r="M127" s="3"/>
    </row>
    <row r="128" spans="1:13" x14ac:dyDescent="0.2">
      <c r="A128" s="21">
        <v>8.3000000000000007</v>
      </c>
      <c r="B128" s="22" t="s">
        <v>48</v>
      </c>
      <c r="C128" s="26"/>
      <c r="D128" s="26"/>
      <c r="E128" s="26"/>
      <c r="F128" s="26"/>
      <c r="G128" s="26"/>
      <c r="H128" s="26"/>
      <c r="I128" s="26"/>
      <c r="J128" s="22"/>
      <c r="K128" s="22"/>
      <c r="L128" s="22"/>
      <c r="M128" s="22"/>
    </row>
    <row r="129" spans="1:9" x14ac:dyDescent="0.2">
      <c r="A129" s="13"/>
      <c r="B129" s="3" t="s">
        <v>94</v>
      </c>
      <c r="C129" s="5" t="str">
        <f>Berechnung!D34</f>
        <v xml:space="preserve"> </v>
      </c>
      <c r="D129" s="5">
        <f>Berechnung!F34</f>
        <v>43800</v>
      </c>
      <c r="E129" s="5">
        <f>Berechnung!H34</f>
        <v>-36800</v>
      </c>
      <c r="F129" s="5">
        <f>Berechnung!J34</f>
        <v>-26000</v>
      </c>
      <c r="G129" s="5">
        <f>Berechnung!L34</f>
        <v>48000</v>
      </c>
      <c r="I129" s="5"/>
    </row>
    <row r="130" spans="1:9" x14ac:dyDescent="0.2">
      <c r="A130" s="13"/>
      <c r="B130" s="3" t="s">
        <v>93</v>
      </c>
      <c r="C130" s="5" t="e">
        <f>IF(Berechnung!E36&lt;&gt;"",Berechnung!E36,Berechnung!D36)*1000</f>
        <v>#VALUE!</v>
      </c>
      <c r="D130" s="5">
        <f>IF(Berechnung!G36&lt;&gt;"",Berechnung!G36,Berechnung!F36)*1000</f>
        <v>0</v>
      </c>
      <c r="E130" s="5">
        <f>IF(Berechnung!I36&lt;&gt;"",Berechnung!I36,Berechnung!H36)*1000</f>
        <v>14000</v>
      </c>
      <c r="F130" s="5">
        <f>IF(Berechnung!K36&lt;&gt;"",Berechnung!K36,Berechnung!J36)*1000</f>
        <v>0</v>
      </c>
      <c r="G130" s="5">
        <f>IF(Berechnung!M36&lt;&gt;"",Berechnung!M36,Berechnung!L36)*1000</f>
        <v>0</v>
      </c>
      <c r="I130" s="5"/>
    </row>
    <row r="131" spans="1:9" x14ac:dyDescent="0.2">
      <c r="A131" s="13"/>
      <c r="B131" s="3" t="s">
        <v>496</v>
      </c>
      <c r="C131" s="5">
        <f>Berechnung!E37*1000</f>
        <v>0</v>
      </c>
      <c r="D131" s="5">
        <f>Berechnung!G37*1000</f>
        <v>0</v>
      </c>
      <c r="E131" s="5">
        <f>Berechnung!I37*1000</f>
        <v>0</v>
      </c>
      <c r="F131" s="5">
        <f>Berechnung!K37*1000</f>
        <v>0</v>
      </c>
      <c r="G131" s="5">
        <f>Berechnung!M37*1000</f>
        <v>0</v>
      </c>
      <c r="I131" s="5"/>
    </row>
    <row r="132" spans="1:9" x14ac:dyDescent="0.2">
      <c r="A132" s="13"/>
      <c r="B132" s="10" t="s">
        <v>72</v>
      </c>
      <c r="C132" s="11" t="str">
        <f>Berechnung!D41</f>
        <v xml:space="preserve"> </v>
      </c>
      <c r="D132" s="11" t="str">
        <f>Berechnung!F41</f>
        <v xml:space="preserve"> </v>
      </c>
      <c r="E132" s="11" t="str">
        <f>Berechnung!H41</f>
        <v xml:space="preserve"> </v>
      </c>
      <c r="F132" s="11" t="str">
        <f>Berechnung!J41</f>
        <v xml:space="preserve"> </v>
      </c>
      <c r="G132" s="11" t="str">
        <f>Berechnung!L41</f>
        <v xml:space="preserve"> </v>
      </c>
      <c r="I132" s="5"/>
    </row>
    <row r="133" spans="1:9" x14ac:dyDescent="0.2">
      <c r="A133" s="13"/>
      <c r="B133" s="3" t="s">
        <v>95</v>
      </c>
      <c r="C133" s="5" t="str">
        <f>IF(ISERROR(C129*$C$111)," ",C129*$C$111)</f>
        <v xml:space="preserve"> </v>
      </c>
      <c r="D133" s="5">
        <f>IF(ISERROR(D129*$C$111)," ",D129*$C$111)</f>
        <v>2488.7330658730325</v>
      </c>
      <c r="E133" s="5">
        <f>IF(ISERROR(E129*$C$111)," ",E129*$C$111)</f>
        <v>-2090.9903384504019</v>
      </c>
      <c r="F133" s="5">
        <f>IF(ISERROR(F129*$C$111)," ",F129*$C$111)</f>
        <v>-1477.3301304269141</v>
      </c>
      <c r="G133" s="5">
        <f>IF(ISERROR(G129*$C$111)," ",G129*$C$111)</f>
        <v>2727.3787023266109</v>
      </c>
      <c r="I133" s="5"/>
    </row>
    <row r="134" spans="1:9" x14ac:dyDescent="0.2">
      <c r="A134" s="13"/>
      <c r="B134" s="3" t="s">
        <v>495</v>
      </c>
      <c r="C134" s="5" t="str">
        <f>IF(ISERROR(C130*$E$111)," ",C130*$E$111)</f>
        <v xml:space="preserve"> </v>
      </c>
      <c r="D134" s="5">
        <f>IF(ISERROR(D130*$E$111)," ",D130*$E$111)</f>
        <v>0</v>
      </c>
      <c r="E134" s="5">
        <f>IF(ISERROR(E130*$E$111)," ",E130*$E$111)</f>
        <v>446.89979472013152</v>
      </c>
      <c r="F134" s="5">
        <f>IF(ISERROR(F130*$E$111)," ",F130*$E$111)</f>
        <v>0</v>
      </c>
      <c r="G134" s="5">
        <f>IF(ISERROR(G130*$E$111)," ",G130*$E$111)</f>
        <v>0</v>
      </c>
      <c r="I134" s="5"/>
    </row>
    <row r="135" spans="1:9" x14ac:dyDescent="0.2">
      <c r="A135" s="13"/>
      <c r="B135" s="3" t="s">
        <v>497</v>
      </c>
      <c r="C135" s="5">
        <f>IF(ISERROR(C131*$E$111),"",C131*$E$111)</f>
        <v>0</v>
      </c>
      <c r="D135" s="5">
        <f>IF(ISERROR(D131*$E$111),"",D131*$E$111)</f>
        <v>0</v>
      </c>
      <c r="E135" s="5">
        <f>IF(ISERROR(E131*$E$111),"",E131*$E$111)</f>
        <v>0</v>
      </c>
      <c r="F135" s="5">
        <f>IF(ISERROR(F131*$E$111),"",F131*$E$111)</f>
        <v>0</v>
      </c>
      <c r="G135" s="5">
        <f>IF(ISERROR(G131*$E$111),"",G131*$E$111)</f>
        <v>0</v>
      </c>
      <c r="I135" s="5"/>
    </row>
    <row r="136" spans="1:9" ht="12.75" thickBot="1" x14ac:dyDescent="0.25">
      <c r="A136" s="13"/>
      <c r="B136" s="8" t="s">
        <v>203</v>
      </c>
      <c r="C136" s="9" t="str">
        <f>IF(ISERROR(C132*$E$111)," ",C132*$E$111)</f>
        <v xml:space="preserve"> </v>
      </c>
      <c r="D136" s="9" t="str">
        <f>IF(ISERROR(D132*$E$111)," ",D132*$E$111)</f>
        <v xml:space="preserve"> </v>
      </c>
      <c r="E136" s="9" t="str">
        <f>IF(ISERROR(E132*$E$111)," ",E132*$E$111)</f>
        <v xml:space="preserve"> </v>
      </c>
      <c r="F136" s="9" t="str">
        <f>IF(ISERROR(F132*$E$111)," ",F132*$E$111)</f>
        <v xml:space="preserve"> </v>
      </c>
      <c r="G136" s="9" t="str">
        <f>IF(ISERROR(G132*$E$111)," ",G132*$E$111)</f>
        <v xml:space="preserve"> </v>
      </c>
      <c r="I136" s="5"/>
    </row>
    <row r="137" spans="1:9" ht="12.75" thickTop="1" x14ac:dyDescent="0.2">
      <c r="A137" s="13"/>
      <c r="B137" s="3" t="s">
        <v>73</v>
      </c>
      <c r="C137" s="5">
        <f>SUM(C133:C136)</f>
        <v>0</v>
      </c>
      <c r="D137" s="5">
        <f>SUM(D133:D136)</f>
        <v>2488.7330658730325</v>
      </c>
      <c r="E137" s="5">
        <f>SUM(E133:E136)</f>
        <v>-1644.0905437302704</v>
      </c>
      <c r="F137" s="5">
        <f>SUM(F133:F136)</f>
        <v>-1477.3301304269141</v>
      </c>
      <c r="G137" s="5">
        <f>SUM(G133:G136)</f>
        <v>2727.3787023266109</v>
      </c>
      <c r="I137" s="5"/>
    </row>
  </sheetData>
  <sheetProtection algorithmName="SHA-512" hashValue="6OcGFPBKPhTGpgy597xPmihyXE3Ubpu1ubvFUeHJOVQxsplB7meVR36eMHm4+7aCuFqTHEylabNV+BRu0NvuLg==" saltValue="q6aLtZL+OVFtVMP4A6EDpA==" spinCount="100000" sheet="1" objects="1" scenarios="1"/>
  <mergeCells count="1">
    <mergeCell ref="D92:E92"/>
  </mergeCells>
  <pageMargins left="0.7" right="0.7" top="0.78740157499999996" bottom="0.78740157499999996" header="0.3" footer="0.3"/>
  <pageSetup paperSize="8" scale="70" orientation="portrait" r:id="rId1"/>
  <ignoredErrors>
    <ignoredError sqref="C135:G135 C9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C28"/>
  <sheetViews>
    <sheetView workbookViewId="0">
      <selection activeCell="F15" sqref="F15"/>
    </sheetView>
  </sheetViews>
  <sheetFormatPr baseColWidth="10" defaultColWidth="10.85546875" defaultRowHeight="15" x14ac:dyDescent="0.25"/>
  <cols>
    <col min="1" max="1" width="6.85546875" bestFit="1" customWidth="1"/>
    <col min="2" max="2" width="59.140625" bestFit="1" customWidth="1"/>
    <col min="3" max="3" width="124.85546875" style="50" bestFit="1" customWidth="1"/>
  </cols>
  <sheetData>
    <row r="1" spans="1:3" s="37" customFormat="1" x14ac:dyDescent="0.25">
      <c r="A1" s="32" t="s">
        <v>77</v>
      </c>
      <c r="B1" s="32" t="s">
        <v>78</v>
      </c>
      <c r="C1" s="32" t="s">
        <v>79</v>
      </c>
    </row>
    <row r="2" spans="1:3" s="39" customFormat="1" x14ac:dyDescent="0.25">
      <c r="A2" s="39">
        <v>1.6</v>
      </c>
      <c r="B2" s="39" t="s">
        <v>208</v>
      </c>
      <c r="C2" t="s">
        <v>493</v>
      </c>
    </row>
    <row r="3" spans="1:3" s="39" customFormat="1" x14ac:dyDescent="0.25">
      <c r="A3" s="39">
        <v>2.1</v>
      </c>
      <c r="B3" s="39" t="s">
        <v>31</v>
      </c>
      <c r="C3" s="39" t="s">
        <v>561</v>
      </c>
    </row>
    <row r="4" spans="1:3" s="39" customFormat="1" x14ac:dyDescent="0.25">
      <c r="A4" s="39">
        <v>2.2999999999999998</v>
      </c>
      <c r="B4" s="39" t="s">
        <v>80</v>
      </c>
      <c r="C4" s="69" t="s">
        <v>390</v>
      </c>
    </row>
    <row r="5" spans="1:3" s="39" customFormat="1" x14ac:dyDescent="0.25">
      <c r="A5" s="39">
        <v>2.2999999999999998</v>
      </c>
      <c r="B5" s="39" t="s">
        <v>211</v>
      </c>
      <c r="C5" s="69" t="s">
        <v>212</v>
      </c>
    </row>
    <row r="6" spans="1:3" s="39" customFormat="1" x14ac:dyDescent="0.25">
      <c r="A6" s="39">
        <v>2.2999999999999998</v>
      </c>
      <c r="B6" s="39" t="s">
        <v>81</v>
      </c>
      <c r="C6" s="39" t="s">
        <v>506</v>
      </c>
    </row>
    <row r="7" spans="1:3" s="39" customFormat="1" x14ac:dyDescent="0.25">
      <c r="A7" s="48" t="s">
        <v>389</v>
      </c>
      <c r="B7" s="39" t="s">
        <v>213</v>
      </c>
      <c r="C7" s="39" t="s">
        <v>214</v>
      </c>
    </row>
    <row r="8" spans="1:3" s="39" customFormat="1" x14ac:dyDescent="0.25">
      <c r="A8" s="39">
        <v>3.1</v>
      </c>
      <c r="B8" s="49" t="s">
        <v>215</v>
      </c>
      <c r="C8" s="39" t="s">
        <v>491</v>
      </c>
    </row>
    <row r="9" spans="1:3" s="39" customFormat="1" x14ac:dyDescent="0.25">
      <c r="A9" s="39">
        <v>3.2</v>
      </c>
      <c r="B9" s="49" t="s">
        <v>216</v>
      </c>
      <c r="C9" s="39" t="s">
        <v>491</v>
      </c>
    </row>
    <row r="10" spans="1:3" s="39" customFormat="1" x14ac:dyDescent="0.25">
      <c r="A10" s="39">
        <v>3.5</v>
      </c>
      <c r="B10" s="49" t="s">
        <v>384</v>
      </c>
      <c r="C10" s="69" t="s">
        <v>217</v>
      </c>
    </row>
    <row r="11" spans="1:3" s="39" customFormat="1" x14ac:dyDescent="0.25">
      <c r="A11" s="39">
        <v>4.0999999999999996</v>
      </c>
      <c r="B11" s="39" t="s">
        <v>218</v>
      </c>
      <c r="C11" s="39" t="s">
        <v>491</v>
      </c>
    </row>
    <row r="12" spans="1:3" s="39" customFormat="1" x14ac:dyDescent="0.25">
      <c r="A12" s="39">
        <v>7.1</v>
      </c>
      <c r="B12" s="39" t="s">
        <v>67</v>
      </c>
      <c r="C12" s="292" t="s">
        <v>227</v>
      </c>
    </row>
    <row r="13" spans="1:3" s="39" customFormat="1" x14ac:dyDescent="0.25">
      <c r="A13" s="50"/>
      <c r="B13" s="50"/>
      <c r="C13" s="50"/>
    </row>
    <row r="14" spans="1:3" s="39" customFormat="1" x14ac:dyDescent="0.25"/>
    <row r="15" spans="1:3" s="39" customFormat="1" x14ac:dyDescent="0.25"/>
    <row r="16" spans="1:3" s="39" customFormat="1" x14ac:dyDescent="0.25"/>
    <row r="17" s="39" customFormat="1" x14ac:dyDescent="0.25"/>
    <row r="18" s="39" customFormat="1" x14ac:dyDescent="0.25"/>
    <row r="19" s="39" customFormat="1" x14ac:dyDescent="0.25"/>
    <row r="20" s="39" customFormat="1" x14ac:dyDescent="0.25"/>
    <row r="21" s="39" customFormat="1" x14ac:dyDescent="0.25"/>
    <row r="22" s="39" customFormat="1" x14ac:dyDescent="0.25"/>
    <row r="23" s="39" customFormat="1" x14ac:dyDescent="0.25"/>
    <row r="24" s="39" customFormat="1" x14ac:dyDescent="0.25"/>
    <row r="25" s="39" customFormat="1" x14ac:dyDescent="0.25"/>
    <row r="26" s="39" customFormat="1" x14ac:dyDescent="0.25"/>
    <row r="27" s="39" customFormat="1" x14ac:dyDescent="0.25"/>
    <row r="28" s="39" customFormat="1" x14ac:dyDescent="0.25"/>
  </sheetData>
  <sheetProtection algorithmName="SHA-512" hashValue="Q1t6yFKNlblJNrWCxA13ZoJIem6uGdWcbUpkLtV5ID/deIWPLJqXNhT/tzihejd+eSu1GAl5ITvNccbUvwBF5w==" saltValue="pPbXTjupt4Ub6WVW2PbhgA==" spinCount="100000" sheet="1" objects="1" scenarios="1"/>
  <hyperlinks>
    <hyperlink ref="C4" r:id="rId1" xr:uid="{00000000-0004-0000-0400-000000000000}"/>
    <hyperlink ref="C5" r:id="rId2" xr:uid="{00000000-0004-0000-0400-000001000000}"/>
    <hyperlink ref="C10" r:id="rId3" xr:uid="{00000000-0004-0000-0400-000002000000}"/>
    <hyperlink ref="C12" r:id="rId4" xr:uid="{00000000-0004-0000-0400-000003000000}"/>
  </hyperlinks>
  <pageMargins left="0.7" right="0.7" top="0.78740157499999996" bottom="0.78740157499999996" header="0.3" footer="0.3"/>
  <pageSetup paperSize="9"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K65"/>
  <sheetViews>
    <sheetView workbookViewId="0">
      <selection activeCell="F15" sqref="F15"/>
    </sheetView>
  </sheetViews>
  <sheetFormatPr baseColWidth="10" defaultColWidth="10.7109375" defaultRowHeight="15" x14ac:dyDescent="0.25"/>
  <cols>
    <col min="1" max="1" width="4" bestFit="1" customWidth="1"/>
    <col min="2" max="2" width="17" bestFit="1" customWidth="1"/>
    <col min="3" max="3" width="35.140625" bestFit="1" customWidth="1"/>
    <col min="4" max="4" width="60.85546875" bestFit="1" customWidth="1"/>
    <col min="5" max="5" width="13.140625" bestFit="1" customWidth="1"/>
    <col min="6" max="6" width="8.7109375" bestFit="1" customWidth="1"/>
    <col min="7" max="7" width="30.28515625" bestFit="1" customWidth="1"/>
  </cols>
  <sheetData>
    <row r="1" spans="1:11" s="37" customFormat="1" x14ac:dyDescent="0.25">
      <c r="A1" s="37">
        <v>2.1</v>
      </c>
      <c r="B1" s="37" t="s">
        <v>533</v>
      </c>
    </row>
    <row r="3" spans="1:11" x14ac:dyDescent="0.25">
      <c r="B3" s="32" t="s">
        <v>112</v>
      </c>
      <c r="C3" s="32" t="s">
        <v>113</v>
      </c>
      <c r="D3" s="32" t="s">
        <v>114</v>
      </c>
      <c r="E3" s="32" t="s">
        <v>198</v>
      </c>
      <c r="F3" s="32" t="s">
        <v>199</v>
      </c>
    </row>
    <row r="4" spans="1:11" x14ac:dyDescent="0.25">
      <c r="B4" s="33" t="s">
        <v>29</v>
      </c>
      <c r="C4" s="33" t="s">
        <v>115</v>
      </c>
      <c r="D4" s="33" t="s">
        <v>115</v>
      </c>
      <c r="E4" s="33">
        <v>0.85</v>
      </c>
      <c r="F4" s="33">
        <v>0.92</v>
      </c>
      <c r="G4" t="s">
        <v>534</v>
      </c>
    </row>
    <row r="5" spans="1:11" hidden="1" x14ac:dyDescent="0.25">
      <c r="C5" t="s">
        <v>116</v>
      </c>
      <c r="D5" t="s">
        <v>117</v>
      </c>
      <c r="E5">
        <v>0.91</v>
      </c>
      <c r="F5">
        <v>1</v>
      </c>
    </row>
    <row r="6" spans="1:11" hidden="1" x14ac:dyDescent="0.25">
      <c r="C6" t="s">
        <v>118</v>
      </c>
      <c r="D6" t="s">
        <v>119</v>
      </c>
      <c r="E6">
        <v>0.88</v>
      </c>
      <c r="F6">
        <v>0.95</v>
      </c>
      <c r="K6" s="3"/>
    </row>
    <row r="7" spans="1:11" x14ac:dyDescent="0.25">
      <c r="B7" s="33" t="s">
        <v>59</v>
      </c>
      <c r="C7" s="33" t="s">
        <v>120</v>
      </c>
      <c r="D7" s="33" t="s">
        <v>120</v>
      </c>
      <c r="E7" s="33">
        <v>0.85</v>
      </c>
      <c r="F7" s="33">
        <v>0.95</v>
      </c>
      <c r="G7" t="s">
        <v>534</v>
      </c>
      <c r="K7" s="3"/>
    </row>
    <row r="8" spans="1:11" hidden="1" x14ac:dyDescent="0.25">
      <c r="C8" t="s">
        <v>121</v>
      </c>
      <c r="D8" t="s">
        <v>122</v>
      </c>
      <c r="E8">
        <v>0.95</v>
      </c>
      <c r="F8">
        <v>1</v>
      </c>
      <c r="K8" s="3"/>
    </row>
    <row r="9" spans="1:11" hidden="1" x14ac:dyDescent="0.25">
      <c r="C9" t="s">
        <v>123</v>
      </c>
      <c r="D9" t="s">
        <v>124</v>
      </c>
      <c r="E9">
        <v>0.92</v>
      </c>
      <c r="F9">
        <v>0.95</v>
      </c>
      <c r="K9" s="3"/>
    </row>
    <row r="10" spans="1:11" hidden="1" x14ac:dyDescent="0.25">
      <c r="C10" t="s">
        <v>125</v>
      </c>
      <c r="D10" t="s">
        <v>125</v>
      </c>
      <c r="E10">
        <v>0.7</v>
      </c>
      <c r="F10">
        <v>0.9</v>
      </c>
      <c r="K10" s="3"/>
    </row>
    <row r="11" spans="1:11" x14ac:dyDescent="0.25">
      <c r="B11" s="33" t="s">
        <v>56</v>
      </c>
      <c r="C11" s="33" t="s">
        <v>126</v>
      </c>
      <c r="D11" s="33" t="s">
        <v>126</v>
      </c>
      <c r="E11" s="33">
        <v>0.75</v>
      </c>
      <c r="F11" s="33">
        <v>0.9</v>
      </c>
      <c r="G11" t="s">
        <v>534</v>
      </c>
      <c r="K11" s="3"/>
    </row>
    <row r="12" spans="1:11" x14ac:dyDescent="0.25">
      <c r="B12" s="33" t="s">
        <v>55</v>
      </c>
      <c r="C12" s="33" t="s">
        <v>127</v>
      </c>
      <c r="D12" s="33" t="s">
        <v>127</v>
      </c>
      <c r="E12" s="33">
        <v>0.85</v>
      </c>
      <c r="F12" s="33">
        <v>0.9</v>
      </c>
      <c r="G12" t="s">
        <v>534</v>
      </c>
      <c r="K12" s="3"/>
    </row>
    <row r="13" spans="1:11" hidden="1" x14ac:dyDescent="0.25">
      <c r="C13" t="s">
        <v>128</v>
      </c>
      <c r="D13" t="s">
        <v>129</v>
      </c>
      <c r="E13">
        <v>1</v>
      </c>
      <c r="F13">
        <v>1</v>
      </c>
      <c r="K13" s="3"/>
    </row>
    <row r="14" spans="1:11" hidden="1" x14ac:dyDescent="0.25">
      <c r="C14" t="s">
        <v>130</v>
      </c>
      <c r="D14" t="s">
        <v>130</v>
      </c>
      <c r="E14">
        <v>0.93</v>
      </c>
      <c r="F14">
        <v>0.95</v>
      </c>
      <c r="K14" s="3"/>
    </row>
    <row r="15" spans="1:11" hidden="1" x14ac:dyDescent="0.25">
      <c r="C15" t="s">
        <v>131</v>
      </c>
      <c r="D15" t="s">
        <v>131</v>
      </c>
      <c r="E15">
        <v>1</v>
      </c>
      <c r="F15">
        <v>1</v>
      </c>
      <c r="K15" s="3"/>
    </row>
    <row r="16" spans="1:11" hidden="1" x14ac:dyDescent="0.25">
      <c r="C16" t="s">
        <v>132</v>
      </c>
      <c r="D16" t="s">
        <v>132</v>
      </c>
      <c r="E16">
        <v>0.9</v>
      </c>
      <c r="F16">
        <v>0.95</v>
      </c>
    </row>
    <row r="17" spans="2:7" hidden="1" x14ac:dyDescent="0.25">
      <c r="C17" t="s">
        <v>133</v>
      </c>
      <c r="D17" t="s">
        <v>134</v>
      </c>
      <c r="E17">
        <v>0.8</v>
      </c>
      <c r="F17">
        <v>0.9</v>
      </c>
    </row>
    <row r="18" spans="2:7" hidden="1" x14ac:dyDescent="0.25">
      <c r="C18" t="s">
        <v>135</v>
      </c>
      <c r="D18" t="s">
        <v>136</v>
      </c>
      <c r="E18">
        <v>0.7</v>
      </c>
      <c r="F18">
        <v>0.9</v>
      </c>
    </row>
    <row r="19" spans="2:7" x14ac:dyDescent="0.25">
      <c r="B19" s="33" t="s">
        <v>460</v>
      </c>
      <c r="C19" s="33" t="s">
        <v>608</v>
      </c>
      <c r="D19" s="33" t="s">
        <v>608</v>
      </c>
      <c r="E19" s="33">
        <v>0.75</v>
      </c>
      <c r="F19" s="33">
        <v>0.9</v>
      </c>
      <c r="G19" t="s">
        <v>534</v>
      </c>
    </row>
    <row r="20" spans="2:7" x14ac:dyDescent="0.25">
      <c r="B20" s="33" t="s">
        <v>249</v>
      </c>
      <c r="C20" s="33" t="s">
        <v>137</v>
      </c>
      <c r="D20" s="33" t="s">
        <v>138</v>
      </c>
      <c r="E20" s="33">
        <v>2.5</v>
      </c>
      <c r="F20" s="33">
        <v>6</v>
      </c>
      <c r="G20" t="s">
        <v>537</v>
      </c>
    </row>
    <row r="21" spans="2:7" x14ac:dyDescent="0.25">
      <c r="B21" s="33" t="s">
        <v>248</v>
      </c>
      <c r="C21" s="33" t="s">
        <v>137</v>
      </c>
      <c r="D21" s="33" t="s">
        <v>138</v>
      </c>
      <c r="E21" s="33">
        <v>2.5</v>
      </c>
      <c r="F21" s="33">
        <v>6</v>
      </c>
      <c r="G21" t="s">
        <v>537</v>
      </c>
    </row>
    <row r="22" spans="2:7" hidden="1" x14ac:dyDescent="0.25">
      <c r="C22" t="s">
        <v>139</v>
      </c>
      <c r="D22" t="s">
        <v>140</v>
      </c>
      <c r="E22">
        <v>2.2999999999999998</v>
      </c>
      <c r="F22">
        <v>5</v>
      </c>
    </row>
    <row r="23" spans="2:7" x14ac:dyDescent="0.25">
      <c r="B23" s="33" t="s">
        <v>57</v>
      </c>
      <c r="C23" s="33" t="s">
        <v>141</v>
      </c>
      <c r="D23" s="33" t="s">
        <v>142</v>
      </c>
      <c r="E23" s="33">
        <v>3.5</v>
      </c>
      <c r="F23" s="33">
        <v>10</v>
      </c>
      <c r="G23" t="s">
        <v>537</v>
      </c>
    </row>
    <row r="24" spans="2:7" hidden="1" x14ac:dyDescent="0.25">
      <c r="C24" t="s">
        <v>143</v>
      </c>
      <c r="D24" t="s">
        <v>144</v>
      </c>
      <c r="E24">
        <v>2.7</v>
      </c>
      <c r="F24">
        <v>7</v>
      </c>
    </row>
    <row r="25" spans="2:7" hidden="1" x14ac:dyDescent="0.25">
      <c r="C25" t="s">
        <v>145</v>
      </c>
      <c r="D25" t="s">
        <v>146</v>
      </c>
      <c r="E25">
        <v>2.7</v>
      </c>
      <c r="F25">
        <v>10</v>
      </c>
    </row>
    <row r="26" spans="2:7" hidden="1" x14ac:dyDescent="0.25">
      <c r="C26" t="s">
        <v>147</v>
      </c>
      <c r="D26" t="s">
        <v>148</v>
      </c>
      <c r="E26">
        <v>2.8</v>
      </c>
      <c r="F26">
        <v>7</v>
      </c>
    </row>
    <row r="27" spans="2:7" x14ac:dyDescent="0.25">
      <c r="B27" s="33" t="s">
        <v>58</v>
      </c>
      <c r="C27" s="33" t="s">
        <v>149</v>
      </c>
      <c r="D27" s="33" t="s">
        <v>150</v>
      </c>
      <c r="E27" s="33">
        <v>3.5</v>
      </c>
      <c r="F27" s="33">
        <v>10</v>
      </c>
      <c r="G27" t="s">
        <v>536</v>
      </c>
    </row>
    <row r="28" spans="2:7" hidden="1" x14ac:dyDescent="0.25">
      <c r="C28" t="s">
        <v>151</v>
      </c>
      <c r="D28" t="s">
        <v>152</v>
      </c>
      <c r="E28">
        <v>2.8</v>
      </c>
      <c r="F28">
        <v>7</v>
      </c>
    </row>
    <row r="29" spans="2:7" hidden="1" x14ac:dyDescent="0.25">
      <c r="C29" t="s">
        <v>153</v>
      </c>
      <c r="D29" t="s">
        <v>154</v>
      </c>
      <c r="E29">
        <v>3.2</v>
      </c>
      <c r="F29">
        <v>10</v>
      </c>
    </row>
    <row r="30" spans="2:7" hidden="1" x14ac:dyDescent="0.25">
      <c r="C30" t="s">
        <v>155</v>
      </c>
      <c r="D30" t="s">
        <v>156</v>
      </c>
      <c r="E30">
        <v>2.9</v>
      </c>
      <c r="F30">
        <v>7</v>
      </c>
    </row>
    <row r="31" spans="2:7" hidden="1" x14ac:dyDescent="0.25">
      <c r="C31" t="s">
        <v>157</v>
      </c>
      <c r="D31" t="s">
        <v>158</v>
      </c>
      <c r="E31">
        <v>2.7</v>
      </c>
      <c r="F31">
        <v>8</v>
      </c>
    </row>
    <row r="32" spans="2:7" hidden="1" x14ac:dyDescent="0.25">
      <c r="C32" t="s">
        <v>159</v>
      </c>
      <c r="D32" t="s">
        <v>160</v>
      </c>
      <c r="E32">
        <v>2.7</v>
      </c>
      <c r="F32">
        <v>6</v>
      </c>
    </row>
    <row r="33" spans="3:6" hidden="1" x14ac:dyDescent="0.25">
      <c r="C33" t="s">
        <v>161</v>
      </c>
      <c r="D33" t="s">
        <v>162</v>
      </c>
      <c r="E33">
        <v>2.9</v>
      </c>
      <c r="F33">
        <v>8</v>
      </c>
    </row>
    <row r="34" spans="3:6" hidden="1" x14ac:dyDescent="0.25">
      <c r="C34" t="s">
        <v>163</v>
      </c>
      <c r="D34" t="s">
        <v>164</v>
      </c>
      <c r="E34">
        <v>2.7</v>
      </c>
      <c r="F34">
        <v>6</v>
      </c>
    </row>
    <row r="35" spans="3:6" hidden="1" x14ac:dyDescent="0.25">
      <c r="C35" t="s">
        <v>165</v>
      </c>
      <c r="D35" t="s">
        <v>166</v>
      </c>
      <c r="E35">
        <v>1</v>
      </c>
      <c r="F35">
        <v>1</v>
      </c>
    </row>
    <row r="36" spans="3:6" hidden="1" x14ac:dyDescent="0.25">
      <c r="C36" t="s">
        <v>167</v>
      </c>
      <c r="D36" t="s">
        <v>168</v>
      </c>
      <c r="E36">
        <v>1</v>
      </c>
      <c r="F36">
        <v>1</v>
      </c>
    </row>
    <row r="37" spans="3:6" hidden="1" x14ac:dyDescent="0.25">
      <c r="C37" t="s">
        <v>169</v>
      </c>
      <c r="D37" t="s">
        <v>170</v>
      </c>
      <c r="E37">
        <v>1</v>
      </c>
      <c r="F37">
        <v>1</v>
      </c>
    </row>
    <row r="38" spans="3:6" hidden="1" x14ac:dyDescent="0.25">
      <c r="C38" t="s">
        <v>171</v>
      </c>
      <c r="D38" t="s">
        <v>171</v>
      </c>
      <c r="E38">
        <v>1</v>
      </c>
      <c r="F38">
        <v>1</v>
      </c>
    </row>
    <row r="39" spans="3:6" hidden="1" x14ac:dyDescent="0.25">
      <c r="C39" t="s">
        <v>172</v>
      </c>
      <c r="D39" t="s">
        <v>172</v>
      </c>
      <c r="E39">
        <v>10</v>
      </c>
      <c r="F39">
        <v>10</v>
      </c>
    </row>
    <row r="40" spans="3:6" hidden="1" x14ac:dyDescent="0.25">
      <c r="C40" t="s">
        <v>173</v>
      </c>
      <c r="D40" t="s">
        <v>173</v>
      </c>
      <c r="E40">
        <v>10</v>
      </c>
      <c r="F40">
        <v>10</v>
      </c>
    </row>
    <row r="41" spans="3:6" hidden="1" x14ac:dyDescent="0.25">
      <c r="C41" t="s">
        <v>174</v>
      </c>
      <c r="D41" t="s">
        <v>175</v>
      </c>
      <c r="E41">
        <v>2.2999999999999998</v>
      </c>
      <c r="F41">
        <v>3.5</v>
      </c>
    </row>
    <row r="42" spans="3:6" hidden="1" x14ac:dyDescent="0.25">
      <c r="C42" t="s">
        <v>176</v>
      </c>
      <c r="D42" t="s">
        <v>177</v>
      </c>
      <c r="E42">
        <v>2.7</v>
      </c>
      <c r="F42">
        <v>3.9000000000000004</v>
      </c>
    </row>
    <row r="43" spans="3:6" hidden="1" x14ac:dyDescent="0.25">
      <c r="C43" t="s">
        <v>178</v>
      </c>
      <c r="D43" t="s">
        <v>179</v>
      </c>
      <c r="E43">
        <v>2.5</v>
      </c>
      <c r="F43">
        <v>3.7</v>
      </c>
    </row>
    <row r="44" spans="3:6" hidden="1" x14ac:dyDescent="0.25">
      <c r="C44" t="s">
        <v>180</v>
      </c>
      <c r="D44" t="s">
        <v>181</v>
      </c>
      <c r="E44">
        <v>2.2999999999999998</v>
      </c>
      <c r="F44">
        <v>3.5</v>
      </c>
    </row>
    <row r="45" spans="3:6" hidden="1" x14ac:dyDescent="0.25">
      <c r="C45" t="s">
        <v>182</v>
      </c>
      <c r="D45" t="s">
        <v>183</v>
      </c>
      <c r="E45">
        <v>2.7</v>
      </c>
      <c r="F45">
        <v>3.9000000000000004</v>
      </c>
    </row>
    <row r="46" spans="3:6" hidden="1" x14ac:dyDescent="0.25">
      <c r="C46" t="s">
        <v>184</v>
      </c>
      <c r="D46" t="s">
        <v>185</v>
      </c>
      <c r="E46">
        <v>2.5</v>
      </c>
      <c r="F46">
        <v>3.7</v>
      </c>
    </row>
    <row r="47" spans="3:6" hidden="1" x14ac:dyDescent="0.25">
      <c r="C47" t="s">
        <v>186</v>
      </c>
      <c r="D47" t="s">
        <v>187</v>
      </c>
      <c r="E47">
        <v>0.75</v>
      </c>
      <c r="F47">
        <v>0.85</v>
      </c>
    </row>
    <row r="48" spans="3:6" hidden="1" x14ac:dyDescent="0.25">
      <c r="C48" t="s">
        <v>188</v>
      </c>
      <c r="D48" t="s">
        <v>189</v>
      </c>
      <c r="E48">
        <v>1</v>
      </c>
      <c r="F48">
        <v>1</v>
      </c>
    </row>
    <row r="49" spans="2:7" hidden="1" x14ac:dyDescent="0.25">
      <c r="C49" t="s">
        <v>190</v>
      </c>
      <c r="D49" t="s">
        <v>191</v>
      </c>
      <c r="E49">
        <v>1</v>
      </c>
      <c r="F49">
        <v>1</v>
      </c>
    </row>
    <row r="50" spans="2:7" x14ac:dyDescent="0.25">
      <c r="B50" s="33" t="s">
        <v>62</v>
      </c>
      <c r="C50" s="33" t="s">
        <v>192</v>
      </c>
      <c r="D50" s="33" t="s">
        <v>193</v>
      </c>
      <c r="E50" s="33">
        <v>1</v>
      </c>
      <c r="F50" s="33">
        <v>1</v>
      </c>
      <c r="G50" t="s">
        <v>535</v>
      </c>
    </row>
    <row r="51" spans="2:7" hidden="1" x14ac:dyDescent="0.25">
      <c r="C51" t="s">
        <v>194</v>
      </c>
      <c r="D51" t="s">
        <v>195</v>
      </c>
      <c r="E51">
        <v>1.3</v>
      </c>
      <c r="F51">
        <v>2</v>
      </c>
    </row>
    <row r="52" spans="2:7" hidden="1" x14ac:dyDescent="0.25">
      <c r="C52" t="s">
        <v>196</v>
      </c>
      <c r="D52" t="s">
        <v>197</v>
      </c>
      <c r="E52">
        <v>1.3</v>
      </c>
      <c r="F52">
        <v>2</v>
      </c>
    </row>
    <row r="57" spans="2:7" x14ac:dyDescent="0.25">
      <c r="C57" s="3"/>
    </row>
    <row r="58" spans="2:7" x14ac:dyDescent="0.25">
      <c r="C58" s="3"/>
    </row>
    <row r="59" spans="2:7" x14ac:dyDescent="0.25">
      <c r="C59" s="3"/>
    </row>
    <row r="60" spans="2:7" x14ac:dyDescent="0.25">
      <c r="C60" s="3"/>
    </row>
    <row r="62" spans="2:7" x14ac:dyDescent="0.25">
      <c r="C62" s="3"/>
    </row>
    <row r="63" spans="2:7" x14ac:dyDescent="0.25">
      <c r="C63" s="3"/>
    </row>
    <row r="64" spans="2:7" x14ac:dyDescent="0.25">
      <c r="C64" s="3"/>
    </row>
    <row r="65" spans="3:3" x14ac:dyDescent="0.25">
      <c r="C65" s="3"/>
    </row>
  </sheetData>
  <sheetProtection algorithmName="SHA-512" hashValue="w1/2D5awK4uB3pEDTZ7yErYkVB7LKIM+kbiijpqJQyTCaMgj8pfpFRCp04ltUyU8I3vEXoVV2JkPdBBpzVJGCg==" saltValue="KL+/w8cnC6eDfkW4o2wvbw==" spinCount="100000" sheet="1" objects="1" scenarios="1"/>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AS124"/>
  <sheetViews>
    <sheetView zoomScale="160" zoomScaleNormal="160" workbookViewId="0">
      <pane ySplit="5" topLeftCell="A6" activePane="bottomLeft" state="frozen"/>
      <selection activeCell="F15" sqref="F15"/>
      <selection pane="bottomLeft" activeCell="F15" sqref="F15"/>
    </sheetView>
  </sheetViews>
  <sheetFormatPr baseColWidth="10" defaultColWidth="10.85546875" defaultRowHeight="15" x14ac:dyDescent="0.25"/>
  <cols>
    <col min="1" max="1" width="3.85546875" style="19" bestFit="1" customWidth="1"/>
    <col min="2" max="2" width="3.85546875" style="19" customWidth="1"/>
    <col min="3" max="3" width="43.5703125" style="16" customWidth="1"/>
    <col min="4" max="4" width="18" style="16" customWidth="1"/>
    <col min="5" max="5" width="14" style="19" bestFit="1" customWidth="1"/>
    <col min="6" max="8" width="4.140625" style="19" customWidth="1"/>
    <col min="9" max="45" width="10.7109375" style="19" customWidth="1"/>
    <col min="46" max="16384" width="10.85546875" style="19"/>
  </cols>
  <sheetData>
    <row r="1" spans="1:45" s="38" customFormat="1" x14ac:dyDescent="0.25">
      <c r="A1" s="38">
        <v>2.2999999999999998</v>
      </c>
      <c r="C1" s="15" t="s">
        <v>97</v>
      </c>
      <c r="D1" s="15"/>
    </row>
    <row r="2" spans="1:45" s="38" customFormat="1" x14ac:dyDescent="0.25">
      <c r="C2" s="15"/>
      <c r="D2" s="15"/>
    </row>
    <row r="3" spans="1:45" s="38" customFormat="1" x14ac:dyDescent="0.25">
      <c r="C3" s="186" t="s">
        <v>219</v>
      </c>
      <c r="D3"/>
    </row>
    <row r="4" spans="1:45" s="38" customFormat="1" x14ac:dyDescent="0.25">
      <c r="C4"/>
      <c r="D4"/>
    </row>
    <row r="5" spans="1:45" s="61" customFormat="1" ht="15.75" thickBot="1" x14ac:dyDescent="0.3">
      <c r="C5" s="187"/>
      <c r="D5" s="187"/>
      <c r="G5" s="61">
        <v>2028</v>
      </c>
      <c r="H5" s="61">
        <v>2027</v>
      </c>
      <c r="I5" s="61">
        <v>2026</v>
      </c>
      <c r="J5" s="61">
        <v>2025</v>
      </c>
      <c r="K5" s="61">
        <v>2024</v>
      </c>
      <c r="L5" s="61">
        <v>2023</v>
      </c>
      <c r="M5" s="61">
        <v>2022</v>
      </c>
      <c r="N5" s="61">
        <v>2021</v>
      </c>
      <c r="O5" s="61">
        <v>2020</v>
      </c>
      <c r="P5" s="61">
        <v>2019</v>
      </c>
      <c r="Q5" s="61">
        <v>2018</v>
      </c>
      <c r="R5" s="61">
        <v>2017</v>
      </c>
      <c r="S5" s="61">
        <v>2016</v>
      </c>
      <c r="T5" s="61">
        <v>2015</v>
      </c>
      <c r="U5" s="61">
        <v>2014</v>
      </c>
      <c r="V5" s="61">
        <v>2013</v>
      </c>
      <c r="W5" s="61">
        <v>2012</v>
      </c>
      <c r="X5" s="61">
        <v>2011</v>
      </c>
      <c r="Y5" s="61">
        <v>2010</v>
      </c>
      <c r="Z5" s="61">
        <v>2009</v>
      </c>
      <c r="AA5" s="61">
        <v>2008</v>
      </c>
      <c r="AB5" s="61">
        <v>2007</v>
      </c>
      <c r="AC5" s="61">
        <v>2006</v>
      </c>
      <c r="AD5" s="61">
        <v>2005</v>
      </c>
      <c r="AE5" s="61">
        <v>2004</v>
      </c>
      <c r="AF5" s="61">
        <v>2003</v>
      </c>
      <c r="AG5" s="61">
        <v>2002</v>
      </c>
      <c r="AH5" s="61">
        <v>2001</v>
      </c>
      <c r="AI5" s="61">
        <v>2000</v>
      </c>
      <c r="AJ5" s="61">
        <v>1999</v>
      </c>
      <c r="AK5" s="61">
        <v>1998</v>
      </c>
      <c r="AL5" s="61">
        <v>1997</v>
      </c>
      <c r="AM5" s="61">
        <v>1996</v>
      </c>
      <c r="AN5" s="61">
        <v>1995</v>
      </c>
      <c r="AO5" s="61">
        <v>1994</v>
      </c>
      <c r="AP5" s="61">
        <v>1993</v>
      </c>
      <c r="AQ5" s="61">
        <v>1992</v>
      </c>
      <c r="AR5" s="61">
        <v>1991</v>
      </c>
      <c r="AS5" s="61">
        <v>1990</v>
      </c>
    </row>
    <row r="6" spans="1:45" s="38" customFormat="1" x14ac:dyDescent="0.25">
      <c r="C6"/>
      <c r="D6" s="38" t="s">
        <v>255</v>
      </c>
    </row>
    <row r="7" spans="1:45" s="49" customFormat="1" ht="18.75" x14ac:dyDescent="0.25">
      <c r="C7" s="188" t="s">
        <v>274</v>
      </c>
      <c r="D7" s="189">
        <f>(INDEX(F7:X7,MATCH(TRUE,INDEX(ISNUMBER(F7:X7),0),0)))</f>
        <v>120</v>
      </c>
      <c r="G7" s="190"/>
      <c r="H7" s="190"/>
      <c r="I7" s="190">
        <v>120</v>
      </c>
      <c r="J7" s="190">
        <v>120</v>
      </c>
      <c r="K7" s="190">
        <v>120</v>
      </c>
      <c r="L7" s="190">
        <v>120</v>
      </c>
      <c r="M7" s="190">
        <v>120</v>
      </c>
      <c r="N7" s="190">
        <v>120</v>
      </c>
      <c r="O7" s="60">
        <v>120</v>
      </c>
      <c r="P7" s="60">
        <v>120</v>
      </c>
      <c r="Q7" s="60">
        <v>120</v>
      </c>
      <c r="R7" s="60">
        <v>120</v>
      </c>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row>
    <row r="8" spans="1:45" s="60" customFormat="1" ht="18.75" x14ac:dyDescent="0.25">
      <c r="C8" s="191" t="s">
        <v>291</v>
      </c>
      <c r="D8" s="189">
        <f>(INDEX(F8:X8,MATCH(TRUE,INDEX(ISNUMBER(F8:X8),0),0)))</f>
        <v>120</v>
      </c>
      <c r="G8" s="190"/>
      <c r="H8" s="190"/>
      <c r="I8" s="190">
        <v>120</v>
      </c>
      <c r="J8" s="190">
        <v>120</v>
      </c>
      <c r="K8" s="190">
        <v>120</v>
      </c>
      <c r="L8" s="190">
        <v>120</v>
      </c>
      <c r="M8" s="190">
        <v>120</v>
      </c>
      <c r="N8" s="190">
        <v>96</v>
      </c>
      <c r="O8" s="190">
        <v>96</v>
      </c>
      <c r="P8" s="190">
        <v>96</v>
      </c>
      <c r="Q8" s="190">
        <v>96</v>
      </c>
      <c r="R8" s="190">
        <v>84</v>
      </c>
      <c r="S8" s="190">
        <v>84</v>
      </c>
      <c r="T8" s="190">
        <v>60</v>
      </c>
      <c r="U8" s="190">
        <v>60</v>
      </c>
      <c r="V8" s="190">
        <v>36</v>
      </c>
      <c r="W8" s="190">
        <v>36</v>
      </c>
      <c r="X8" s="190">
        <v>36</v>
      </c>
      <c r="Y8" s="190">
        <v>36</v>
      </c>
      <c r="Z8" s="190">
        <v>12</v>
      </c>
      <c r="AA8" s="190">
        <v>12</v>
      </c>
      <c r="AB8" s="190">
        <v>0</v>
      </c>
      <c r="AC8" s="190">
        <v>0</v>
      </c>
      <c r="AD8" s="190">
        <v>0</v>
      </c>
      <c r="AE8" s="190">
        <v>0</v>
      </c>
      <c r="AF8" s="190">
        <v>0</v>
      </c>
      <c r="AG8" s="190">
        <v>0</v>
      </c>
      <c r="AH8" s="190">
        <v>0</v>
      </c>
      <c r="AI8" s="190">
        <v>0</v>
      </c>
      <c r="AJ8" s="190">
        <v>0</v>
      </c>
      <c r="AK8" s="190">
        <v>0</v>
      </c>
      <c r="AL8" s="190">
        <v>0</v>
      </c>
      <c r="AM8" s="190">
        <v>0</v>
      </c>
      <c r="AN8" s="190">
        <v>0</v>
      </c>
      <c r="AO8" s="190">
        <v>0</v>
      </c>
      <c r="AP8" s="190">
        <v>0</v>
      </c>
      <c r="AQ8" s="190">
        <v>0</v>
      </c>
      <c r="AR8" s="190">
        <v>0</v>
      </c>
      <c r="AS8" s="190">
        <v>0</v>
      </c>
    </row>
    <row r="9" spans="1:45" s="60" customFormat="1" ht="36" x14ac:dyDescent="0.25">
      <c r="C9" s="191" t="s">
        <v>256</v>
      </c>
      <c r="D9" s="189">
        <f>(INDEX(F9:X9,MATCH(TRUE,INDEX(ISNUMBER(F9:X9),0),0)))</f>
        <v>120</v>
      </c>
      <c r="G9" s="190" t="str">
        <f>IF(OR(G7=0,G8=0),"",AVERAGE(G7,G8))</f>
        <v/>
      </c>
      <c r="H9" s="190"/>
      <c r="I9" s="190"/>
      <c r="J9" s="190">
        <f>IF(OR(J7=0,J8=0),"",AVERAGE(J7,J8))</f>
        <v>120</v>
      </c>
      <c r="K9" s="190">
        <f>IF(OR(K7=0,K8=0),"",AVERAGE(K7,K8))</f>
        <v>120</v>
      </c>
      <c r="L9" s="190">
        <f>IF(OR(L7=0,L8=0),"",AVERAGE(L7,L8))</f>
        <v>120</v>
      </c>
      <c r="M9" s="190">
        <f>IF(OR(M7=0,M8=0),"",AVERAGE(M7,M8))</f>
        <v>120</v>
      </c>
      <c r="N9" s="190">
        <f>IF(OR(N7=0,N8=0),"",AVERAGE(N7,N8))</f>
        <v>108</v>
      </c>
      <c r="O9" s="190">
        <f>AVERAGE(O7:O8)</f>
        <v>108</v>
      </c>
      <c r="P9" s="190">
        <f>AVERAGE(P7:P8)</f>
        <v>108</v>
      </c>
      <c r="Q9" s="190">
        <f>AVERAGE(Q7:Q8)</f>
        <v>108</v>
      </c>
      <c r="R9" s="190">
        <f>AVERAGE(R7:R8)</f>
        <v>102</v>
      </c>
    </row>
    <row r="10" spans="1:45" s="60" customFormat="1" ht="18.75" x14ac:dyDescent="0.25">
      <c r="C10" s="191" t="s">
        <v>292</v>
      </c>
      <c r="D10" s="191"/>
      <c r="E10" s="191"/>
      <c r="G10" s="192" t="str">
        <f>IF(G9="","",G9/1000*2.9)</f>
        <v/>
      </c>
      <c r="H10" s="192"/>
      <c r="I10" s="192"/>
      <c r="J10" s="192">
        <f>IF(J9="","",J9/1000*2.9)</f>
        <v>0.34799999999999998</v>
      </c>
      <c r="K10" s="192">
        <f>IF(K9="","",K9/1000*2.9)</f>
        <v>0.34799999999999998</v>
      </c>
      <c r="L10" s="192">
        <f>IF(L9="","",L9/1000*2.9)</f>
        <v>0.34799999999999998</v>
      </c>
      <c r="M10" s="192">
        <f>IF(M9="","",M9/1000*2.9)</f>
        <v>0.34799999999999998</v>
      </c>
      <c r="N10" s="192">
        <f>IF(N9="","",N9/1000*2.9)</f>
        <v>0.31319999999999998</v>
      </c>
      <c r="O10" s="192">
        <f>O8/1000*2.9</f>
        <v>0.27839999999999998</v>
      </c>
      <c r="P10" s="192">
        <f t="shared" ref="P10:AS10" si="0">P8/1000*2.9</f>
        <v>0.27839999999999998</v>
      </c>
      <c r="Q10" s="192">
        <f t="shared" si="0"/>
        <v>0.27839999999999998</v>
      </c>
      <c r="R10" s="192">
        <f t="shared" si="0"/>
        <v>0.24360000000000001</v>
      </c>
      <c r="S10" s="192">
        <f t="shared" si="0"/>
        <v>0.24360000000000001</v>
      </c>
      <c r="T10" s="192">
        <f t="shared" si="0"/>
        <v>0.17399999999999999</v>
      </c>
      <c r="U10" s="192">
        <f t="shared" si="0"/>
        <v>0.17399999999999999</v>
      </c>
      <c r="V10" s="192">
        <f t="shared" si="0"/>
        <v>0.10439999999999999</v>
      </c>
      <c r="W10" s="192">
        <f t="shared" si="0"/>
        <v>0.10439999999999999</v>
      </c>
      <c r="X10" s="192">
        <f t="shared" si="0"/>
        <v>0.10439999999999999</v>
      </c>
      <c r="Y10" s="192">
        <f t="shared" si="0"/>
        <v>0.10439999999999999</v>
      </c>
      <c r="Z10" s="192">
        <f t="shared" si="0"/>
        <v>3.4799999999999998E-2</v>
      </c>
      <c r="AA10" s="192">
        <f t="shared" si="0"/>
        <v>3.4799999999999998E-2</v>
      </c>
      <c r="AB10" s="192">
        <f t="shared" si="0"/>
        <v>0</v>
      </c>
      <c r="AC10" s="192">
        <f t="shared" si="0"/>
        <v>0</v>
      </c>
      <c r="AD10" s="192">
        <f t="shared" si="0"/>
        <v>0</v>
      </c>
      <c r="AE10" s="192">
        <f t="shared" si="0"/>
        <v>0</v>
      </c>
      <c r="AF10" s="192">
        <f t="shared" si="0"/>
        <v>0</v>
      </c>
      <c r="AG10" s="192">
        <f t="shared" si="0"/>
        <v>0</v>
      </c>
      <c r="AH10" s="192">
        <f t="shared" si="0"/>
        <v>0</v>
      </c>
      <c r="AI10" s="192">
        <f t="shared" si="0"/>
        <v>0</v>
      </c>
      <c r="AJ10" s="192">
        <f t="shared" si="0"/>
        <v>0</v>
      </c>
      <c r="AK10" s="192">
        <f t="shared" si="0"/>
        <v>0</v>
      </c>
      <c r="AL10" s="192">
        <f t="shared" si="0"/>
        <v>0</v>
      </c>
      <c r="AM10" s="192">
        <f t="shared" si="0"/>
        <v>0</v>
      </c>
      <c r="AN10" s="192">
        <f t="shared" si="0"/>
        <v>0</v>
      </c>
      <c r="AO10" s="192">
        <f t="shared" si="0"/>
        <v>0</v>
      </c>
      <c r="AP10" s="192">
        <f t="shared" si="0"/>
        <v>0</v>
      </c>
      <c r="AQ10" s="192">
        <f t="shared" si="0"/>
        <v>0</v>
      </c>
      <c r="AR10" s="192">
        <f t="shared" si="0"/>
        <v>0</v>
      </c>
      <c r="AS10" s="192">
        <f t="shared" si="0"/>
        <v>0</v>
      </c>
    </row>
    <row r="11" spans="1:45" s="60" customFormat="1" ht="18.75" x14ac:dyDescent="0.25">
      <c r="C11" s="191" t="s">
        <v>294</v>
      </c>
      <c r="D11" s="191"/>
      <c r="E11" s="191"/>
      <c r="G11" s="192" t="str">
        <f>IF(G9="","",G9/1000*0.22)</f>
        <v/>
      </c>
      <c r="H11" s="192"/>
      <c r="I11" s="192"/>
      <c r="J11" s="192">
        <f>IF(J9="","",J9/1000*0.22)</f>
        <v>2.64E-2</v>
      </c>
      <c r="K11" s="192">
        <f>IF(K9="","",K9/1000*0.22)</f>
        <v>2.64E-2</v>
      </c>
      <c r="L11" s="192">
        <f>IF(L9="","",L9/1000*0.22)</f>
        <v>2.64E-2</v>
      </c>
      <c r="M11" s="192">
        <f>IF(M9="","",M9/1000*0.22)</f>
        <v>2.64E-2</v>
      </c>
      <c r="N11" s="192">
        <f>IF(N9="","",N9/1000*0.22)</f>
        <v>2.376E-2</v>
      </c>
      <c r="O11" s="192">
        <f>O8/1000*0.22</f>
        <v>2.112E-2</v>
      </c>
      <c r="P11" s="192">
        <f t="shared" ref="P11:AS11" si="1">P8/1000*0.22</f>
        <v>2.112E-2</v>
      </c>
      <c r="Q11" s="192">
        <f t="shared" si="1"/>
        <v>2.112E-2</v>
      </c>
      <c r="R11" s="192">
        <f t="shared" si="1"/>
        <v>1.848E-2</v>
      </c>
      <c r="S11" s="192">
        <f t="shared" si="1"/>
        <v>1.848E-2</v>
      </c>
      <c r="T11" s="192">
        <f t="shared" si="1"/>
        <v>1.32E-2</v>
      </c>
      <c r="U11" s="192">
        <f t="shared" si="1"/>
        <v>1.32E-2</v>
      </c>
      <c r="V11" s="192">
        <f t="shared" si="1"/>
        <v>7.92E-3</v>
      </c>
      <c r="W11" s="192">
        <f t="shared" si="1"/>
        <v>7.92E-3</v>
      </c>
      <c r="X11" s="192">
        <f t="shared" si="1"/>
        <v>7.92E-3</v>
      </c>
      <c r="Y11" s="192">
        <f t="shared" si="1"/>
        <v>7.92E-3</v>
      </c>
      <c r="Z11" s="192">
        <f t="shared" si="1"/>
        <v>2.64E-3</v>
      </c>
      <c r="AA11" s="192">
        <f t="shared" si="1"/>
        <v>2.64E-3</v>
      </c>
      <c r="AB11" s="192">
        <f t="shared" si="1"/>
        <v>0</v>
      </c>
      <c r="AC11" s="192">
        <f t="shared" si="1"/>
        <v>0</v>
      </c>
      <c r="AD11" s="192">
        <f t="shared" si="1"/>
        <v>0</v>
      </c>
      <c r="AE11" s="192">
        <f t="shared" si="1"/>
        <v>0</v>
      </c>
      <c r="AF11" s="192">
        <f t="shared" si="1"/>
        <v>0</v>
      </c>
      <c r="AG11" s="192">
        <f t="shared" si="1"/>
        <v>0</v>
      </c>
      <c r="AH11" s="192">
        <f t="shared" si="1"/>
        <v>0</v>
      </c>
      <c r="AI11" s="192">
        <f t="shared" si="1"/>
        <v>0</v>
      </c>
      <c r="AJ11" s="192">
        <f t="shared" si="1"/>
        <v>0</v>
      </c>
      <c r="AK11" s="192">
        <f t="shared" si="1"/>
        <v>0</v>
      </c>
      <c r="AL11" s="192">
        <f t="shared" si="1"/>
        <v>0</v>
      </c>
      <c r="AM11" s="192">
        <f t="shared" si="1"/>
        <v>0</v>
      </c>
      <c r="AN11" s="192">
        <f t="shared" si="1"/>
        <v>0</v>
      </c>
      <c r="AO11" s="192">
        <f t="shared" si="1"/>
        <v>0</v>
      </c>
      <c r="AP11" s="192">
        <f t="shared" si="1"/>
        <v>0</v>
      </c>
      <c r="AQ11" s="192">
        <f t="shared" si="1"/>
        <v>0</v>
      </c>
      <c r="AR11" s="192">
        <f t="shared" si="1"/>
        <v>0</v>
      </c>
      <c r="AS11" s="192">
        <f t="shared" si="1"/>
        <v>0</v>
      </c>
    </row>
    <row r="12" spans="1:45" s="49" customFormat="1" ht="17.25" x14ac:dyDescent="0.25">
      <c r="C12" s="193" t="s">
        <v>296</v>
      </c>
      <c r="D12" s="194">
        <f>(INDEX(F12:X12,MATCH(TRUE,INDEX(ISNUMBER(F12:X12),0),0)))</f>
        <v>8.1000000000000003E-2</v>
      </c>
      <c r="E12" s="193"/>
      <c r="F12" s="65"/>
      <c r="G12" s="195"/>
      <c r="H12" s="195"/>
      <c r="I12" s="195">
        <v>8.1000000000000003E-2</v>
      </c>
      <c r="J12" s="195">
        <v>8.1000000000000003E-2</v>
      </c>
      <c r="K12" s="195">
        <v>8.1000000000000003E-2</v>
      </c>
      <c r="L12" s="195">
        <v>7.6999999999999999E-2</v>
      </c>
      <c r="M12" s="195">
        <v>7.6999999999999999E-2</v>
      </c>
      <c r="N12" s="195">
        <v>7.6999999999999999E-2</v>
      </c>
      <c r="O12" s="195">
        <v>7.6999999999999999E-2</v>
      </c>
      <c r="P12" s="196">
        <v>7.6999999999999999E-2</v>
      </c>
      <c r="Q12" s="196">
        <v>7.6999999999999999E-2</v>
      </c>
      <c r="R12" s="196">
        <v>0.08</v>
      </c>
      <c r="S12" s="196">
        <v>0.08</v>
      </c>
      <c r="T12" s="196">
        <v>0.08</v>
      </c>
      <c r="U12" s="196">
        <v>0.08</v>
      </c>
      <c r="V12" s="196">
        <v>0.08</v>
      </c>
      <c r="W12" s="196">
        <v>0.08</v>
      </c>
      <c r="X12" s="196">
        <v>0.08</v>
      </c>
      <c r="Y12" s="196">
        <v>7.5999999999999998E-2</v>
      </c>
      <c r="Z12" s="196">
        <v>7.5999999999999998E-2</v>
      </c>
      <c r="AA12" s="196">
        <v>7.5999999999999998E-2</v>
      </c>
      <c r="AB12" s="196">
        <v>7.5999999999999998E-2</v>
      </c>
      <c r="AC12" s="196">
        <v>7.5999999999999998E-2</v>
      </c>
      <c r="AD12" s="196">
        <v>7.5999999999999998E-2</v>
      </c>
      <c r="AE12" s="196">
        <v>7.5999999999999998E-2</v>
      </c>
      <c r="AF12" s="196">
        <v>7.5999999999999998E-2</v>
      </c>
      <c r="AG12" s="196">
        <v>7.5999999999999998E-2</v>
      </c>
      <c r="AH12" s="196">
        <v>7.5999999999999998E-2</v>
      </c>
      <c r="AI12" s="196">
        <v>7.4999999999999997E-2</v>
      </c>
      <c r="AJ12" s="196">
        <v>7.4999999999999997E-2</v>
      </c>
      <c r="AK12" s="196">
        <v>6.5000000000000002E-2</v>
      </c>
      <c r="AL12" s="196">
        <v>6.5000000000000002E-2</v>
      </c>
      <c r="AM12" s="196">
        <v>6.5000000000000002E-2</v>
      </c>
      <c r="AN12" s="196">
        <v>6.5000000000000002E-2</v>
      </c>
      <c r="AO12" s="196">
        <v>0</v>
      </c>
      <c r="AP12" s="196">
        <v>0</v>
      </c>
      <c r="AQ12" s="196">
        <v>0</v>
      </c>
      <c r="AR12" s="196">
        <v>0</v>
      </c>
      <c r="AS12" s="196">
        <v>0</v>
      </c>
    </row>
    <row r="13" spans="1:45" s="49" customFormat="1" ht="17.25" x14ac:dyDescent="0.25">
      <c r="C13" s="188" t="s">
        <v>298</v>
      </c>
      <c r="D13" s="188"/>
      <c r="E13" s="197"/>
      <c r="F13" s="197"/>
      <c r="G13" s="195"/>
      <c r="H13" s="195"/>
      <c r="I13" s="195">
        <v>0.2</v>
      </c>
      <c r="J13" s="195">
        <v>2E-3</v>
      </c>
      <c r="K13" s="195">
        <v>1.0999999999999999E-2</v>
      </c>
      <c r="L13" s="195">
        <v>2.1000000000000001E-2</v>
      </c>
      <c r="M13" s="195">
        <v>2.8000000000000001E-2</v>
      </c>
      <c r="N13" s="195">
        <v>6.0000000000000001E-3</v>
      </c>
      <c r="O13" s="195">
        <v>-7.0000000000000001E-3</v>
      </c>
      <c r="P13" s="195">
        <v>4.0000000000000001E-3</v>
      </c>
      <c r="Q13" s="195">
        <v>8.9999999999999993E-3</v>
      </c>
      <c r="R13" s="195">
        <v>5.0000000000000001E-3</v>
      </c>
      <c r="S13" s="195">
        <v>-4.0000000000000001E-3</v>
      </c>
      <c r="T13" s="195">
        <v>-1.0999999999999999E-2</v>
      </c>
      <c r="U13" s="195">
        <v>0</v>
      </c>
      <c r="V13" s="195">
        <v>-2E-3</v>
      </c>
      <c r="W13" s="195">
        <v>-7.0000000000000001E-3</v>
      </c>
      <c r="X13" s="195">
        <v>2E-3</v>
      </c>
      <c r="Y13" s="195">
        <v>7.0000000000000001E-3</v>
      </c>
      <c r="Z13" s="195">
        <v>-5.0000000000000001E-3</v>
      </c>
      <c r="AA13" s="195">
        <v>2.4E-2</v>
      </c>
      <c r="AB13" s="195">
        <v>7.0000000000000001E-3</v>
      </c>
      <c r="AC13" s="195">
        <v>1.0999999999999999E-2</v>
      </c>
      <c r="AD13" s="195">
        <v>1.2E-2</v>
      </c>
      <c r="AE13" s="195">
        <v>8.0000000000000002E-3</v>
      </c>
      <c r="AF13" s="195">
        <v>6.0000000000000001E-3</v>
      </c>
      <c r="AG13" s="195">
        <v>6.0000000000000001E-3</v>
      </c>
      <c r="AH13" s="195">
        <v>0.01</v>
      </c>
      <c r="AI13" s="195">
        <v>1.6E-2</v>
      </c>
      <c r="AJ13" s="195">
        <v>8.0000000000000002E-3</v>
      </c>
      <c r="AK13" s="198">
        <v>0</v>
      </c>
      <c r="AL13" s="198">
        <v>5.0000000000000001E-3</v>
      </c>
      <c r="AM13" s="198">
        <v>8.0000000000000002E-3</v>
      </c>
      <c r="AN13" s="198">
        <v>1.7999999999999999E-2</v>
      </c>
      <c r="AO13" s="198">
        <v>8.9999999999999993E-3</v>
      </c>
      <c r="AP13" s="198">
        <v>3.3000000000000002E-2</v>
      </c>
      <c r="AQ13" s="198">
        <v>0.04</v>
      </c>
      <c r="AR13" s="198">
        <v>5.8999999999999997E-2</v>
      </c>
      <c r="AS13" s="198">
        <v>5.3999999999999999E-2</v>
      </c>
    </row>
    <row r="14" spans="1:45" s="65" customFormat="1" ht="32.25" x14ac:dyDescent="0.25">
      <c r="C14" s="193" t="s">
        <v>299</v>
      </c>
      <c r="D14" s="193"/>
      <c r="E14" s="199"/>
      <c r="F14" s="199"/>
      <c r="G14" s="200"/>
      <c r="H14" s="200"/>
      <c r="I14" s="200">
        <v>358.4</v>
      </c>
      <c r="J14" s="200">
        <v>356.8</v>
      </c>
      <c r="K14" s="200">
        <v>356.3</v>
      </c>
      <c r="L14" s="200">
        <v>352.5</v>
      </c>
      <c r="M14" s="200">
        <v>345.1</v>
      </c>
      <c r="N14" s="200">
        <v>335.6</v>
      </c>
      <c r="O14" s="200">
        <v>333.7</v>
      </c>
      <c r="P14" s="200">
        <v>336.1</v>
      </c>
      <c r="Q14" s="200">
        <v>334.9</v>
      </c>
      <c r="R14" s="200">
        <v>331.8</v>
      </c>
      <c r="S14" s="200">
        <v>330</v>
      </c>
      <c r="T14" s="200">
        <v>331.5</v>
      </c>
      <c r="U14" s="200">
        <v>335.3</v>
      </c>
      <c r="V14" s="200">
        <v>335.4</v>
      </c>
      <c r="W14" s="200">
        <v>336.1</v>
      </c>
      <c r="X14" s="200">
        <v>338.5</v>
      </c>
      <c r="Y14" s="200">
        <v>337.6</v>
      </c>
      <c r="Z14" s="200">
        <v>335.3</v>
      </c>
      <c r="AA14" s="200">
        <v>337</v>
      </c>
      <c r="AB14" s="200">
        <v>329</v>
      </c>
      <c r="AC14" s="200">
        <v>326.60000000000002</v>
      </c>
      <c r="AD14" s="200">
        <v>323.2</v>
      </c>
      <c r="AE14" s="200">
        <v>319.39999999999998</v>
      </c>
      <c r="AF14" s="200">
        <v>316.89999999999998</v>
      </c>
      <c r="AG14" s="200">
        <v>314.89999999999998</v>
      </c>
      <c r="AH14" s="200">
        <v>312.89999999999998</v>
      </c>
      <c r="AI14" s="200">
        <v>309.8</v>
      </c>
      <c r="AJ14" s="200">
        <v>305</v>
      </c>
      <c r="AK14" s="65">
        <v>302.60000000000002</v>
      </c>
      <c r="AL14" s="65">
        <v>302.5</v>
      </c>
      <c r="AM14" s="65">
        <v>301</v>
      </c>
      <c r="AN14" s="65">
        <v>298.60000000000002</v>
      </c>
      <c r="AO14" s="65">
        <v>293.3</v>
      </c>
      <c r="AP14" s="65">
        <v>290.8</v>
      </c>
      <c r="AQ14" s="65">
        <v>281.5</v>
      </c>
      <c r="AR14" s="65">
        <v>270.60000000000002</v>
      </c>
      <c r="AS14" s="65">
        <v>255.6</v>
      </c>
    </row>
    <row r="15" spans="1:45" s="65" customFormat="1" ht="32.25" x14ac:dyDescent="0.25">
      <c r="C15" s="193" t="s">
        <v>379</v>
      </c>
      <c r="D15" s="193"/>
      <c r="E15" s="199"/>
      <c r="F15" s="199"/>
      <c r="G15" s="200"/>
      <c r="H15" s="200"/>
      <c r="I15" s="200">
        <v>116.1</v>
      </c>
      <c r="J15" s="200">
        <v>115.5</v>
      </c>
      <c r="K15" s="200">
        <v>115.4</v>
      </c>
      <c r="L15" s="200">
        <v>114.2</v>
      </c>
      <c r="M15" s="200">
        <v>111.8</v>
      </c>
      <c r="N15" s="200">
        <v>108.7</v>
      </c>
      <c r="O15" s="200">
        <v>108.1</v>
      </c>
      <c r="P15" s="200">
        <v>108.9</v>
      </c>
      <c r="Q15" s="200">
        <v>108.5</v>
      </c>
      <c r="R15" s="200">
        <v>107.5</v>
      </c>
      <c r="S15" s="200">
        <v>106.9</v>
      </c>
      <c r="T15" s="200">
        <v>107.4</v>
      </c>
      <c r="U15" s="200">
        <v>108.6</v>
      </c>
      <c r="V15" s="200">
        <v>108.6</v>
      </c>
      <c r="W15" s="200">
        <v>108.8</v>
      </c>
      <c r="X15" s="200">
        <v>109.6</v>
      </c>
      <c r="Y15" s="200">
        <v>109.4</v>
      </c>
      <c r="Z15" s="200">
        <v>108.6</v>
      </c>
      <c r="AA15" s="200">
        <v>109.1</v>
      </c>
      <c r="AB15" s="200">
        <v>106.5</v>
      </c>
      <c r="AC15" s="200">
        <v>105.8</v>
      </c>
      <c r="AD15" s="200">
        <v>104.7</v>
      </c>
      <c r="AE15" s="200">
        <v>103.4</v>
      </c>
      <c r="AF15" s="200">
        <v>102.6</v>
      </c>
      <c r="AG15" s="200">
        <v>102</v>
      </c>
      <c r="AH15" s="200">
        <v>101.3</v>
      </c>
      <c r="AI15" s="200">
        <v>100.6</v>
      </c>
      <c r="AJ15" s="200"/>
    </row>
    <row r="16" spans="1:45" s="63" customFormat="1" ht="15.75" thickBot="1" x14ac:dyDescent="0.3">
      <c r="C16" s="201"/>
      <c r="D16" s="201"/>
    </row>
    <row r="17" spans="2:45" ht="45" x14ac:dyDescent="0.25">
      <c r="D17" s="15" t="s">
        <v>265</v>
      </c>
      <c r="E17" s="15" t="s">
        <v>98</v>
      </c>
      <c r="F17" s="38"/>
    </row>
    <row r="18" spans="2:45" s="40" customFormat="1" ht="17.25" x14ac:dyDescent="0.25">
      <c r="C18" s="202" t="s">
        <v>314</v>
      </c>
      <c r="D18" s="202"/>
      <c r="E18" s="203" cm="1">
        <f t="array" ref="E18">AVERAGE(INDEX(F18:X18,(MATCH(TRUE,INDEX(ISNUMBER(F18:X18),0),0))),INDEX(F18:X18,(MATCH(TRUE,INDEX(ISNUMBER(F18:X18),0),0)+1)),INDEX(F18:X18,(MATCH(TRUE,INDEX(ISNUMBER(F18:X18),0),0)+2)),INDEX(F18:X18,(MATCH(TRUE,INDEX(ISNUMBER(F18:X18),0),0)+3)))</f>
        <v>26.517500000000002</v>
      </c>
      <c r="G18" s="204"/>
      <c r="H18" s="204"/>
      <c r="I18" s="204">
        <v>23.51</v>
      </c>
      <c r="J18" s="204">
        <v>28.46</v>
      </c>
      <c r="K18" s="204">
        <v>31.62</v>
      </c>
      <c r="L18" s="204">
        <v>22.48</v>
      </c>
      <c r="M18" s="204"/>
      <c r="N18" s="204"/>
      <c r="O18" s="204"/>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row>
    <row r="19" spans="2:45" s="40" customFormat="1" ht="32.25" x14ac:dyDescent="0.25">
      <c r="B19" s="40" t="s">
        <v>263</v>
      </c>
      <c r="C19" s="202" t="s">
        <v>315</v>
      </c>
      <c r="D19" s="206">
        <f>E18+E18*$D$12</f>
        <v>28.665417500000004</v>
      </c>
      <c r="E19" s="207"/>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row>
    <row r="20" spans="2:45" s="40" customFormat="1" ht="17.25" x14ac:dyDescent="0.25">
      <c r="C20" s="202" t="s">
        <v>316</v>
      </c>
      <c r="D20" s="207"/>
      <c r="E20" s="203">
        <f>AVERAGE(INDEX(F20:X20,(MATCH(TRUE,INDEX(ISNUMBER(F20:X20),0),0))),INDEX(F20:X20,(MATCH(TRUE,INDEX(ISNUMBER(F20:X20),0),0)+1)),INDEX(F20:X20,(MATCH(TRUE,INDEX(ISNUMBER(F20:X20),0),0)+2)),INDEX(F20:X20,(MATCH(TRUE,INDEX(ISNUMBER(F20:X20),0),0)+3)))</f>
        <v>25.2925</v>
      </c>
      <c r="G20" s="204"/>
      <c r="H20" s="204"/>
      <c r="I20" s="204">
        <v>22.18</v>
      </c>
      <c r="J20" s="204">
        <v>27.17</v>
      </c>
      <c r="K20" s="204">
        <v>30.59</v>
      </c>
      <c r="L20" s="204">
        <v>21.23</v>
      </c>
      <c r="M20" s="204"/>
      <c r="N20" s="204"/>
      <c r="O20" s="204"/>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row>
    <row r="21" spans="2:45" s="40" customFormat="1" ht="32.25" x14ac:dyDescent="0.25">
      <c r="B21" s="40" t="s">
        <v>264</v>
      </c>
      <c r="C21" s="202" t="s">
        <v>317</v>
      </c>
      <c r="D21" s="206">
        <f>E20+E20*$D$12</f>
        <v>27.341192500000002</v>
      </c>
      <c r="E21" s="207"/>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row>
    <row r="22" spans="2:45" s="40" customFormat="1" ht="17.25" x14ac:dyDescent="0.25">
      <c r="C22" s="202" t="s">
        <v>318</v>
      </c>
      <c r="D22" s="207"/>
      <c r="E22" s="203">
        <f>AVERAGE(INDEX(F22:X22,(MATCH(TRUE,INDEX(ISNUMBER(F22:X22),0),0))),INDEX(F22:X22,(MATCH(TRUE,INDEX(ISNUMBER(F22:X22),0),0)+1)),INDEX(F22:X22,(MATCH(TRUE,INDEX(ISNUMBER(F22:X22),0),0)+2)),INDEX(F22:X22,(MATCH(TRUE,INDEX(ISNUMBER(F22:X22),0),0)+3)))</f>
        <v>22.712499999999999</v>
      </c>
      <c r="G22" s="204"/>
      <c r="H22" s="204"/>
      <c r="I22" s="204">
        <v>20.149999999999999</v>
      </c>
      <c r="J22" s="204">
        <v>25.47</v>
      </c>
      <c r="K22" s="204">
        <v>27.39</v>
      </c>
      <c r="L22" s="204">
        <v>17.84</v>
      </c>
      <c r="M22" s="204"/>
      <c r="N22" s="204"/>
      <c r="O22" s="204"/>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row>
    <row r="23" spans="2:45" s="40" customFormat="1" ht="32.25" x14ac:dyDescent="0.25">
      <c r="B23" s="40" t="s">
        <v>244</v>
      </c>
      <c r="C23" s="202" t="s">
        <v>319</v>
      </c>
      <c r="D23" s="206">
        <f>E22+E22*$D$12</f>
        <v>24.5522125</v>
      </c>
      <c r="E23" s="207"/>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row>
    <row r="24" spans="2:45" s="40" customFormat="1" ht="17.25" x14ac:dyDescent="0.25">
      <c r="C24" s="202" t="s">
        <v>320</v>
      </c>
      <c r="D24" s="207"/>
      <c r="E24" s="203">
        <f>AVERAGE(INDEX(F24:X24,(MATCH(TRUE,INDEX(ISNUMBER(F24:X24),0),0))),INDEX(F24:X24,(MATCH(TRUE,INDEX(ISNUMBER(F24:X24),0),0)+1)),INDEX(F24:X24,(MATCH(TRUE,INDEX(ISNUMBER(F24:X24),0),0)+2)),INDEX(F24:X24,(MATCH(TRUE,INDEX(ISNUMBER(F24:X24),0),0)+3)))</f>
        <v>21.62</v>
      </c>
      <c r="G24" s="204"/>
      <c r="H24" s="204"/>
      <c r="I24" s="204">
        <v>19.34</v>
      </c>
      <c r="J24" s="204">
        <v>24.46</v>
      </c>
      <c r="K24" s="204">
        <v>26.35</v>
      </c>
      <c r="L24" s="204">
        <v>16.329999999999998</v>
      </c>
      <c r="M24" s="204"/>
      <c r="N24" s="204"/>
      <c r="O24" s="204"/>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row>
    <row r="25" spans="2:45" s="40" customFormat="1" ht="32.25" x14ac:dyDescent="0.25">
      <c r="B25" s="40" t="s">
        <v>245</v>
      </c>
      <c r="C25" s="202" t="s">
        <v>321</v>
      </c>
      <c r="D25" s="206">
        <f>E24+E24*$D$12</f>
        <v>23.371220000000001</v>
      </c>
      <c r="E25" s="207"/>
      <c r="G25" s="205"/>
      <c r="H25" s="205"/>
      <c r="I25" s="205"/>
      <c r="J25" s="205"/>
      <c r="K25" s="205"/>
      <c r="L25" s="205"/>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row>
    <row r="26" spans="2:45" s="40" customFormat="1" ht="17.25" x14ac:dyDescent="0.25">
      <c r="C26" s="202" t="s">
        <v>322</v>
      </c>
      <c r="D26" s="207"/>
      <c r="E26" s="203">
        <f>AVERAGE(INDEX(F26:X26,(MATCH(TRUE,INDEX(ISNUMBER(F26:X26),0),0))),INDEX(F26:X26,(MATCH(TRUE,INDEX(ISNUMBER(F26:X26),0),0)+1)),INDEX(F26:X26,(MATCH(TRUE,INDEX(ISNUMBER(F26:X26),0),0)+2)),INDEX(F26:X26,(MATCH(TRUE,INDEX(ISNUMBER(F26:X26),0),0)+3)))</f>
        <v>19.767499999999998</v>
      </c>
      <c r="G26" s="204"/>
      <c r="H26" s="204"/>
      <c r="I26" s="204">
        <v>17.670000000000002</v>
      </c>
      <c r="J26" s="204">
        <v>22.66</v>
      </c>
      <c r="K26" s="204">
        <v>24.28</v>
      </c>
      <c r="L26" s="204">
        <v>14.46</v>
      </c>
      <c r="M26" s="204"/>
      <c r="N26" s="204"/>
      <c r="O26" s="204"/>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row>
    <row r="27" spans="2:45" s="40" customFormat="1" ht="32.25" x14ac:dyDescent="0.25">
      <c r="B27" s="40" t="s">
        <v>246</v>
      </c>
      <c r="C27" s="202" t="s">
        <v>323</v>
      </c>
      <c r="D27" s="206">
        <f>E26+E26*$D$12</f>
        <v>21.368667499999997</v>
      </c>
      <c r="E27" s="207"/>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row>
    <row r="28" spans="2:45" s="40" customFormat="1" ht="17.25" x14ac:dyDescent="0.25">
      <c r="C28" s="202" t="s">
        <v>324</v>
      </c>
      <c r="D28" s="207"/>
      <c r="E28" s="203">
        <f>AVERAGE(INDEX(F28:X28,(MATCH(TRUE,INDEX(ISNUMBER(F28:X28),0),0))),INDEX(F28:X28,(MATCH(TRUE,INDEX(ISNUMBER(F28:X28),0),0)+1)),INDEX(F28:X28,(MATCH(TRUE,INDEX(ISNUMBER(F28:X28),0),0)+2)),INDEX(F28:X28,(MATCH(TRUE,INDEX(ISNUMBER(F28:X28),0),0)+3)))</f>
        <v>19.274999999999999</v>
      </c>
      <c r="G28" s="204"/>
      <c r="H28" s="204"/>
      <c r="I28" s="204">
        <v>16.440000000000001</v>
      </c>
      <c r="J28" s="204">
        <v>21.76</v>
      </c>
      <c r="K28" s="204">
        <v>24.24</v>
      </c>
      <c r="L28" s="204">
        <v>14.66</v>
      </c>
      <c r="M28" s="204"/>
      <c r="N28" s="204"/>
      <c r="O28" s="204"/>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row>
    <row r="29" spans="2:45" s="40" customFormat="1" ht="32.25" x14ac:dyDescent="0.25">
      <c r="B29" s="40" t="s">
        <v>247</v>
      </c>
      <c r="C29" s="202" t="s">
        <v>325</v>
      </c>
      <c r="D29" s="206">
        <f>E28+E28*$D$12</f>
        <v>20.836274999999997</v>
      </c>
      <c r="E29" s="207"/>
      <c r="G29" s="205"/>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row>
    <row r="30" spans="2:45" s="40" customFormat="1" x14ac:dyDescent="0.25">
      <c r="C30" s="202" t="s">
        <v>570</v>
      </c>
      <c r="D30" s="207"/>
      <c r="E30" s="203">
        <f>AVERAGE(INDEX(F30:X30,(MATCH(TRUE,INDEX(ISNUMBER(F30:X30),0),0))),INDEX(F30:X30,(MATCH(TRUE,INDEX(ISNUMBER(F30:X30),0),0)+1)),INDEX(F30:X30,(MATCH(TRUE,INDEX(ISNUMBER(F30:X30),0),0)+2)),INDEX(F30:X30,(MATCH(TRUE,INDEX(ISNUMBER(F30:X30),0),0)+3)))</f>
        <v>20.824999999999999</v>
      </c>
      <c r="G30" s="204"/>
      <c r="H30" s="204"/>
      <c r="I30" s="204">
        <v>21.89</v>
      </c>
      <c r="J30" s="204">
        <v>22.44</v>
      </c>
      <c r="K30" s="204">
        <v>27.41</v>
      </c>
      <c r="L30" s="204">
        <v>11.56</v>
      </c>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row>
    <row r="31" spans="2:45" s="40" customFormat="1" ht="30" x14ac:dyDescent="0.25">
      <c r="B31" s="40" t="s">
        <v>243</v>
      </c>
      <c r="C31" s="202" t="s">
        <v>571</v>
      </c>
      <c r="D31" s="206">
        <f>E30+E30*$D$12</f>
        <v>22.511824999999998</v>
      </c>
      <c r="E31" s="207"/>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row>
    <row r="32" spans="2:45" s="40" customFormat="1" x14ac:dyDescent="0.25">
      <c r="C32" s="202" t="s">
        <v>572</v>
      </c>
      <c r="D32" s="207"/>
      <c r="E32" s="203">
        <f>AVERAGE(INDEX(F32:X32,(MATCH(TRUE,INDEX(ISNUMBER(F32:X32),0),0))),INDEX(F32:X32,(MATCH(TRUE,INDEX(ISNUMBER(F32:X32),0),0)+1)),INDEX(F32:X32,(MATCH(TRUE,INDEX(ISNUMBER(F32:X32),0),0)+2)),INDEX(F32:X32,(MATCH(TRUE,INDEX(ISNUMBER(F32:X32),0),0)+3)))</f>
        <v>34.052500000000002</v>
      </c>
      <c r="G32" s="204"/>
      <c r="H32" s="204"/>
      <c r="I32" s="204">
        <v>33.31</v>
      </c>
      <c r="J32" s="204">
        <v>37.409999999999997</v>
      </c>
      <c r="K32" s="204">
        <v>37.4</v>
      </c>
      <c r="L32" s="204">
        <v>28.09</v>
      </c>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row>
    <row r="33" spans="2:45" s="40" customFormat="1" ht="30" x14ac:dyDescent="0.25">
      <c r="B33" s="40" t="s">
        <v>257</v>
      </c>
      <c r="C33" s="202" t="s">
        <v>573</v>
      </c>
      <c r="D33" s="206">
        <f>E32+E32*$D$12</f>
        <v>36.8107525</v>
      </c>
      <c r="E33" s="207"/>
      <c r="G33" s="205"/>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row>
    <row r="34" spans="2:45" s="40" customFormat="1" ht="17.25" x14ac:dyDescent="0.25">
      <c r="C34" s="202" t="s">
        <v>300</v>
      </c>
      <c r="D34" s="207"/>
      <c r="E34" s="203">
        <f t="shared" ref="E34:E46" si="2">AVERAGE(INDEX(F34:X34,(MATCH(TRUE,INDEX(ISNUMBER(F34:X34),0),0))),INDEX(F34:X34,(MATCH(TRUE,INDEX(ISNUMBER(F34:X34),0),0)+1)),INDEX(F34:X34,(MATCH(TRUE,INDEX(ISNUMBER(F34:X34),0),0)+2)),INDEX(F34:X34,(MATCH(TRUE,INDEX(ISNUMBER(F34:X34),0),0)+3)))</f>
        <v>30.375</v>
      </c>
      <c r="G34" s="204"/>
      <c r="H34" s="204"/>
      <c r="I34" s="204">
        <v>28.71</v>
      </c>
      <c r="J34" s="204">
        <v>33.26</v>
      </c>
      <c r="K34" s="204">
        <v>34.4</v>
      </c>
      <c r="L34" s="204">
        <v>25.13</v>
      </c>
      <c r="M34" s="204"/>
      <c r="N34" s="204"/>
      <c r="O34" s="204"/>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row>
    <row r="35" spans="2:45" s="40" customFormat="1" ht="32.25" x14ac:dyDescent="0.25">
      <c r="B35" s="40" t="s">
        <v>258</v>
      </c>
      <c r="C35" s="202" t="s">
        <v>301</v>
      </c>
      <c r="D35" s="206">
        <f>E34+E34*$D$12</f>
        <v>32.835374999999999</v>
      </c>
      <c r="E35" s="207"/>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row>
    <row r="36" spans="2:45" s="40" customFormat="1" ht="17.25" x14ac:dyDescent="0.25">
      <c r="C36" s="202" t="s">
        <v>302</v>
      </c>
      <c r="D36" s="207"/>
      <c r="E36" s="203">
        <f t="shared" si="2"/>
        <v>25.934999999999995</v>
      </c>
      <c r="G36" s="204"/>
      <c r="H36" s="204"/>
      <c r="I36" s="204">
        <v>24.53</v>
      </c>
      <c r="J36" s="204">
        <v>28.63</v>
      </c>
      <c r="K36" s="204">
        <v>29.79</v>
      </c>
      <c r="L36" s="204">
        <v>20.79</v>
      </c>
      <c r="M36" s="204"/>
      <c r="N36" s="204"/>
      <c r="O36" s="204"/>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row>
    <row r="37" spans="2:45" s="40" customFormat="1" ht="32.25" x14ac:dyDescent="0.25">
      <c r="B37" s="40" t="s">
        <v>259</v>
      </c>
      <c r="C37" s="202" t="s">
        <v>303</v>
      </c>
      <c r="D37" s="206">
        <f>E36+E36*$D$12</f>
        <v>28.035734999999995</v>
      </c>
      <c r="E37" s="207"/>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row>
    <row r="38" spans="2:45" s="40" customFormat="1" ht="17.25" x14ac:dyDescent="0.25">
      <c r="C38" s="202" t="s">
        <v>304</v>
      </c>
      <c r="D38" s="207"/>
      <c r="E38" s="203">
        <f t="shared" si="2"/>
        <v>29.472499999999997</v>
      </c>
      <c r="G38" s="204"/>
      <c r="H38" s="204"/>
      <c r="I38" s="204">
        <v>25.07</v>
      </c>
      <c r="J38" s="204">
        <v>30.01</v>
      </c>
      <c r="K38" s="204">
        <v>32.15</v>
      </c>
      <c r="L38" s="204">
        <v>30.66</v>
      </c>
      <c r="M38" s="204"/>
      <c r="N38" s="204"/>
      <c r="O38" s="204"/>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row>
    <row r="39" spans="2:45" s="40" customFormat="1" ht="32.25" x14ac:dyDescent="0.25">
      <c r="B39" s="40" t="s">
        <v>260</v>
      </c>
      <c r="C39" s="202" t="s">
        <v>305</v>
      </c>
      <c r="D39" s="206">
        <f>E38+E38*$D$12</f>
        <v>31.859772499999998</v>
      </c>
      <c r="E39" s="207"/>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row>
    <row r="40" spans="2:45" s="40" customFormat="1" ht="17.25" x14ac:dyDescent="0.25">
      <c r="C40" s="202" t="s">
        <v>306</v>
      </c>
      <c r="D40" s="207"/>
      <c r="E40" s="203">
        <f t="shared" si="2"/>
        <v>26.564999999999998</v>
      </c>
      <c r="G40" s="204"/>
      <c r="H40" s="204"/>
      <c r="I40" s="204">
        <v>22.76</v>
      </c>
      <c r="J40" s="204">
        <v>27.15</v>
      </c>
      <c r="K40" s="204">
        <v>28.92</v>
      </c>
      <c r="L40" s="204">
        <v>27.43</v>
      </c>
      <c r="M40" s="204"/>
      <c r="N40" s="204"/>
      <c r="O40" s="204"/>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row>
    <row r="41" spans="2:45" s="40" customFormat="1" ht="32.25" x14ac:dyDescent="0.25">
      <c r="B41" s="40" t="s">
        <v>261</v>
      </c>
      <c r="C41" s="202" t="s">
        <v>307</v>
      </c>
      <c r="D41" s="206">
        <f>E40+E40*$D$12</f>
        <v>28.716764999999999</v>
      </c>
      <c r="E41" s="207"/>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row>
    <row r="42" spans="2:45" s="40" customFormat="1" ht="17.25" x14ac:dyDescent="0.25">
      <c r="C42" s="202" t="s">
        <v>308</v>
      </c>
      <c r="D42" s="207"/>
      <c r="E42" s="203">
        <f t="shared" si="2"/>
        <v>24.9925</v>
      </c>
      <c r="G42" s="204"/>
      <c r="H42" s="204"/>
      <c r="I42" s="204">
        <v>21.86</v>
      </c>
      <c r="J42" s="204">
        <v>25.76</v>
      </c>
      <c r="K42" s="204">
        <v>26.92</v>
      </c>
      <c r="L42" s="204">
        <v>25.43</v>
      </c>
      <c r="M42" s="204"/>
      <c r="N42" s="204"/>
      <c r="O42" s="204"/>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row>
    <row r="43" spans="2:45" s="40" customFormat="1" ht="32.25" x14ac:dyDescent="0.25">
      <c r="B43" s="40" t="s">
        <v>241</v>
      </c>
      <c r="C43" s="202" t="s">
        <v>309</v>
      </c>
      <c r="D43" s="206">
        <f>E42+E42*$D$12</f>
        <v>27.016892500000001</v>
      </c>
      <c r="E43" s="207"/>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row>
    <row r="44" spans="2:45" s="40" customFormat="1" ht="17.25" x14ac:dyDescent="0.25">
      <c r="C44" s="202" t="s">
        <v>310</v>
      </c>
      <c r="D44" s="207"/>
      <c r="E44" s="203">
        <f t="shared" si="2"/>
        <v>26.335000000000001</v>
      </c>
      <c r="G44" s="204"/>
      <c r="H44" s="204"/>
      <c r="I44" s="204">
        <v>22.64</v>
      </c>
      <c r="J44" s="204">
        <v>27.01</v>
      </c>
      <c r="K44" s="204">
        <v>28.59</v>
      </c>
      <c r="L44" s="204">
        <v>27.1</v>
      </c>
      <c r="M44" s="204"/>
      <c r="N44" s="204"/>
      <c r="O44" s="204"/>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row>
    <row r="45" spans="2:45" s="40" customFormat="1" ht="32.25" x14ac:dyDescent="0.25">
      <c r="B45" s="40" t="s">
        <v>242</v>
      </c>
      <c r="C45" s="202" t="s">
        <v>311</v>
      </c>
      <c r="D45" s="206">
        <f>E44+E44*$D$12</f>
        <v>28.468135</v>
      </c>
      <c r="E45" s="207"/>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row>
    <row r="46" spans="2:45" s="40" customFormat="1" ht="17.25" x14ac:dyDescent="0.25">
      <c r="C46" s="202" t="s">
        <v>312</v>
      </c>
      <c r="D46" s="207"/>
      <c r="E46" s="203">
        <f t="shared" si="2"/>
        <v>28.1</v>
      </c>
      <c r="G46" s="204"/>
      <c r="H46" s="204"/>
      <c r="I46" s="204">
        <v>23.29</v>
      </c>
      <c r="J46" s="204">
        <v>28.44</v>
      </c>
      <c r="K46" s="204">
        <v>31.08</v>
      </c>
      <c r="L46" s="204">
        <v>29.59</v>
      </c>
      <c r="M46" s="204"/>
      <c r="N46" s="204"/>
      <c r="O46" s="204"/>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row>
    <row r="47" spans="2:45" s="62" customFormat="1" ht="33" thickBot="1" x14ac:dyDescent="0.3">
      <c r="B47" s="62" t="s">
        <v>262</v>
      </c>
      <c r="C47" s="208" t="s">
        <v>313</v>
      </c>
      <c r="D47" s="209">
        <f>E46+E46*$D$12</f>
        <v>30.376100000000001</v>
      </c>
      <c r="E47" s="208"/>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10"/>
      <c r="AQ47" s="210"/>
      <c r="AR47" s="210"/>
      <c r="AS47" s="210"/>
    </row>
    <row r="48" spans="2:45" s="40" customFormat="1" ht="45" x14ac:dyDescent="0.25">
      <c r="C48" s="202"/>
      <c r="D48" s="15" t="s">
        <v>265</v>
      </c>
      <c r="E48" s="15" t="s">
        <v>98</v>
      </c>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row>
    <row r="49" spans="3:45" s="43" customFormat="1" ht="17.25" x14ac:dyDescent="0.25">
      <c r="C49" s="211" t="s">
        <v>326</v>
      </c>
      <c r="D49" s="211"/>
      <c r="G49" s="212"/>
      <c r="H49" s="212"/>
      <c r="I49" s="212">
        <v>3260.25</v>
      </c>
      <c r="J49" s="212">
        <v>2802.43</v>
      </c>
      <c r="K49" s="213">
        <v>2700.74</v>
      </c>
      <c r="L49" s="213">
        <v>3234.79</v>
      </c>
      <c r="M49" s="213">
        <v>3229.21</v>
      </c>
      <c r="N49" s="213">
        <v>2088.4416666666666</v>
      </c>
      <c r="O49" s="213">
        <v>2090.8391666666698</v>
      </c>
      <c r="P49" s="214">
        <v>2135.9791666666665</v>
      </c>
      <c r="Q49" s="214">
        <v>2158.5508333333332</v>
      </c>
      <c r="R49" s="214">
        <v>2157.04</v>
      </c>
      <c r="S49" s="214">
        <v>2179.87</v>
      </c>
      <c r="T49" s="214">
        <v>2286.5100000000002</v>
      </c>
      <c r="U49" s="214">
        <v>2422.46</v>
      </c>
      <c r="V49" s="214">
        <v>2386.98</v>
      </c>
      <c r="W49" s="214">
        <v>2224.11</v>
      </c>
      <c r="X49" s="214">
        <v>2344.2800000000002</v>
      </c>
      <c r="Y49" s="214">
        <v>2378.35</v>
      </c>
      <c r="Z49" s="214">
        <v>2309</v>
      </c>
      <c r="AA49" s="214">
        <v>2180.81</v>
      </c>
      <c r="AB49" s="214">
        <v>2315.3200000000002</v>
      </c>
      <c r="AC49" s="214">
        <v>2047.9</v>
      </c>
      <c r="AD49" s="19"/>
      <c r="AE49" s="19"/>
      <c r="AF49" s="19"/>
      <c r="AG49" s="19"/>
      <c r="AH49" s="19"/>
      <c r="AI49" s="19"/>
      <c r="AJ49" s="19"/>
      <c r="AK49" s="19"/>
      <c r="AL49" s="19"/>
      <c r="AM49" s="19"/>
      <c r="AN49" s="19"/>
      <c r="AO49" s="19"/>
      <c r="AP49" s="19"/>
      <c r="AQ49" s="19"/>
      <c r="AR49" s="19"/>
      <c r="AS49" s="19"/>
    </row>
    <row r="50" spans="3:45" s="43" customFormat="1" ht="17.25" x14ac:dyDescent="0.25">
      <c r="C50" s="211" t="s">
        <v>327</v>
      </c>
      <c r="D50" s="211"/>
      <c r="E50" s="215"/>
      <c r="G50" s="216" t="str">
        <f>IF(G49="","",G49/6000/4.8*100)</f>
        <v/>
      </c>
      <c r="H50" s="216" t="str">
        <f t="shared" ref="H50:P50" si="3">IF(H49="","",H49/6000/4.8*100)</f>
        <v/>
      </c>
      <c r="I50" s="216">
        <f t="shared" si="3"/>
        <v>11.320312500000002</v>
      </c>
      <c r="J50" s="216">
        <f t="shared" si="3"/>
        <v>9.7306597222222226</v>
      </c>
      <c r="K50" s="216">
        <f t="shared" ref="K50" si="4">IF(K49="","",K49/6000/4.8*100)</f>
        <v>9.3775694444444451</v>
      </c>
      <c r="L50" s="278">
        <f t="shared" si="3"/>
        <v>11.231909722222223</v>
      </c>
      <c r="M50" s="278">
        <f t="shared" si="3"/>
        <v>11.212534722222223</v>
      </c>
      <c r="N50" s="216">
        <f t="shared" si="3"/>
        <v>7.2515335648148156</v>
      </c>
      <c r="O50" s="216">
        <f t="shared" si="3"/>
        <v>7.259858217592603</v>
      </c>
      <c r="P50" s="216">
        <f t="shared" si="3"/>
        <v>7.4165943287037033</v>
      </c>
      <c r="Q50" s="216">
        <f t="shared" ref="Q50:AC50" si="5">Q49/6000/4.8*100</f>
        <v>7.4949681712962954</v>
      </c>
      <c r="R50" s="216">
        <f t="shared" si="5"/>
        <v>7.4897222222222224</v>
      </c>
      <c r="S50" s="216">
        <f t="shared" si="5"/>
        <v>7.5689930555555547</v>
      </c>
      <c r="T50" s="216">
        <f t="shared" si="5"/>
        <v>7.9392708333333353</v>
      </c>
      <c r="U50" s="216">
        <f t="shared" si="5"/>
        <v>8.4113194444444463</v>
      </c>
      <c r="V50" s="216">
        <f t="shared" si="5"/>
        <v>8.2881250000000009</v>
      </c>
      <c r="W50" s="216">
        <f t="shared" si="5"/>
        <v>7.7226041666666676</v>
      </c>
      <c r="X50" s="216">
        <f t="shared" si="5"/>
        <v>8.1398611111111112</v>
      </c>
      <c r="Y50" s="216">
        <f t="shared" si="5"/>
        <v>8.2581597222222225</v>
      </c>
      <c r="Z50" s="216">
        <f t="shared" si="5"/>
        <v>8.0173611111111125</v>
      </c>
      <c r="AA50" s="216">
        <f t="shared" si="5"/>
        <v>7.5722569444444439</v>
      </c>
      <c r="AB50" s="216">
        <f t="shared" si="5"/>
        <v>8.0393055555555559</v>
      </c>
      <c r="AC50" s="216">
        <f t="shared" si="5"/>
        <v>7.1107638888888891</v>
      </c>
      <c r="AD50" s="19"/>
      <c r="AE50" s="19"/>
      <c r="AF50" s="19"/>
      <c r="AG50" s="19"/>
      <c r="AH50" s="19"/>
      <c r="AI50" s="19"/>
      <c r="AJ50" s="19"/>
      <c r="AK50" s="19"/>
      <c r="AL50" s="19"/>
      <c r="AM50" s="19"/>
      <c r="AN50" s="19"/>
      <c r="AO50" s="19"/>
      <c r="AP50" s="19"/>
      <c r="AQ50" s="19"/>
      <c r="AR50" s="19"/>
      <c r="AS50" s="19"/>
    </row>
    <row r="51" spans="3:45" s="43" customFormat="1" x14ac:dyDescent="0.25">
      <c r="C51" s="211" t="s">
        <v>266</v>
      </c>
      <c r="D51" s="211"/>
      <c r="E51" s="217">
        <f>AVERAGE(INDEX(F51:X51,(MATCH(TRUE,INDEX(ISNUMBER(F51:X51),0),0))),INDEX(F51:X51,(MATCH(TRUE,INDEX(ISNUMBER(F51:X51),0),0)+1)),INDEX(F51:X51,(MATCH(TRUE,INDEX(ISNUMBER(F51:X51),0),0)+2)),INDEX(F51:X51,(MATCH(TRUE,INDEX(ISNUMBER(F51:X51),0),0)+3)))</f>
        <v>9.6443494290084892</v>
      </c>
      <c r="G51" s="216" t="str">
        <f t="shared" ref="G51:P51" si="6">IF(G50="","",G50/(1+G12))</f>
        <v/>
      </c>
      <c r="H51" s="216" t="str">
        <f t="shared" si="6"/>
        <v/>
      </c>
      <c r="I51" s="216">
        <f t="shared" si="6"/>
        <v>10.472074468085108</v>
      </c>
      <c r="J51" s="216">
        <f t="shared" si="6"/>
        <v>9.0015353582074216</v>
      </c>
      <c r="K51" s="216">
        <f t="shared" ref="K51" si="7">IF(K50="","",K50/(1+K12))</f>
        <v>8.6749023537876457</v>
      </c>
      <c r="L51" s="278">
        <f t="shared" si="6"/>
        <v>10.428885535953782</v>
      </c>
      <c r="M51" s="278">
        <f t="shared" si="6"/>
        <v>10.410895749509956</v>
      </c>
      <c r="N51" s="216">
        <f t="shared" si="6"/>
        <v>6.7330859469032642</v>
      </c>
      <c r="O51" s="216">
        <f t="shared" si="6"/>
        <v>6.7408154295195946</v>
      </c>
      <c r="P51" s="216">
        <f t="shared" si="6"/>
        <v>6.8863457091027884</v>
      </c>
      <c r="Q51" s="216">
        <f t="shared" ref="Q51:AC51" si="8">Q50/(1+Q12)</f>
        <v>6.9591162221878324</v>
      </c>
      <c r="R51" s="216">
        <f t="shared" si="8"/>
        <v>6.9349279835390947</v>
      </c>
      <c r="S51" s="216">
        <f t="shared" si="8"/>
        <v>7.00832690329218</v>
      </c>
      <c r="T51" s="216">
        <f t="shared" si="8"/>
        <v>7.3511766975308657</v>
      </c>
      <c r="U51" s="216">
        <f t="shared" si="8"/>
        <v>7.7882587448559679</v>
      </c>
      <c r="V51" s="216">
        <f t="shared" si="8"/>
        <v>7.6741898148148149</v>
      </c>
      <c r="W51" s="216">
        <f t="shared" si="8"/>
        <v>7.1505594135802477</v>
      </c>
      <c r="X51" s="216">
        <f t="shared" si="8"/>
        <v>7.5369084362139915</v>
      </c>
      <c r="Y51" s="216">
        <f t="shared" si="8"/>
        <v>7.6748696303180504</v>
      </c>
      <c r="Z51" s="216">
        <f t="shared" si="8"/>
        <v>7.4510790995456428</v>
      </c>
      <c r="AA51" s="216">
        <f t="shared" si="8"/>
        <v>7.0374135171416761</v>
      </c>
      <c r="AB51" s="216">
        <f t="shared" si="8"/>
        <v>7.4714735646427091</v>
      </c>
      <c r="AC51" s="216">
        <f t="shared" si="8"/>
        <v>6.6085166253614203</v>
      </c>
      <c r="AD51" s="19"/>
      <c r="AE51" s="19"/>
      <c r="AF51" s="19"/>
      <c r="AG51" s="19"/>
      <c r="AH51" s="19"/>
      <c r="AI51" s="19"/>
      <c r="AJ51" s="19"/>
      <c r="AK51" s="19"/>
      <c r="AL51" s="19"/>
      <c r="AM51" s="19"/>
      <c r="AN51" s="19"/>
      <c r="AO51" s="19"/>
      <c r="AP51" s="19"/>
      <c r="AQ51" s="19"/>
      <c r="AR51" s="19"/>
      <c r="AS51" s="19"/>
    </row>
    <row r="52" spans="3:45" s="64" customFormat="1" ht="15.75" thickBot="1" x14ac:dyDescent="0.3">
      <c r="C52" s="218" t="s">
        <v>267</v>
      </c>
      <c r="D52" s="219">
        <f>E51+E51*MWST</f>
        <v>10.425541732758177</v>
      </c>
      <c r="E52" s="220"/>
      <c r="G52" s="221"/>
      <c r="H52" s="221"/>
      <c r="I52" s="221"/>
      <c r="J52" s="221"/>
      <c r="K52" s="221"/>
      <c r="L52" s="221"/>
      <c r="M52" s="221"/>
      <c r="N52" s="221"/>
      <c r="O52" s="221"/>
      <c r="P52" s="222"/>
      <c r="Q52" s="222"/>
      <c r="R52" s="222"/>
      <c r="S52" s="222"/>
      <c r="T52" s="222"/>
      <c r="U52" s="222"/>
      <c r="V52" s="222"/>
      <c r="W52" s="222"/>
      <c r="X52" s="222"/>
      <c r="Y52" s="222"/>
      <c r="Z52" s="222"/>
      <c r="AA52" s="222"/>
      <c r="AB52" s="222"/>
      <c r="AC52" s="222"/>
      <c r="AD52" s="63"/>
      <c r="AE52" s="63"/>
      <c r="AF52" s="63"/>
      <c r="AG52" s="63"/>
      <c r="AH52" s="63"/>
      <c r="AI52" s="63"/>
      <c r="AJ52" s="63"/>
      <c r="AK52" s="63"/>
      <c r="AL52" s="63"/>
      <c r="AM52" s="63"/>
      <c r="AN52" s="63"/>
      <c r="AO52" s="63"/>
      <c r="AP52" s="63"/>
      <c r="AQ52" s="63"/>
      <c r="AR52" s="63"/>
      <c r="AS52" s="63"/>
    </row>
    <row r="53" spans="3:45" s="43" customFormat="1" ht="45" x14ac:dyDescent="0.25">
      <c r="C53" s="211"/>
      <c r="D53" s="15" t="s">
        <v>265</v>
      </c>
      <c r="E53" s="15" t="s">
        <v>98</v>
      </c>
      <c r="G53" s="212"/>
      <c r="H53" s="212"/>
      <c r="I53" s="212"/>
      <c r="J53" s="212"/>
      <c r="K53" s="212"/>
      <c r="L53" s="212"/>
      <c r="M53" s="212"/>
      <c r="N53" s="212"/>
      <c r="O53" s="212"/>
      <c r="P53" s="216"/>
      <c r="Q53" s="216"/>
      <c r="R53" s="216"/>
      <c r="S53" s="216"/>
      <c r="T53" s="216"/>
      <c r="U53" s="216"/>
      <c r="V53" s="216"/>
      <c r="W53" s="216"/>
      <c r="X53" s="216"/>
      <c r="Y53" s="216"/>
      <c r="Z53" s="216"/>
      <c r="AA53" s="216"/>
      <c r="AB53" s="216"/>
      <c r="AC53" s="216"/>
      <c r="AD53" s="19"/>
      <c r="AE53" s="19"/>
      <c r="AF53" s="19"/>
      <c r="AG53" s="19"/>
      <c r="AH53" s="19"/>
      <c r="AI53" s="19"/>
      <c r="AJ53" s="19"/>
      <c r="AK53" s="19"/>
      <c r="AL53" s="19"/>
      <c r="AM53" s="19"/>
      <c r="AN53" s="19"/>
      <c r="AO53" s="19"/>
      <c r="AP53" s="19"/>
      <c r="AQ53" s="19"/>
      <c r="AR53" s="19"/>
      <c r="AS53" s="19"/>
    </row>
    <row r="54" spans="3:45" s="68" customFormat="1" ht="32.25" hidden="1" x14ac:dyDescent="0.25">
      <c r="C54" s="223" t="s">
        <v>349</v>
      </c>
      <c r="D54" s="224"/>
      <c r="E54" s="225">
        <f>AVERAGE(INDEX(F54:X54,(MATCH(TRUE,INDEX(ISNUMBER(F54:X54),0),0))),INDEX(F54:X54,(MATCH(TRUE,INDEX(ISNUMBER(F54:X54),0),0)+1)),INDEX(F54:X54,(MATCH(TRUE,INDEX(ISNUMBER(F54:X54),0),0)+2)),INDEX(F54:X54,(MATCH(TRUE,INDEX(ISNUMBER(F54:X54),0),0)+3)))</f>
        <v>6</v>
      </c>
      <c r="G54" s="226"/>
      <c r="H54" s="226"/>
      <c r="I54" s="226"/>
      <c r="J54" s="226"/>
      <c r="K54" s="226"/>
      <c r="L54" s="226"/>
      <c r="M54" s="226"/>
      <c r="N54" s="226"/>
      <c r="O54" s="226"/>
      <c r="P54" s="227">
        <v>6</v>
      </c>
      <c r="Q54" s="227"/>
      <c r="R54" s="227"/>
      <c r="S54" s="227"/>
      <c r="T54" s="227"/>
      <c r="U54" s="227"/>
      <c r="V54" s="227"/>
      <c r="W54" s="227"/>
      <c r="X54" s="227"/>
      <c r="Y54" s="227"/>
      <c r="Z54" s="227"/>
      <c r="AA54" s="227"/>
      <c r="AB54" s="227"/>
      <c r="AC54" s="227"/>
      <c r="AD54" s="228"/>
      <c r="AE54" s="228"/>
      <c r="AF54" s="228"/>
      <c r="AG54" s="228"/>
      <c r="AH54" s="228"/>
      <c r="AI54" s="228"/>
      <c r="AJ54" s="228"/>
      <c r="AK54" s="228"/>
      <c r="AL54" s="228"/>
      <c r="AM54" s="228"/>
      <c r="AN54" s="228"/>
      <c r="AO54" s="228"/>
      <c r="AP54" s="228"/>
      <c r="AQ54" s="228"/>
      <c r="AR54" s="228"/>
      <c r="AS54" s="228"/>
    </row>
    <row r="55" spans="3:45" s="43" customFormat="1" ht="30" hidden="1" x14ac:dyDescent="0.25">
      <c r="C55" s="223" t="s">
        <v>350</v>
      </c>
      <c r="D55" s="225">
        <f>E54+E54*MWST</f>
        <v>6.4859999999999998</v>
      </c>
      <c r="E55" s="15"/>
      <c r="G55" s="212"/>
      <c r="H55" s="212"/>
      <c r="I55" s="212"/>
      <c r="J55" s="212"/>
      <c r="K55" s="212"/>
      <c r="L55" s="212"/>
      <c r="M55" s="212"/>
      <c r="N55" s="212"/>
      <c r="O55" s="212"/>
      <c r="P55" s="216"/>
      <c r="Q55" s="216"/>
      <c r="R55" s="216"/>
      <c r="S55" s="216"/>
      <c r="T55" s="216"/>
      <c r="U55" s="216"/>
      <c r="V55" s="216"/>
      <c r="W55" s="216"/>
      <c r="X55" s="216"/>
      <c r="Y55" s="216"/>
      <c r="Z55" s="216"/>
      <c r="AA55" s="216"/>
      <c r="AB55" s="216"/>
      <c r="AC55" s="216"/>
      <c r="AD55" s="19"/>
      <c r="AE55" s="19"/>
      <c r="AF55" s="19"/>
      <c r="AG55" s="19"/>
      <c r="AH55" s="19"/>
      <c r="AI55" s="19"/>
      <c r="AJ55" s="19"/>
      <c r="AK55" s="19"/>
      <c r="AL55" s="19"/>
      <c r="AM55" s="19"/>
      <c r="AN55" s="19"/>
      <c r="AO55" s="19"/>
      <c r="AP55" s="19"/>
      <c r="AQ55" s="19"/>
      <c r="AR55" s="19"/>
      <c r="AS55" s="19"/>
    </row>
    <row r="56" spans="3:45" s="43" customFormat="1" ht="32.25" x14ac:dyDescent="0.25">
      <c r="C56" s="223" t="s">
        <v>473</v>
      </c>
      <c r="D56" s="224"/>
      <c r="E56" s="215"/>
      <c r="G56" s="227">
        <v>6</v>
      </c>
      <c r="H56" s="227">
        <v>6</v>
      </c>
      <c r="I56" s="227">
        <v>6</v>
      </c>
      <c r="J56" s="227">
        <v>6</v>
      </c>
      <c r="K56" s="227">
        <v>6</v>
      </c>
      <c r="L56" s="227">
        <v>6</v>
      </c>
      <c r="M56" s="227">
        <v>6</v>
      </c>
      <c r="N56" s="227">
        <v>6</v>
      </c>
      <c r="O56" s="227">
        <v>6</v>
      </c>
      <c r="P56" s="227">
        <v>6</v>
      </c>
      <c r="Q56" s="216"/>
      <c r="R56" s="216"/>
      <c r="S56" s="216"/>
      <c r="T56" s="216"/>
      <c r="U56" s="216"/>
      <c r="V56" s="216"/>
      <c r="W56" s="216"/>
      <c r="X56" s="216"/>
      <c r="Y56" s="216"/>
      <c r="Z56" s="216"/>
      <c r="AA56" s="216"/>
      <c r="AB56" s="216"/>
      <c r="AC56" s="216"/>
      <c r="AD56" s="19"/>
      <c r="AE56" s="19"/>
      <c r="AF56" s="19"/>
      <c r="AG56" s="19"/>
      <c r="AH56" s="19"/>
      <c r="AI56" s="19"/>
      <c r="AJ56" s="19"/>
      <c r="AK56" s="19"/>
      <c r="AL56" s="19"/>
      <c r="AM56" s="19"/>
      <c r="AN56" s="19"/>
      <c r="AO56" s="19"/>
      <c r="AP56" s="19"/>
      <c r="AQ56" s="19"/>
      <c r="AR56" s="19"/>
      <c r="AS56" s="19"/>
    </row>
    <row r="57" spans="3:45" s="43" customFormat="1" ht="17.25" x14ac:dyDescent="0.25">
      <c r="C57" s="223" t="s">
        <v>475</v>
      </c>
      <c r="D57" s="224"/>
      <c r="E57" s="215"/>
      <c r="G57" s="226"/>
      <c r="H57" s="226"/>
      <c r="I57" s="226">
        <v>135.30000000000001</v>
      </c>
      <c r="J57" s="226">
        <v>134.19999999999999</v>
      </c>
      <c r="K57" s="226">
        <v>133.69999999999999</v>
      </c>
      <c r="L57" s="226">
        <v>133.1</v>
      </c>
      <c r="M57" s="226">
        <v>125.4</v>
      </c>
      <c r="N57" s="226">
        <v>115.4</v>
      </c>
      <c r="O57" s="226">
        <v>112.7</v>
      </c>
      <c r="P57" s="68">
        <v>115.3</v>
      </c>
      <c r="Q57" s="216"/>
      <c r="R57" s="216"/>
      <c r="S57" s="216"/>
      <c r="T57" s="216"/>
      <c r="U57" s="216"/>
      <c r="V57" s="216"/>
      <c r="W57" s="216"/>
      <c r="X57" s="216"/>
      <c r="Y57" s="216"/>
      <c r="Z57" s="216"/>
      <c r="AA57" s="216"/>
      <c r="AB57" s="216"/>
      <c r="AC57" s="216"/>
      <c r="AD57" s="19"/>
      <c r="AE57" s="19"/>
      <c r="AF57" s="19"/>
      <c r="AG57" s="19"/>
      <c r="AH57" s="19"/>
      <c r="AI57" s="19"/>
      <c r="AJ57" s="19"/>
      <c r="AK57" s="19"/>
      <c r="AL57" s="19"/>
      <c r="AM57" s="19"/>
      <c r="AN57" s="19"/>
      <c r="AO57" s="19"/>
      <c r="AP57" s="19"/>
      <c r="AQ57" s="19"/>
      <c r="AR57" s="19"/>
      <c r="AS57" s="19"/>
    </row>
    <row r="58" spans="3:45" s="43" customFormat="1" ht="17.25" x14ac:dyDescent="0.25">
      <c r="C58" s="223" t="s">
        <v>476</v>
      </c>
      <c r="D58" s="224"/>
      <c r="E58" s="229" cm="1">
        <f t="array" ref="E58">AVERAGE(INDEX(F58:X58,(MATCH(TRUE,INDEX(ISNUMBER(F58:X58),0),0))),INDEX(F58:X58,(MATCH(TRUE,INDEX(ISNUMBER(F58:X58),0),0)+1)),INDEX(F58:X58,(MATCH(TRUE,INDEX(ISNUMBER(F58:X58),0),0)+2)),INDEX(F58:X58,(MATCH(TRUE,INDEX(ISNUMBER(F58:X58),0),0)+3)))</f>
        <v>6.977016478751084</v>
      </c>
      <c r="G58" s="230" t="str">
        <f>IF(G57="","",G56*(G57/$P$57))</f>
        <v/>
      </c>
      <c r="H58" s="230" t="str">
        <f t="shared" ref="H58:P58" si="9">IF(H57="","",H56*(H57/$P$57))</f>
        <v/>
      </c>
      <c r="I58" s="230">
        <f>IF(I57="","",I56*(I57/$P$57))</f>
        <v>7.0407632263660016</v>
      </c>
      <c r="J58" s="230">
        <f t="shared" si="9"/>
        <v>6.9835212489158707</v>
      </c>
      <c r="K58" s="230">
        <f t="shared" si="9"/>
        <v>6.9575021682567213</v>
      </c>
      <c r="L58" s="230">
        <f t="shared" si="9"/>
        <v>6.9262792714657415</v>
      </c>
      <c r="M58" s="230">
        <f t="shared" si="9"/>
        <v>6.5255854293148321</v>
      </c>
      <c r="N58" s="227">
        <f t="shared" si="9"/>
        <v>6.0052038161318304</v>
      </c>
      <c r="O58" s="227">
        <f t="shared" si="9"/>
        <v>5.8647007805724201</v>
      </c>
      <c r="P58" s="227">
        <f t="shared" si="9"/>
        <v>6</v>
      </c>
      <c r="Q58" s="230"/>
      <c r="R58" s="230"/>
      <c r="S58" s="230"/>
      <c r="T58" s="230"/>
      <c r="U58" s="230"/>
      <c r="V58" s="230"/>
      <c r="W58" s="230"/>
      <c r="X58" s="230"/>
      <c r="Y58" s="230"/>
      <c r="Z58" s="230"/>
      <c r="AA58" s="230"/>
      <c r="AB58" s="230"/>
      <c r="AC58" s="230"/>
      <c r="AD58" s="230"/>
      <c r="AE58" s="230"/>
      <c r="AF58" s="230"/>
      <c r="AG58" s="230"/>
      <c r="AH58" s="19"/>
      <c r="AI58" s="19"/>
      <c r="AJ58" s="19"/>
      <c r="AK58" s="19"/>
      <c r="AL58" s="19"/>
      <c r="AM58" s="19"/>
      <c r="AN58" s="19"/>
      <c r="AO58" s="19"/>
      <c r="AP58" s="19"/>
      <c r="AQ58" s="19"/>
      <c r="AR58" s="19"/>
      <c r="AS58" s="19"/>
    </row>
    <row r="59" spans="3:45" s="64" customFormat="1" ht="15.75" thickBot="1" x14ac:dyDescent="0.3">
      <c r="C59" s="231" t="s">
        <v>472</v>
      </c>
      <c r="D59" s="232">
        <f>E58+E58*MWST</f>
        <v>7.5421548135299217</v>
      </c>
      <c r="E59" s="220"/>
      <c r="G59" s="221"/>
      <c r="H59" s="221"/>
      <c r="I59" s="221"/>
      <c r="J59" s="221"/>
      <c r="K59" s="221"/>
      <c r="L59" s="221"/>
      <c r="M59" s="221"/>
      <c r="N59" s="221"/>
      <c r="O59" s="221"/>
      <c r="P59" s="222"/>
      <c r="Q59" s="222"/>
      <c r="R59" s="222"/>
      <c r="S59" s="222"/>
      <c r="T59" s="222"/>
      <c r="U59" s="222"/>
      <c r="V59" s="222"/>
      <c r="W59" s="222"/>
      <c r="X59" s="222"/>
      <c r="Y59" s="222"/>
      <c r="Z59" s="222"/>
      <c r="AA59" s="222"/>
      <c r="AB59" s="222"/>
      <c r="AC59" s="222"/>
      <c r="AD59" s="63"/>
      <c r="AE59" s="63"/>
      <c r="AF59" s="63"/>
      <c r="AG59" s="63"/>
      <c r="AH59" s="63"/>
      <c r="AI59" s="63"/>
      <c r="AJ59" s="63"/>
      <c r="AK59" s="63"/>
      <c r="AL59" s="63"/>
      <c r="AM59" s="63"/>
      <c r="AN59" s="63"/>
      <c r="AO59" s="63"/>
      <c r="AP59" s="63"/>
      <c r="AQ59" s="63"/>
      <c r="AR59" s="63"/>
      <c r="AS59" s="63"/>
    </row>
    <row r="60" spans="3:45" s="294" customFormat="1" ht="45" x14ac:dyDescent="0.25">
      <c r="C60" s="295"/>
      <c r="D60" s="296" t="s">
        <v>265</v>
      </c>
      <c r="E60" s="296" t="s">
        <v>98</v>
      </c>
      <c r="G60" s="297"/>
      <c r="H60" s="297"/>
      <c r="I60" s="297"/>
      <c r="J60" s="297"/>
      <c r="K60" s="297"/>
      <c r="L60" s="297"/>
      <c r="M60" s="297"/>
      <c r="N60" s="297"/>
      <c r="O60" s="297"/>
      <c r="P60" s="298"/>
      <c r="Q60" s="298"/>
      <c r="R60" s="298"/>
      <c r="S60" s="298"/>
      <c r="T60" s="298"/>
      <c r="U60" s="298"/>
      <c r="V60" s="298"/>
      <c r="W60" s="298"/>
      <c r="X60" s="298"/>
      <c r="Y60" s="298"/>
      <c r="Z60" s="298"/>
      <c r="AA60" s="298"/>
      <c r="AB60" s="298"/>
      <c r="AC60" s="298"/>
      <c r="AD60" s="299"/>
      <c r="AE60" s="299"/>
      <c r="AF60" s="299"/>
      <c r="AG60" s="299"/>
      <c r="AH60" s="299"/>
      <c r="AI60" s="299"/>
      <c r="AJ60" s="299"/>
      <c r="AK60" s="299"/>
      <c r="AL60" s="299"/>
      <c r="AM60" s="299"/>
      <c r="AN60" s="299"/>
      <c r="AO60" s="299"/>
      <c r="AP60" s="299"/>
      <c r="AQ60" s="299"/>
      <c r="AR60" s="299"/>
      <c r="AS60" s="299"/>
    </row>
    <row r="61" spans="3:45" s="294" customFormat="1" ht="17.25" customHeight="1" x14ac:dyDescent="0.25">
      <c r="C61" s="294" t="s">
        <v>612</v>
      </c>
      <c r="I61" s="294">
        <v>72.099999999999994</v>
      </c>
      <c r="J61" s="294">
        <v>72.099999999999994</v>
      </c>
      <c r="K61" s="294">
        <v>72.099999999999994</v>
      </c>
      <c r="L61" s="294">
        <v>72.099999999999994</v>
      </c>
      <c r="M61" s="294">
        <v>72.099999999999994</v>
      </c>
      <c r="N61" s="294">
        <v>72.099999999999994</v>
      </c>
      <c r="O61" s="297"/>
      <c r="P61" s="298"/>
      <c r="Q61" s="298"/>
      <c r="R61" s="298"/>
      <c r="S61" s="298"/>
      <c r="T61" s="298"/>
      <c r="U61" s="298"/>
      <c r="V61" s="298"/>
      <c r="W61" s="298"/>
      <c r="X61" s="298"/>
      <c r="Y61" s="298"/>
      <c r="Z61" s="298"/>
      <c r="AA61" s="298"/>
      <c r="AB61" s="298"/>
      <c r="AC61" s="298"/>
      <c r="AD61" s="299"/>
      <c r="AE61" s="299"/>
      <c r="AF61" s="299"/>
      <c r="AG61" s="299"/>
      <c r="AH61" s="299"/>
      <c r="AI61" s="299"/>
      <c r="AJ61" s="299"/>
      <c r="AK61" s="299"/>
      <c r="AL61" s="299"/>
      <c r="AM61" s="299"/>
      <c r="AN61" s="299"/>
      <c r="AO61" s="299"/>
      <c r="AP61" s="299"/>
      <c r="AQ61" s="299"/>
      <c r="AR61" s="299"/>
      <c r="AS61" s="299"/>
    </row>
    <row r="62" spans="3:45" s="294" customFormat="1" ht="30" customHeight="1" x14ac:dyDescent="0.25">
      <c r="C62" s="295" t="s">
        <v>613</v>
      </c>
      <c r="D62" s="300"/>
      <c r="E62" s="301"/>
      <c r="G62" s="297"/>
      <c r="H62" s="297"/>
      <c r="I62" s="297">
        <v>99.4</v>
      </c>
      <c r="J62" s="297">
        <v>100</v>
      </c>
      <c r="K62" s="297">
        <v>98.8</v>
      </c>
      <c r="L62" s="297">
        <v>88.2</v>
      </c>
      <c r="M62" s="297">
        <v>71.599999999999994</v>
      </c>
      <c r="N62" s="297">
        <v>64.900000000000006</v>
      </c>
      <c r="O62" s="297"/>
      <c r="P62" s="298"/>
      <c r="Q62" s="298"/>
      <c r="R62" s="298"/>
      <c r="S62" s="298"/>
      <c r="T62" s="298"/>
      <c r="U62" s="298"/>
      <c r="V62" s="298"/>
      <c r="W62" s="298"/>
      <c r="X62" s="298"/>
      <c r="Y62" s="298"/>
      <c r="Z62" s="298"/>
      <c r="AA62" s="298"/>
      <c r="AB62" s="298"/>
      <c r="AC62" s="298"/>
      <c r="AD62" s="299"/>
      <c r="AE62" s="299"/>
      <c r="AF62" s="299"/>
      <c r="AG62" s="299"/>
      <c r="AH62" s="299"/>
      <c r="AI62" s="299"/>
      <c r="AJ62" s="299"/>
      <c r="AK62" s="299"/>
      <c r="AL62" s="299"/>
      <c r="AM62" s="299"/>
      <c r="AN62" s="299"/>
      <c r="AO62" s="299"/>
      <c r="AP62" s="299"/>
      <c r="AQ62" s="299"/>
      <c r="AR62" s="299"/>
      <c r="AS62" s="299"/>
    </row>
    <row r="63" spans="3:45" s="294" customFormat="1" ht="18.75" customHeight="1" x14ac:dyDescent="0.25">
      <c r="C63" s="295" t="s">
        <v>611</v>
      </c>
      <c r="D63" s="300"/>
      <c r="E63" s="309" cm="1">
        <f t="array" ref="E63">AVERAGE(INDEX(F63:X63,(MATCH(TRUE,INDEX(ISNUMBER(F63:X63),0),0))),INDEX(F63:X63,(MATCH(TRUE,INDEX(ISNUMBER(F63:X63),0),0)+1)),INDEX(F63:X63,(MATCH(TRUE,INDEX(ISNUMBER(F63:X63),0),0)+2)),INDEX(F63:X63,(MATCH(TRUE,INDEX(ISNUMBER(F63:X63),0),0)+3)))</f>
        <v>3.8693666666666662</v>
      </c>
      <c r="G63" s="297"/>
      <c r="H63" s="297" t="str">
        <f>IF(H62="","",100*H61*H62/$J62/1800)</f>
        <v/>
      </c>
      <c r="I63" s="297">
        <f>IF(I62="","",100*I61*I62/$J62/1800)</f>
        <v>3.981522222222222</v>
      </c>
      <c r="J63" s="297">
        <f t="shared" ref="J63:N63" si="10">IF(J62="","",100*J61*J62/$J62/1800)</f>
        <v>4.0055555555555546</v>
      </c>
      <c r="K63" s="297">
        <f t="shared" si="10"/>
        <v>3.9574888888888879</v>
      </c>
      <c r="L63" s="297">
        <f t="shared" si="10"/>
        <v>3.5328999999999993</v>
      </c>
      <c r="M63" s="297">
        <f t="shared" si="10"/>
        <v>2.8679777777777771</v>
      </c>
      <c r="N63" s="297">
        <f t="shared" si="10"/>
        <v>2.5996055555555557</v>
      </c>
      <c r="O63" s="297"/>
      <c r="P63" s="298"/>
      <c r="Q63" s="298"/>
      <c r="R63" s="298"/>
      <c r="S63" s="298"/>
      <c r="T63" s="298"/>
      <c r="U63" s="298"/>
      <c r="V63" s="298"/>
      <c r="W63" s="298"/>
      <c r="X63" s="298"/>
      <c r="Y63" s="298"/>
      <c r="Z63" s="298"/>
      <c r="AA63" s="298"/>
      <c r="AB63" s="298"/>
      <c r="AC63" s="298"/>
      <c r="AD63" s="299"/>
      <c r="AE63" s="299"/>
      <c r="AF63" s="299"/>
      <c r="AG63" s="299"/>
      <c r="AH63" s="299"/>
      <c r="AI63" s="299"/>
      <c r="AJ63" s="299"/>
      <c r="AK63" s="299"/>
      <c r="AL63" s="299"/>
      <c r="AM63" s="299"/>
      <c r="AN63" s="299"/>
      <c r="AO63" s="299"/>
      <c r="AP63" s="299"/>
      <c r="AQ63" s="299"/>
      <c r="AR63" s="299"/>
      <c r="AS63" s="299"/>
    </row>
    <row r="64" spans="3:45" s="302" customFormat="1" ht="15.75" thickBot="1" x14ac:dyDescent="0.3">
      <c r="C64" s="303"/>
      <c r="D64" s="304"/>
      <c r="E64" s="305"/>
      <c r="G64" s="306"/>
      <c r="H64" s="306"/>
      <c r="I64" s="306"/>
      <c r="J64" s="306"/>
      <c r="K64" s="306"/>
      <c r="L64" s="306"/>
      <c r="M64" s="306"/>
      <c r="N64" s="306"/>
      <c r="O64" s="306"/>
      <c r="P64" s="307"/>
      <c r="Q64" s="307"/>
      <c r="R64" s="307"/>
      <c r="S64" s="307"/>
      <c r="T64" s="307"/>
      <c r="U64" s="307"/>
      <c r="V64" s="307"/>
      <c r="W64" s="307"/>
      <c r="X64" s="307"/>
      <c r="Y64" s="307"/>
      <c r="Z64" s="307"/>
      <c r="AA64" s="307"/>
      <c r="AB64" s="307"/>
      <c r="AC64" s="307"/>
      <c r="AD64" s="308"/>
      <c r="AE64" s="308"/>
      <c r="AF64" s="308"/>
      <c r="AG64" s="308"/>
      <c r="AH64" s="308"/>
      <c r="AI64" s="308"/>
      <c r="AJ64" s="308"/>
      <c r="AK64" s="308"/>
      <c r="AL64" s="308"/>
      <c r="AM64" s="308"/>
      <c r="AN64" s="308"/>
      <c r="AO64" s="308"/>
      <c r="AP64" s="308"/>
      <c r="AQ64" s="308"/>
      <c r="AR64" s="308"/>
      <c r="AS64" s="308"/>
    </row>
    <row r="65" spans="3:45" s="43" customFormat="1" ht="45" x14ac:dyDescent="0.25">
      <c r="C65" s="211"/>
      <c r="D65" s="15" t="s">
        <v>265</v>
      </c>
      <c r="E65" s="15" t="s">
        <v>98</v>
      </c>
      <c r="G65" s="212"/>
      <c r="H65" s="212"/>
      <c r="I65" s="212"/>
      <c r="J65" s="212"/>
      <c r="K65" s="212"/>
      <c r="L65" s="212"/>
      <c r="M65" s="212"/>
      <c r="N65" s="212"/>
      <c r="O65" s="212"/>
      <c r="P65" s="216"/>
      <c r="Q65" s="216"/>
      <c r="R65" s="216"/>
      <c r="S65" s="216"/>
      <c r="T65" s="216"/>
      <c r="U65" s="216"/>
      <c r="V65" s="216"/>
      <c r="W65" s="216"/>
      <c r="X65" s="216"/>
      <c r="Y65" s="216"/>
      <c r="Z65" s="216"/>
      <c r="AA65" s="216"/>
      <c r="AB65" s="216"/>
      <c r="AC65" s="216"/>
      <c r="AD65" s="19"/>
      <c r="AE65" s="19"/>
      <c r="AF65" s="19"/>
      <c r="AG65" s="19"/>
      <c r="AH65" s="19"/>
      <c r="AI65" s="19"/>
      <c r="AJ65" s="19"/>
      <c r="AK65" s="19"/>
      <c r="AL65" s="19"/>
      <c r="AM65" s="19"/>
      <c r="AN65" s="19"/>
      <c r="AO65" s="19"/>
      <c r="AP65" s="19"/>
      <c r="AQ65" s="19"/>
      <c r="AR65" s="19"/>
      <c r="AS65" s="19"/>
    </row>
    <row r="66" spans="3:45" s="42" customFormat="1" ht="33.75" x14ac:dyDescent="0.25">
      <c r="C66" s="233" t="s">
        <v>330</v>
      </c>
      <c r="D66" s="233"/>
      <c r="G66" s="234"/>
      <c r="H66" s="234"/>
      <c r="I66" s="234">
        <v>113.9</v>
      </c>
      <c r="J66" s="234">
        <v>94.85</v>
      </c>
      <c r="K66" s="234">
        <v>103.56</v>
      </c>
      <c r="L66" s="234">
        <v>114.0325</v>
      </c>
      <c r="M66" s="234">
        <v>137.66</v>
      </c>
      <c r="N66" s="234">
        <v>83.861666666666665</v>
      </c>
      <c r="O66" s="234">
        <v>68.260000000000005</v>
      </c>
      <c r="P66" s="42">
        <v>89.504999999999995</v>
      </c>
      <c r="Q66" s="42">
        <v>94.46</v>
      </c>
      <c r="R66" s="42">
        <v>77.89</v>
      </c>
      <c r="S66" s="42">
        <v>68.959999999999994</v>
      </c>
      <c r="T66" s="42">
        <v>73.06</v>
      </c>
      <c r="U66" s="42">
        <v>97.83</v>
      </c>
      <c r="V66" s="42">
        <v>99.25</v>
      </c>
      <c r="W66" s="42">
        <v>102.75</v>
      </c>
      <c r="X66" s="42">
        <v>96.74</v>
      </c>
      <c r="Y66" s="42">
        <v>84</v>
      </c>
      <c r="Z66" s="42">
        <v>67.45</v>
      </c>
      <c r="AA66" s="42">
        <v>108.22</v>
      </c>
      <c r="AB66" s="42">
        <v>79.25</v>
      </c>
      <c r="AC66" s="42">
        <v>77.88</v>
      </c>
      <c r="AD66" s="42">
        <v>68.77</v>
      </c>
      <c r="AE66" s="42">
        <v>48.99</v>
      </c>
      <c r="AF66" s="42">
        <v>42.8</v>
      </c>
      <c r="AG66" s="42">
        <v>39.770000000000003</v>
      </c>
      <c r="AH66" s="42">
        <v>45.57</v>
      </c>
      <c r="AI66" s="42">
        <v>49.42</v>
      </c>
      <c r="AJ66" s="42">
        <v>29.31</v>
      </c>
      <c r="AK66" s="42">
        <v>25.96</v>
      </c>
      <c r="AL66" s="42">
        <v>33.31</v>
      </c>
      <c r="AM66" s="42">
        <v>36.53</v>
      </c>
      <c r="AN66" s="42">
        <v>30.32</v>
      </c>
      <c r="AO66" s="42">
        <v>31.27</v>
      </c>
      <c r="AP66" s="42">
        <v>36.19</v>
      </c>
      <c r="AQ66" s="42">
        <v>37.200000000000003</v>
      </c>
      <c r="AR66" s="42">
        <v>42.33</v>
      </c>
      <c r="AS66" s="42">
        <v>42.24</v>
      </c>
    </row>
    <row r="67" spans="3:45" s="42" customFormat="1" ht="33.75" x14ac:dyDescent="0.25">
      <c r="C67" s="233" t="s">
        <v>331</v>
      </c>
      <c r="D67" s="233"/>
      <c r="G67" s="42" t="str">
        <f t="shared" ref="G67:P67" si="11">IF(G66="","",G66-100*G10)</f>
        <v/>
      </c>
      <c r="H67" s="42" t="str">
        <f t="shared" si="11"/>
        <v/>
      </c>
      <c r="I67" s="42">
        <f t="shared" si="11"/>
        <v>113.9</v>
      </c>
      <c r="J67" s="42">
        <f t="shared" si="11"/>
        <v>60.05</v>
      </c>
      <c r="K67" s="42">
        <f t="shared" si="11"/>
        <v>68.760000000000005</v>
      </c>
      <c r="L67" s="42">
        <f t="shared" si="11"/>
        <v>79.232500000000002</v>
      </c>
      <c r="M67" s="42">
        <f t="shared" si="11"/>
        <v>102.86</v>
      </c>
      <c r="N67" s="42">
        <f t="shared" si="11"/>
        <v>52.541666666666671</v>
      </c>
      <c r="O67" s="42">
        <f t="shared" si="11"/>
        <v>40.420000000000009</v>
      </c>
      <c r="P67" s="42">
        <f t="shared" si="11"/>
        <v>61.664999999999999</v>
      </c>
      <c r="Q67" s="42">
        <f t="shared" ref="Q67:AS67" si="12">Q66-100*Q10</f>
        <v>66.62</v>
      </c>
      <c r="R67" s="42">
        <f t="shared" si="12"/>
        <v>53.53</v>
      </c>
      <c r="S67" s="42">
        <f t="shared" si="12"/>
        <v>44.599999999999994</v>
      </c>
      <c r="T67" s="42">
        <f t="shared" si="12"/>
        <v>55.660000000000004</v>
      </c>
      <c r="U67" s="42">
        <f t="shared" si="12"/>
        <v>80.430000000000007</v>
      </c>
      <c r="V67" s="42">
        <f t="shared" si="12"/>
        <v>88.81</v>
      </c>
      <c r="W67" s="42">
        <f t="shared" si="12"/>
        <v>92.31</v>
      </c>
      <c r="X67" s="42">
        <f t="shared" si="12"/>
        <v>86.3</v>
      </c>
      <c r="Y67" s="42">
        <f t="shared" si="12"/>
        <v>73.56</v>
      </c>
      <c r="Z67" s="42">
        <f t="shared" si="12"/>
        <v>63.970000000000006</v>
      </c>
      <c r="AA67" s="42">
        <f t="shared" si="12"/>
        <v>104.74</v>
      </c>
      <c r="AB67" s="42">
        <f t="shared" si="12"/>
        <v>79.25</v>
      </c>
      <c r="AC67" s="42">
        <f t="shared" si="12"/>
        <v>77.88</v>
      </c>
      <c r="AD67" s="42">
        <f t="shared" si="12"/>
        <v>68.77</v>
      </c>
      <c r="AE67" s="42">
        <f t="shared" si="12"/>
        <v>48.99</v>
      </c>
      <c r="AF67" s="42">
        <f t="shared" si="12"/>
        <v>42.8</v>
      </c>
      <c r="AG67" s="42">
        <f t="shared" si="12"/>
        <v>39.770000000000003</v>
      </c>
      <c r="AH67" s="42">
        <f t="shared" si="12"/>
        <v>45.57</v>
      </c>
      <c r="AI67" s="42">
        <f t="shared" si="12"/>
        <v>49.42</v>
      </c>
      <c r="AJ67" s="42">
        <f t="shared" si="12"/>
        <v>29.31</v>
      </c>
      <c r="AK67" s="42">
        <f t="shared" si="12"/>
        <v>25.96</v>
      </c>
      <c r="AL67" s="42">
        <f t="shared" si="12"/>
        <v>33.31</v>
      </c>
      <c r="AM67" s="42">
        <f t="shared" si="12"/>
        <v>36.53</v>
      </c>
      <c r="AN67" s="42">
        <f t="shared" si="12"/>
        <v>30.32</v>
      </c>
      <c r="AO67" s="42">
        <f t="shared" si="12"/>
        <v>31.27</v>
      </c>
      <c r="AP67" s="42">
        <f t="shared" si="12"/>
        <v>36.19</v>
      </c>
      <c r="AQ67" s="42">
        <f t="shared" si="12"/>
        <v>37.200000000000003</v>
      </c>
      <c r="AR67" s="42">
        <f t="shared" si="12"/>
        <v>42.33</v>
      </c>
      <c r="AS67" s="42">
        <f t="shared" si="12"/>
        <v>42.24</v>
      </c>
    </row>
    <row r="68" spans="3:45" s="42" customFormat="1" ht="33.75" x14ac:dyDescent="0.25">
      <c r="C68" s="233" t="s">
        <v>332</v>
      </c>
      <c r="D68" s="233"/>
      <c r="E68" s="235" cm="1">
        <f t="array" ref="E68">AVERAGE(INDEX(F68:X68,(MATCH(TRUE,INDEX(ISNUMBER(F68:X68),0),0))),INDEX(F68:X68,(MATCH(TRUE,INDEX(ISNUMBER(F68:X68),0),0)+1)),INDEX(F68:X68,(MATCH(TRUE,INDEX(ISNUMBER(F68:X68),0),0)+2)),INDEX(F68:X68,(MATCH(TRUE,INDEX(ISNUMBER(F68:X68),0),0)+3)))</f>
        <v>74.522842535497503</v>
      </c>
      <c r="G68" s="42" t="str">
        <f t="shared" ref="G68:AS68" si="13">IF(G67="","",G67/(1+G12))</f>
        <v/>
      </c>
      <c r="H68" s="42" t="str">
        <f t="shared" si="13"/>
        <v/>
      </c>
      <c r="I68" s="42">
        <f t="shared" si="13"/>
        <v>105.3654024051804</v>
      </c>
      <c r="J68" s="42">
        <f t="shared" si="13"/>
        <v>55.550416281221089</v>
      </c>
      <c r="K68" s="42">
        <f t="shared" si="13"/>
        <v>63.607770582793719</v>
      </c>
      <c r="L68" s="42">
        <f t="shared" si="13"/>
        <v>73.567780872794799</v>
      </c>
      <c r="M68" s="42">
        <f t="shared" si="13"/>
        <v>95.506035283194066</v>
      </c>
      <c r="N68" s="42">
        <f t="shared" si="13"/>
        <v>48.785205818632008</v>
      </c>
      <c r="O68" s="42">
        <f t="shared" si="13"/>
        <v>37.530176415970296</v>
      </c>
      <c r="P68" s="42">
        <f t="shared" si="13"/>
        <v>57.256267409470752</v>
      </c>
      <c r="Q68" s="42">
        <f t="shared" si="13"/>
        <v>61.85701021355618</v>
      </c>
      <c r="R68" s="42">
        <f t="shared" si="13"/>
        <v>49.56481481481481</v>
      </c>
      <c r="S68" s="42">
        <f t="shared" si="13"/>
        <v>41.296296296296291</v>
      </c>
      <c r="T68" s="42">
        <f t="shared" si="13"/>
        <v>51.537037037037038</v>
      </c>
      <c r="U68" s="42">
        <f t="shared" si="13"/>
        <v>74.472222222222229</v>
      </c>
      <c r="V68" s="42">
        <f t="shared" si="13"/>
        <v>82.231481481481481</v>
      </c>
      <c r="W68" s="42">
        <f t="shared" si="13"/>
        <v>85.472222222222214</v>
      </c>
      <c r="X68" s="42">
        <f t="shared" si="13"/>
        <v>79.907407407407405</v>
      </c>
      <c r="Y68" s="42">
        <f t="shared" si="13"/>
        <v>68.364312267657994</v>
      </c>
      <c r="Z68" s="42">
        <f t="shared" si="13"/>
        <v>59.451672862453535</v>
      </c>
      <c r="AA68" s="42">
        <f t="shared" si="13"/>
        <v>97.342007434944222</v>
      </c>
      <c r="AB68" s="42">
        <f t="shared" si="13"/>
        <v>73.652416356877325</v>
      </c>
      <c r="AC68" s="42">
        <f t="shared" si="13"/>
        <v>72.379182156133822</v>
      </c>
      <c r="AD68" s="42">
        <f t="shared" si="13"/>
        <v>63.912639405204452</v>
      </c>
      <c r="AE68" s="42">
        <f t="shared" si="13"/>
        <v>45.529739776951672</v>
      </c>
      <c r="AF68" s="42">
        <f t="shared" si="13"/>
        <v>39.776951672862445</v>
      </c>
      <c r="AG68" s="42">
        <f t="shared" si="13"/>
        <v>36.960966542750931</v>
      </c>
      <c r="AH68" s="42">
        <f t="shared" si="13"/>
        <v>42.351301115241633</v>
      </c>
      <c r="AI68" s="42">
        <f t="shared" si="13"/>
        <v>45.972093023255816</v>
      </c>
      <c r="AJ68" s="42">
        <f t="shared" si="13"/>
        <v>27.265116279069769</v>
      </c>
      <c r="AK68" s="42">
        <f t="shared" si="13"/>
        <v>24.375586854460096</v>
      </c>
      <c r="AL68" s="42">
        <f t="shared" si="13"/>
        <v>31.276995305164323</v>
      </c>
      <c r="AM68" s="42">
        <f t="shared" si="13"/>
        <v>34.300469483568079</v>
      </c>
      <c r="AN68" s="42">
        <f t="shared" si="13"/>
        <v>28.46948356807512</v>
      </c>
      <c r="AO68" s="42">
        <f t="shared" si="13"/>
        <v>31.27</v>
      </c>
      <c r="AP68" s="42">
        <f t="shared" si="13"/>
        <v>36.19</v>
      </c>
      <c r="AQ68" s="42">
        <f t="shared" si="13"/>
        <v>37.200000000000003</v>
      </c>
      <c r="AR68" s="42">
        <f t="shared" si="13"/>
        <v>42.33</v>
      </c>
      <c r="AS68" s="42">
        <f t="shared" si="13"/>
        <v>42.24</v>
      </c>
    </row>
    <row r="69" spans="3:45" s="42" customFormat="1" ht="33.75" x14ac:dyDescent="0.25">
      <c r="C69" s="233" t="s">
        <v>333</v>
      </c>
      <c r="D69" s="236">
        <f>E68+100*D9/1000*2.9</f>
        <v>109.3228425354975</v>
      </c>
      <c r="E69" s="237"/>
    </row>
    <row r="70" spans="3:45" s="42" customFormat="1" ht="50.25" x14ac:dyDescent="0.25">
      <c r="C70" s="233" t="s">
        <v>334</v>
      </c>
      <c r="D70" s="236">
        <f>D69+D69*MWST</f>
        <v>118.1779927808728</v>
      </c>
      <c r="E70" s="237"/>
    </row>
    <row r="71" spans="3:45" s="66" customFormat="1" ht="51" thickBot="1" x14ac:dyDescent="0.3">
      <c r="C71" s="238" t="s">
        <v>335</v>
      </c>
      <c r="D71" s="239">
        <f>D70/994*100</f>
        <v>11.889134082582776</v>
      </c>
      <c r="E71" s="240"/>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row>
    <row r="72" spans="3:45" s="42" customFormat="1" ht="45" x14ac:dyDescent="0.25">
      <c r="C72" s="233"/>
      <c r="D72" s="15" t="s">
        <v>265</v>
      </c>
      <c r="E72" s="15" t="s">
        <v>98</v>
      </c>
      <c r="G72" s="242"/>
      <c r="H72" s="242"/>
      <c r="I72" s="242"/>
      <c r="J72" s="242"/>
      <c r="K72" s="242"/>
      <c r="L72" s="242"/>
      <c r="M72" s="242"/>
      <c r="N72" s="242"/>
      <c r="O72" s="242"/>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243"/>
      <c r="AO72" s="243"/>
      <c r="AP72" s="243"/>
      <c r="AQ72" s="243"/>
      <c r="AR72" s="243"/>
      <c r="AS72" s="243"/>
    </row>
    <row r="73" spans="3:45" s="41" customFormat="1" ht="33.75" x14ac:dyDescent="0.25">
      <c r="C73" s="244" t="s">
        <v>337</v>
      </c>
      <c r="D73" s="244"/>
      <c r="G73" s="245"/>
      <c r="H73" s="245"/>
      <c r="I73" s="245">
        <v>14.54</v>
      </c>
      <c r="J73" s="245">
        <v>15.02</v>
      </c>
      <c r="K73" s="245">
        <v>0.159</v>
      </c>
      <c r="L73" s="245">
        <v>0.17419999999999999</v>
      </c>
      <c r="M73" s="245">
        <v>0.14929999999999999</v>
      </c>
      <c r="N73" s="245">
        <v>9.8716666666666675E-2</v>
      </c>
      <c r="O73" s="246">
        <v>9.6299999999999997E-2</v>
      </c>
      <c r="P73" s="246">
        <v>0.1024</v>
      </c>
      <c r="Q73" s="246">
        <v>9.8075000000000009E-2</v>
      </c>
      <c r="R73" s="246">
        <v>9.3399999999999997E-2</v>
      </c>
      <c r="S73" s="246">
        <v>9.6199999999999994E-2</v>
      </c>
      <c r="T73" s="246">
        <v>9.6799999999999997E-2</v>
      </c>
      <c r="U73" s="246">
        <v>0.1031</v>
      </c>
      <c r="V73" s="247">
        <v>0.10050000000000001</v>
      </c>
      <c r="W73" s="247">
        <v>0.10009999999999999</v>
      </c>
      <c r="X73" s="247">
        <v>9.5299999999999996E-2</v>
      </c>
      <c r="Y73" s="247">
        <v>9.11E-2</v>
      </c>
      <c r="Z73" s="247">
        <v>9.5899999999999999E-2</v>
      </c>
      <c r="AA73" s="247">
        <v>0.1019</v>
      </c>
      <c r="AB73" s="247">
        <v>9.0800000000000006E-2</v>
      </c>
      <c r="AC73" s="247">
        <v>8.6900000000000005E-2</v>
      </c>
      <c r="AD73" s="247">
        <v>7.1499999999999994E-2</v>
      </c>
      <c r="AE73" s="247">
        <v>6.5600000000000006E-2</v>
      </c>
      <c r="AF73" s="247">
        <v>6.54E-2</v>
      </c>
      <c r="AG73" s="247">
        <v>6.6199999999999995E-2</v>
      </c>
      <c r="AH73" s="247">
        <v>7.1199999999999999E-2</v>
      </c>
      <c r="AI73" s="247">
        <v>6.13E-2</v>
      </c>
      <c r="AJ73" s="247">
        <v>5.33E-2</v>
      </c>
      <c r="AK73" s="247">
        <v>5.4800000000000001E-2</v>
      </c>
      <c r="AL73" s="247">
        <v>5.4600000000000003E-2</v>
      </c>
      <c r="AM73" s="247">
        <v>5.3800000000000001E-2</v>
      </c>
      <c r="AN73" s="247">
        <v>5.4699999999999999E-2</v>
      </c>
      <c r="AO73" s="247">
        <v>5.2699999999999997E-2</v>
      </c>
      <c r="AP73" s="247">
        <v>5.45E-2</v>
      </c>
      <c r="AQ73" s="247">
        <v>0.1754</v>
      </c>
      <c r="AR73" s="247">
        <v>0.1754</v>
      </c>
      <c r="AS73" s="247">
        <v>0.1739</v>
      </c>
    </row>
    <row r="74" spans="3:45" s="41" customFormat="1" ht="33.75" x14ac:dyDescent="0.25">
      <c r="C74" s="244" t="s">
        <v>338</v>
      </c>
      <c r="D74" s="244"/>
      <c r="G74" s="245" t="str">
        <f t="shared" ref="G74:P74" si="14">IF(G73="","",G73-G11)</f>
        <v/>
      </c>
      <c r="H74" s="245" t="str">
        <f t="shared" si="14"/>
        <v/>
      </c>
      <c r="I74" s="245">
        <f t="shared" si="14"/>
        <v>14.54</v>
      </c>
      <c r="J74" s="245">
        <f t="shared" si="14"/>
        <v>14.993599999999999</v>
      </c>
      <c r="K74" s="245">
        <f t="shared" si="14"/>
        <v>0.1326</v>
      </c>
      <c r="L74" s="245">
        <f t="shared" si="14"/>
        <v>0.14779999999999999</v>
      </c>
      <c r="M74" s="245">
        <f t="shared" si="14"/>
        <v>0.12289999999999998</v>
      </c>
      <c r="N74" s="245">
        <f t="shared" si="14"/>
        <v>7.4956666666666671E-2</v>
      </c>
      <c r="O74" s="245">
        <f t="shared" si="14"/>
        <v>7.5179999999999997E-2</v>
      </c>
      <c r="P74" s="245">
        <f t="shared" si="14"/>
        <v>8.1280000000000005E-2</v>
      </c>
      <c r="Q74" s="246">
        <f t="shared" ref="Q74:AS74" si="15">Q73-Q11</f>
        <v>7.695500000000001E-2</v>
      </c>
      <c r="R74" s="246">
        <f t="shared" si="15"/>
        <v>7.492E-2</v>
      </c>
      <c r="S74" s="246">
        <f t="shared" si="15"/>
        <v>7.7719999999999997E-2</v>
      </c>
      <c r="T74" s="246">
        <f t="shared" si="15"/>
        <v>8.3599999999999994E-2</v>
      </c>
      <c r="U74" s="246">
        <f t="shared" si="15"/>
        <v>8.9899999999999994E-2</v>
      </c>
      <c r="V74" s="246">
        <f t="shared" si="15"/>
        <v>9.258000000000001E-2</v>
      </c>
      <c r="W74" s="246">
        <f t="shared" si="15"/>
        <v>9.2179999999999998E-2</v>
      </c>
      <c r="X74" s="246">
        <f t="shared" si="15"/>
        <v>8.7379999999999999E-2</v>
      </c>
      <c r="Y74" s="246">
        <f t="shared" si="15"/>
        <v>8.3180000000000004E-2</v>
      </c>
      <c r="Z74" s="246">
        <f t="shared" si="15"/>
        <v>9.3259999999999996E-2</v>
      </c>
      <c r="AA74" s="246">
        <f t="shared" si="15"/>
        <v>9.9260000000000001E-2</v>
      </c>
      <c r="AB74" s="246">
        <f t="shared" si="15"/>
        <v>9.0800000000000006E-2</v>
      </c>
      <c r="AC74" s="246">
        <f t="shared" si="15"/>
        <v>8.6900000000000005E-2</v>
      </c>
      <c r="AD74" s="246">
        <f t="shared" si="15"/>
        <v>7.1499999999999994E-2</v>
      </c>
      <c r="AE74" s="246">
        <f t="shared" si="15"/>
        <v>6.5600000000000006E-2</v>
      </c>
      <c r="AF74" s="246">
        <f t="shared" si="15"/>
        <v>6.54E-2</v>
      </c>
      <c r="AG74" s="246">
        <f t="shared" si="15"/>
        <v>6.6199999999999995E-2</v>
      </c>
      <c r="AH74" s="246">
        <f t="shared" si="15"/>
        <v>7.1199999999999999E-2</v>
      </c>
      <c r="AI74" s="246">
        <f t="shared" si="15"/>
        <v>6.13E-2</v>
      </c>
      <c r="AJ74" s="246">
        <f t="shared" si="15"/>
        <v>5.33E-2</v>
      </c>
      <c r="AK74" s="246">
        <f t="shared" si="15"/>
        <v>5.4800000000000001E-2</v>
      </c>
      <c r="AL74" s="246">
        <f t="shared" si="15"/>
        <v>5.4600000000000003E-2</v>
      </c>
      <c r="AM74" s="246">
        <f t="shared" si="15"/>
        <v>5.3800000000000001E-2</v>
      </c>
      <c r="AN74" s="246">
        <f t="shared" si="15"/>
        <v>5.4699999999999999E-2</v>
      </c>
      <c r="AO74" s="246">
        <f t="shared" si="15"/>
        <v>5.2699999999999997E-2</v>
      </c>
      <c r="AP74" s="246">
        <f t="shared" si="15"/>
        <v>5.45E-2</v>
      </c>
      <c r="AQ74" s="246">
        <f t="shared" si="15"/>
        <v>0.1754</v>
      </c>
      <c r="AR74" s="246">
        <f t="shared" si="15"/>
        <v>0.1754</v>
      </c>
      <c r="AS74" s="246">
        <f t="shared" si="15"/>
        <v>0.1739</v>
      </c>
    </row>
    <row r="75" spans="3:45" s="41" customFormat="1" ht="33.75" x14ac:dyDescent="0.25">
      <c r="C75" s="244" t="s">
        <v>339</v>
      </c>
      <c r="D75" s="248"/>
      <c r="E75" s="249">
        <f>AVERAGE(INDEX(F75:X75,(MATCH(TRUE,INDEX(ISNUMBER(F75:X75),0),0))),INDEX(F75:X75,(MATCH(TRUE,INDEX(ISNUMBER(F75:X75),0),0)+1)),INDEX(F75:X75,(MATCH(TRUE,INDEX(ISNUMBER(F75:X75),0),0)+2)),INDEX(F75:X75,(MATCH(TRUE,INDEX(ISNUMBER(F75:X75),0),0)+3)))</f>
        <v>6.8951315754438314</v>
      </c>
      <c r="G75" s="245" t="str">
        <f t="shared" ref="G75:P75" si="16">IF(G74="","",G74/(1+G12)*1)</f>
        <v/>
      </c>
      <c r="H75" s="245" t="str">
        <f t="shared" si="16"/>
        <v/>
      </c>
      <c r="I75" s="245">
        <f t="shared" si="16"/>
        <v>13.450508788159112</v>
      </c>
      <c r="J75" s="245">
        <f t="shared" si="16"/>
        <v>13.870120259019426</v>
      </c>
      <c r="K75" s="245">
        <f t="shared" si="16"/>
        <v>0.12266419981498612</v>
      </c>
      <c r="L75" s="245">
        <f t="shared" si="16"/>
        <v>0.13723305478180128</v>
      </c>
      <c r="M75" s="245">
        <f t="shared" si="16"/>
        <v>0.11411327762302692</v>
      </c>
      <c r="N75" s="245">
        <f t="shared" si="16"/>
        <v>6.959764778706283E-2</v>
      </c>
      <c r="O75" s="245">
        <f t="shared" si="16"/>
        <v>6.9805013927576598E-2</v>
      </c>
      <c r="P75" s="245">
        <f t="shared" si="16"/>
        <v>7.5468895078922946E-2</v>
      </c>
      <c r="Q75" s="246">
        <f t="shared" ref="Q75:AS75" si="17">Q74/(1+Q12)*1</f>
        <v>7.1453110492107716E-2</v>
      </c>
      <c r="R75" s="246">
        <f t="shared" si="17"/>
        <v>6.937037037037036E-2</v>
      </c>
      <c r="S75" s="246">
        <f t="shared" si="17"/>
        <v>7.1962962962962951E-2</v>
      </c>
      <c r="T75" s="246">
        <f t="shared" si="17"/>
        <v>7.7407407407407397E-2</v>
      </c>
      <c r="U75" s="246">
        <f t="shared" si="17"/>
        <v>8.3240740740740726E-2</v>
      </c>
      <c r="V75" s="246">
        <f t="shared" si="17"/>
        <v>8.5722222222222227E-2</v>
      </c>
      <c r="W75" s="246">
        <f t="shared" si="17"/>
        <v>8.5351851851851845E-2</v>
      </c>
      <c r="X75" s="246">
        <f t="shared" si="17"/>
        <v>8.09074074074074E-2</v>
      </c>
      <c r="Y75" s="246">
        <f t="shared" si="17"/>
        <v>7.7304832713754643E-2</v>
      </c>
      <c r="Z75" s="246">
        <f t="shared" si="17"/>
        <v>8.6672862453531591E-2</v>
      </c>
      <c r="AA75" s="246">
        <f t="shared" si="17"/>
        <v>9.2249070631970256E-2</v>
      </c>
      <c r="AB75" s="246">
        <f t="shared" si="17"/>
        <v>8.438661710037175E-2</v>
      </c>
      <c r="AC75" s="246">
        <f t="shared" si="17"/>
        <v>8.0762081784386611E-2</v>
      </c>
      <c r="AD75" s="246">
        <f t="shared" si="17"/>
        <v>6.6449814126394044E-2</v>
      </c>
      <c r="AE75" s="246">
        <f t="shared" si="17"/>
        <v>6.0966542750929373E-2</v>
      </c>
      <c r="AF75" s="246">
        <f t="shared" si="17"/>
        <v>6.0780669144981411E-2</v>
      </c>
      <c r="AG75" s="246">
        <f t="shared" si="17"/>
        <v>6.1524163568773223E-2</v>
      </c>
      <c r="AH75" s="246">
        <f t="shared" si="17"/>
        <v>6.6171003717472116E-2</v>
      </c>
      <c r="AI75" s="246">
        <f t="shared" si="17"/>
        <v>5.702325581395349E-2</v>
      </c>
      <c r="AJ75" s="246">
        <f t="shared" si="17"/>
        <v>4.9581395348837209E-2</v>
      </c>
      <c r="AK75" s="246">
        <f t="shared" si="17"/>
        <v>5.1455399061032865E-2</v>
      </c>
      <c r="AL75" s="246">
        <f t="shared" si="17"/>
        <v>5.1267605633802824E-2</v>
      </c>
      <c r="AM75" s="246">
        <f t="shared" si="17"/>
        <v>5.0516431924882629E-2</v>
      </c>
      <c r="AN75" s="246">
        <f t="shared" si="17"/>
        <v>5.1361502347417841E-2</v>
      </c>
      <c r="AO75" s="246">
        <f t="shared" si="17"/>
        <v>5.2699999999999997E-2</v>
      </c>
      <c r="AP75" s="246">
        <f t="shared" si="17"/>
        <v>5.45E-2</v>
      </c>
      <c r="AQ75" s="246">
        <f t="shared" si="17"/>
        <v>0.1754</v>
      </c>
      <c r="AR75" s="246">
        <f t="shared" si="17"/>
        <v>0.1754</v>
      </c>
      <c r="AS75" s="246">
        <f t="shared" si="17"/>
        <v>0.1739</v>
      </c>
    </row>
    <row r="76" spans="3:45" s="41" customFormat="1" ht="50.25" x14ac:dyDescent="0.25">
      <c r="C76" s="244" t="s">
        <v>340</v>
      </c>
      <c r="D76" s="250">
        <f>E75+D9/1000*0.22</f>
        <v>6.9215315754438311</v>
      </c>
      <c r="E76" s="251"/>
      <c r="G76" s="242"/>
      <c r="H76" s="242"/>
      <c r="I76" s="242"/>
      <c r="J76" s="242"/>
      <c r="K76" s="242"/>
      <c r="L76" s="242"/>
      <c r="M76" s="242"/>
      <c r="N76" s="242"/>
      <c r="O76" s="242"/>
      <c r="P76" s="246"/>
      <c r="Q76" s="246"/>
      <c r="R76" s="246"/>
      <c r="S76" s="246"/>
      <c r="T76" s="246"/>
      <c r="U76" s="246"/>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row>
    <row r="77" spans="3:45" s="67" customFormat="1" ht="34.5" thickBot="1" x14ac:dyDescent="0.3">
      <c r="C77" s="252" t="s">
        <v>341</v>
      </c>
      <c r="D77" s="253">
        <f>D76+D76*MWST</f>
        <v>7.4821756330547817</v>
      </c>
      <c r="E77" s="254"/>
      <c r="G77" s="255"/>
      <c r="H77" s="255"/>
      <c r="I77" s="255"/>
      <c r="J77" s="255"/>
      <c r="K77" s="255"/>
      <c r="L77" s="255"/>
      <c r="M77" s="255"/>
      <c r="N77" s="255"/>
      <c r="O77" s="255"/>
      <c r="P77" s="256"/>
      <c r="Q77" s="256"/>
      <c r="R77" s="256"/>
      <c r="S77" s="256"/>
      <c r="T77" s="256"/>
      <c r="U77" s="256"/>
      <c r="V77" s="257"/>
      <c r="W77" s="257"/>
      <c r="X77" s="257"/>
      <c r="Y77" s="257"/>
      <c r="Z77" s="257"/>
      <c r="AA77" s="257"/>
      <c r="AB77" s="257"/>
      <c r="AC77" s="257"/>
      <c r="AD77" s="257"/>
      <c r="AE77" s="257"/>
      <c r="AF77" s="257"/>
      <c r="AG77" s="257"/>
      <c r="AH77" s="257"/>
      <c r="AI77" s="257"/>
      <c r="AJ77" s="257"/>
      <c r="AK77" s="257"/>
      <c r="AL77" s="257"/>
      <c r="AM77" s="257"/>
      <c r="AN77" s="257"/>
      <c r="AO77" s="257"/>
      <c r="AP77" s="257"/>
      <c r="AQ77" s="257"/>
      <c r="AR77" s="257"/>
      <c r="AS77" s="257"/>
    </row>
    <row r="78" spans="3:45" x14ac:dyDescent="0.25">
      <c r="C78" s="258"/>
    </row>
    <row r="79" spans="3:45" x14ac:dyDescent="0.25">
      <c r="C79" s="258"/>
    </row>
    <row r="80" spans="3:45" x14ac:dyDescent="0.25">
      <c r="C80" s="258"/>
    </row>
    <row r="82" spans="2:19" x14ac:dyDescent="0.25">
      <c r="C82" s="15" t="s">
        <v>289</v>
      </c>
    </row>
    <row r="83" spans="2:19" ht="17.25" x14ac:dyDescent="0.25">
      <c r="B83" s="259" t="s">
        <v>273</v>
      </c>
      <c r="C83" s="260" t="s">
        <v>392</v>
      </c>
      <c r="D83" s="19"/>
    </row>
    <row r="84" spans="2:19" ht="17.25" x14ac:dyDescent="0.25">
      <c r="B84" s="259" t="s">
        <v>275</v>
      </c>
      <c r="C84" s="19" t="s">
        <v>290</v>
      </c>
      <c r="D84" s="19"/>
    </row>
    <row r="85" spans="2:19" ht="17.25" x14ac:dyDescent="0.25">
      <c r="B85" s="259" t="s">
        <v>276</v>
      </c>
      <c r="C85" s="19" t="s">
        <v>293</v>
      </c>
      <c r="D85" s="19"/>
    </row>
    <row r="86" spans="2:19" ht="17.25" x14ac:dyDescent="0.25">
      <c r="B86" s="259" t="s">
        <v>277</v>
      </c>
      <c r="C86" s="261" t="s">
        <v>295</v>
      </c>
      <c r="D86" s="19"/>
    </row>
    <row r="87" spans="2:19" ht="17.25" x14ac:dyDescent="0.25">
      <c r="B87" s="259" t="s">
        <v>278</v>
      </c>
      <c r="C87" s="19" t="s">
        <v>297</v>
      </c>
      <c r="D87" s="19"/>
    </row>
    <row r="88" spans="2:19" ht="17.25" x14ac:dyDescent="0.25">
      <c r="B88" s="259" t="s">
        <v>279</v>
      </c>
      <c r="C88" t="s">
        <v>380</v>
      </c>
      <c r="D88" s="19"/>
    </row>
    <row r="89" spans="2:19" ht="17.25" x14ac:dyDescent="0.25">
      <c r="B89" s="259" t="s">
        <v>280</v>
      </c>
      <c r="C89" s="262" t="s">
        <v>391</v>
      </c>
      <c r="D89" s="19"/>
    </row>
    <row r="90" spans="2:19" ht="240" customHeight="1" x14ac:dyDescent="0.25">
      <c r="B90" s="263" t="s">
        <v>281</v>
      </c>
      <c r="C90" s="281" t="s">
        <v>346</v>
      </c>
      <c r="D90" s="281"/>
      <c r="E90" s="281"/>
      <c r="F90" s="281"/>
      <c r="G90" s="281"/>
      <c r="H90" s="281"/>
      <c r="I90" s="281"/>
      <c r="J90" s="281"/>
      <c r="K90" s="281"/>
      <c r="L90" s="281"/>
      <c r="M90" s="281"/>
      <c r="N90" s="281"/>
      <c r="O90" s="280"/>
      <c r="P90" s="280"/>
      <c r="Q90" s="280"/>
      <c r="R90" s="280"/>
      <c r="S90" s="280"/>
    </row>
    <row r="91" spans="2:19" ht="17.25" x14ac:dyDescent="0.25">
      <c r="B91" s="259" t="s">
        <v>282</v>
      </c>
      <c r="C91" s="19" t="s">
        <v>381</v>
      </c>
      <c r="D91" s="19"/>
    </row>
    <row r="92" spans="2:19" ht="17.25" x14ac:dyDescent="0.25">
      <c r="B92" s="259" t="s">
        <v>283</v>
      </c>
      <c r="C92" s="19" t="s">
        <v>328</v>
      </c>
      <c r="D92" s="19"/>
    </row>
    <row r="93" spans="2:19" ht="17.25" x14ac:dyDescent="0.25">
      <c r="B93" s="259" t="s">
        <v>284</v>
      </c>
      <c r="C93" s="19" t="s">
        <v>329</v>
      </c>
      <c r="D93" s="279" t="s">
        <v>574</v>
      </c>
    </row>
    <row r="94" spans="2:19" ht="17.25" x14ac:dyDescent="0.25">
      <c r="B94" s="259" t="s">
        <v>285</v>
      </c>
      <c r="C94" s="19" t="s">
        <v>336</v>
      </c>
      <c r="D94" s="19"/>
    </row>
    <row r="95" spans="2:19" ht="17.25" x14ac:dyDescent="0.25">
      <c r="B95" s="259" t="s">
        <v>286</v>
      </c>
      <c r="C95" s="19" t="s">
        <v>345</v>
      </c>
      <c r="D95" s="19"/>
    </row>
    <row r="96" spans="2:19" ht="17.25" x14ac:dyDescent="0.25">
      <c r="B96" s="259" t="s">
        <v>287</v>
      </c>
      <c r="C96" s="279" t="s">
        <v>610</v>
      </c>
      <c r="D96" s="19"/>
    </row>
    <row r="97" spans="2:5" ht="17.25" x14ac:dyDescent="0.25">
      <c r="B97" s="259" t="s">
        <v>288</v>
      </c>
      <c r="C97" s="279" t="s">
        <v>609</v>
      </c>
      <c r="D97" s="19"/>
    </row>
    <row r="98" spans="2:5" ht="17.25" x14ac:dyDescent="0.25">
      <c r="B98" s="259" t="s">
        <v>474</v>
      </c>
      <c r="C98" s="260" t="s">
        <v>574</v>
      </c>
    </row>
    <row r="99" spans="2:5" ht="17.25" x14ac:dyDescent="0.25">
      <c r="B99" s="259" t="s">
        <v>477</v>
      </c>
      <c r="C99" s="19" t="s">
        <v>478</v>
      </c>
      <c r="D99" s="19"/>
    </row>
    <row r="100" spans="2:5" x14ac:dyDescent="0.25">
      <c r="C100" s="19"/>
      <c r="D100" s="19"/>
      <c r="E100" s="264"/>
    </row>
    <row r="101" spans="2:5" x14ac:dyDescent="0.25">
      <c r="E101" s="265"/>
    </row>
    <row r="102" spans="2:5" x14ac:dyDescent="0.25">
      <c r="C102" s="19"/>
      <c r="D102" s="19"/>
      <c r="E102" s="265"/>
    </row>
    <row r="103" spans="2:5" x14ac:dyDescent="0.25">
      <c r="C103" s="19"/>
      <c r="D103" s="19"/>
      <c r="E103" s="265"/>
    </row>
    <row r="104" spans="2:5" x14ac:dyDescent="0.25">
      <c r="C104" s="19"/>
      <c r="D104" s="19"/>
      <c r="E104" s="265"/>
    </row>
    <row r="105" spans="2:5" x14ac:dyDescent="0.25">
      <c r="C105" s="19"/>
      <c r="D105" s="19"/>
      <c r="E105" s="265"/>
    </row>
    <row r="106" spans="2:5" x14ac:dyDescent="0.25">
      <c r="C106" s="19"/>
      <c r="D106" s="19"/>
      <c r="E106" s="265"/>
    </row>
    <row r="107" spans="2:5" x14ac:dyDescent="0.25">
      <c r="C107" s="19"/>
      <c r="D107" s="19"/>
      <c r="E107" s="265"/>
    </row>
    <row r="108" spans="2:5" x14ac:dyDescent="0.25">
      <c r="C108" s="19"/>
      <c r="D108" s="19"/>
      <c r="E108" s="265"/>
    </row>
    <row r="109" spans="2:5" x14ac:dyDescent="0.25">
      <c r="C109" s="19"/>
      <c r="D109" s="19"/>
      <c r="E109" s="265"/>
    </row>
    <row r="110" spans="2:5" x14ac:dyDescent="0.25">
      <c r="C110" s="19"/>
      <c r="D110" s="19"/>
      <c r="E110" s="265"/>
    </row>
    <row r="111" spans="2:5" x14ac:dyDescent="0.25">
      <c r="C111" s="19"/>
      <c r="D111" s="19"/>
      <c r="E111" s="265"/>
    </row>
    <row r="112" spans="2:5" x14ac:dyDescent="0.25">
      <c r="C112" s="19"/>
      <c r="D112" s="19"/>
      <c r="E112" s="265"/>
    </row>
    <row r="113" spans="3:5" x14ac:dyDescent="0.25">
      <c r="C113" s="19"/>
      <c r="D113" s="19"/>
      <c r="E113" s="265"/>
    </row>
    <row r="114" spans="3:5" ht="17.25" x14ac:dyDescent="0.25">
      <c r="C114" s="266"/>
      <c r="D114" s="19"/>
      <c r="E114" s="265"/>
    </row>
    <row r="115" spans="3:5" x14ac:dyDescent="0.25">
      <c r="C115" s="19"/>
      <c r="D115" s="19"/>
      <c r="E115" s="265"/>
    </row>
    <row r="116" spans="3:5" x14ac:dyDescent="0.25">
      <c r="C116" s="19"/>
      <c r="D116" s="19"/>
      <c r="E116" s="265"/>
    </row>
    <row r="117" spans="3:5" x14ac:dyDescent="0.25">
      <c r="C117" s="19"/>
      <c r="D117" s="19"/>
      <c r="E117" s="265"/>
    </row>
    <row r="118" spans="3:5" x14ac:dyDescent="0.25">
      <c r="C118" s="19"/>
      <c r="D118" s="19"/>
      <c r="E118" s="265"/>
    </row>
    <row r="119" spans="3:5" x14ac:dyDescent="0.25">
      <c r="C119" s="19"/>
      <c r="D119" s="19"/>
      <c r="E119" s="265"/>
    </row>
    <row r="120" spans="3:5" x14ac:dyDescent="0.25">
      <c r="C120" s="19"/>
      <c r="D120" s="19"/>
      <c r="E120" s="265"/>
    </row>
    <row r="121" spans="3:5" x14ac:dyDescent="0.25">
      <c r="C121" s="19"/>
      <c r="D121" s="19"/>
      <c r="E121" s="265"/>
    </row>
    <row r="122" spans="3:5" x14ac:dyDescent="0.25">
      <c r="C122" s="19"/>
      <c r="D122" s="19"/>
      <c r="E122" s="265"/>
    </row>
    <row r="123" spans="3:5" x14ac:dyDescent="0.25">
      <c r="C123" s="19"/>
      <c r="D123" s="19"/>
      <c r="E123" s="265"/>
    </row>
    <row r="124" spans="3:5" x14ac:dyDescent="0.25">
      <c r="C124" s="19"/>
      <c r="D124" s="19"/>
      <c r="E124" s="265"/>
    </row>
  </sheetData>
  <sheetProtection algorithmName="SHA-512" hashValue="KcD1E1WxoVYH3H5UrBuYvXLS4xA0SiMXJv+we8yWJRPCzRC9pDUQrYHjSBEeN0OTS4hVUUqma4oenCoBbVpYsg==" saltValue="cD6ERo9emYdwLtEftc0tZA==" spinCount="100000" sheet="1" objects="1" scenarios="1"/>
  <conditionalFormatting sqref="G30:L30">
    <cfRule type="cellIs" dxfId="25" priority="9" operator="equal">
      <formula>0</formula>
    </cfRule>
  </conditionalFormatting>
  <conditionalFormatting sqref="G32:L32">
    <cfRule type="cellIs" dxfId="24" priority="7" operator="equal">
      <formula>0</formula>
    </cfRule>
  </conditionalFormatting>
  <conditionalFormatting sqref="G7:N8">
    <cfRule type="cellIs" dxfId="23" priority="20" operator="equal">
      <formula>0</formula>
    </cfRule>
  </conditionalFormatting>
  <conditionalFormatting sqref="G12:N15">
    <cfRule type="cellIs" dxfId="22" priority="32" operator="equal">
      <formula>0</formula>
    </cfRule>
  </conditionalFormatting>
  <conditionalFormatting sqref="G73:N73">
    <cfRule type="cellIs" dxfId="21" priority="30" operator="equal">
      <formula>0</formula>
    </cfRule>
  </conditionalFormatting>
  <conditionalFormatting sqref="G18:O18">
    <cfRule type="cellIs" dxfId="20" priority="45" operator="equal">
      <formula>0</formula>
    </cfRule>
  </conditionalFormatting>
  <conditionalFormatting sqref="G20:O20">
    <cfRule type="cellIs" dxfId="19" priority="43" operator="equal">
      <formula>0</formula>
    </cfRule>
  </conditionalFormatting>
  <conditionalFormatting sqref="G22:O22">
    <cfRule type="cellIs" dxfId="18" priority="41" operator="equal">
      <formula>0</formula>
    </cfRule>
  </conditionalFormatting>
  <conditionalFormatting sqref="G24:O24">
    <cfRule type="cellIs" dxfId="17" priority="39" operator="equal">
      <formula>0</formula>
    </cfRule>
  </conditionalFormatting>
  <conditionalFormatting sqref="G26:O26">
    <cfRule type="cellIs" dxfId="16" priority="37" operator="equal">
      <formula>0</formula>
    </cfRule>
  </conditionalFormatting>
  <conditionalFormatting sqref="G28:O28">
    <cfRule type="cellIs" dxfId="15" priority="35" operator="equal">
      <formula>0</formula>
    </cfRule>
  </conditionalFormatting>
  <conditionalFormatting sqref="G34:O34">
    <cfRule type="cellIs" dxfId="14" priority="6" operator="equal">
      <formula>0</formula>
    </cfRule>
  </conditionalFormatting>
  <conditionalFormatting sqref="G36:O36">
    <cfRule type="cellIs" dxfId="13" priority="5" operator="equal">
      <formula>0</formula>
    </cfRule>
  </conditionalFormatting>
  <conditionalFormatting sqref="G38:O38">
    <cfRule type="cellIs" dxfId="12" priority="4" operator="equal">
      <formula>0</formula>
    </cfRule>
  </conditionalFormatting>
  <conditionalFormatting sqref="G40:O40">
    <cfRule type="cellIs" dxfId="11" priority="3" operator="equal">
      <formula>0</formula>
    </cfRule>
  </conditionalFormatting>
  <conditionalFormatting sqref="G42:O42">
    <cfRule type="cellIs" dxfId="10" priority="2" operator="equal">
      <formula>0</formula>
    </cfRule>
  </conditionalFormatting>
  <conditionalFormatting sqref="G44:O44">
    <cfRule type="cellIs" dxfId="9" priority="1" operator="equal">
      <formula>0</formula>
    </cfRule>
  </conditionalFormatting>
  <conditionalFormatting sqref="G46:O46">
    <cfRule type="cellIs" dxfId="8" priority="47" operator="equal">
      <formula>0</formula>
    </cfRule>
  </conditionalFormatting>
  <conditionalFormatting sqref="G49:O49">
    <cfRule type="cellIs" dxfId="7" priority="22" operator="equal">
      <formula>0</formula>
    </cfRule>
  </conditionalFormatting>
  <conditionalFormatting sqref="G54:O54">
    <cfRule type="cellIs" dxfId="6" priority="16" operator="equal">
      <formula>0</formula>
    </cfRule>
  </conditionalFormatting>
  <conditionalFormatting sqref="G57:O57">
    <cfRule type="cellIs" dxfId="5" priority="10" operator="equal">
      <formula>0</formula>
    </cfRule>
  </conditionalFormatting>
  <conditionalFormatting sqref="G66:O66">
    <cfRule type="cellIs" dxfId="4" priority="17" operator="equal">
      <formula>0</formula>
    </cfRule>
  </conditionalFormatting>
  <conditionalFormatting sqref="O13:O15">
    <cfRule type="cellIs" dxfId="3" priority="31" operator="equal">
      <formula>0</formula>
    </cfRule>
  </conditionalFormatting>
  <hyperlinks>
    <hyperlink ref="C86" r:id="rId1" xr:uid="{00000000-0004-0000-0600-000000000000}"/>
    <hyperlink ref="C89" r:id="rId2" xr:uid="{00000000-0004-0000-0600-000002000000}"/>
    <hyperlink ref="C83" r:id="rId3" xr:uid="{00000000-0004-0000-0600-000004000000}"/>
    <hyperlink ref="C98" r:id="rId4" xr:uid="{00000000-0004-0000-0600-000005000000}"/>
    <hyperlink ref="D93" r:id="rId5" xr:uid="{853CD5A7-7ABB-4F1C-B683-3DA69BF11F77}"/>
  </hyperlinks>
  <pageMargins left="0.7" right="0.7" top="0.78740157499999996" bottom="0.78740157499999996" header="0.3" footer="0.3"/>
  <pageSetup paperSize="8" scale="41" fitToWidth="0" orientation="portrait" r:id="rId6"/>
  <ignoredErrors>
    <ignoredError sqref="D8 E34:E47 D1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V71"/>
  <sheetViews>
    <sheetView zoomScale="130" zoomScaleNormal="130" workbookViewId="0">
      <pane xSplit="2" ySplit="3" topLeftCell="C13" activePane="bottomRight" state="frozen"/>
      <selection activeCell="F15" sqref="F15"/>
      <selection pane="topRight" activeCell="F15" sqref="F15"/>
      <selection pane="bottomLeft" activeCell="F15" sqref="F15"/>
      <selection pane="bottomRight" activeCell="G46" sqref="G46"/>
    </sheetView>
  </sheetViews>
  <sheetFormatPr baseColWidth="10" defaultColWidth="11.42578125" defaultRowHeight="15" x14ac:dyDescent="0.25"/>
  <cols>
    <col min="1" max="1" width="2" bestFit="1" customWidth="1"/>
    <col min="2" max="2" width="17.5703125" bestFit="1" customWidth="1"/>
    <col min="3" max="3" width="18.7109375" style="71" bestFit="1" customWidth="1"/>
    <col min="4" max="6" width="12.7109375" customWidth="1"/>
    <col min="7" max="7" width="18.7109375" customWidth="1"/>
    <col min="8" max="8" width="2.7109375" customWidth="1"/>
    <col min="9" max="12" width="12.7109375" customWidth="1"/>
    <col min="13" max="13" width="18.5703125" customWidth="1"/>
    <col min="14" max="14" width="2.7109375" customWidth="1"/>
    <col min="15" max="22" width="10.7109375" customWidth="1"/>
  </cols>
  <sheetData>
    <row r="1" spans="1:22" s="37" customFormat="1" x14ac:dyDescent="0.25">
      <c r="C1" s="132" t="s">
        <v>347</v>
      </c>
      <c r="D1" s="133">
        <f>Heizleistungsbedarf</f>
        <v>0</v>
      </c>
      <c r="E1" s="134" t="s">
        <v>367</v>
      </c>
      <c r="F1" s="134"/>
      <c r="G1" s="135"/>
      <c r="I1" s="403" t="s">
        <v>363</v>
      </c>
      <c r="J1" s="404"/>
      <c r="K1" s="404"/>
      <c r="L1" s="404"/>
      <c r="M1" s="405"/>
      <c r="O1" s="403" t="s">
        <v>364</v>
      </c>
      <c r="P1" s="404"/>
      <c r="Q1" s="404"/>
      <c r="R1" s="404"/>
      <c r="S1" s="404"/>
      <c r="T1" s="404"/>
      <c r="U1" s="404"/>
      <c r="V1" s="405"/>
    </row>
    <row r="2" spans="1:22" x14ac:dyDescent="0.25">
      <c r="C2" s="406" t="s">
        <v>368</v>
      </c>
      <c r="D2" s="407"/>
      <c r="E2" s="407"/>
      <c r="F2" s="407"/>
      <c r="G2" s="408"/>
      <c r="I2" s="70"/>
      <c r="J2" s="70"/>
      <c r="K2" s="70"/>
      <c r="L2" s="70"/>
      <c r="M2" s="70"/>
      <c r="O2" s="402" t="s">
        <v>585</v>
      </c>
      <c r="P2" s="402"/>
      <c r="Q2" s="402" t="s">
        <v>586</v>
      </c>
      <c r="R2" s="402"/>
      <c r="S2" s="402" t="s">
        <v>229</v>
      </c>
      <c r="T2" s="402"/>
      <c r="U2" s="402" t="s">
        <v>362</v>
      </c>
      <c r="V2" s="402"/>
    </row>
    <row r="3" spans="1:22" s="16" customFormat="1" ht="60" x14ac:dyDescent="0.25">
      <c r="A3" s="15">
        <v>3</v>
      </c>
      <c r="B3" s="15" t="s">
        <v>228</v>
      </c>
      <c r="C3" s="76" t="s">
        <v>234</v>
      </c>
      <c r="D3" s="77" t="s">
        <v>235</v>
      </c>
      <c r="E3" s="77" t="s">
        <v>236</v>
      </c>
      <c r="F3" s="77" t="s">
        <v>237</v>
      </c>
      <c r="G3" s="77" t="s">
        <v>357</v>
      </c>
      <c r="I3" s="77" t="s">
        <v>230</v>
      </c>
      <c r="J3" s="77" t="s">
        <v>231</v>
      </c>
      <c r="K3" s="77" t="s">
        <v>232</v>
      </c>
      <c r="L3" s="77" t="s">
        <v>233</v>
      </c>
      <c r="M3" s="77" t="s">
        <v>359</v>
      </c>
      <c r="O3" s="16" t="s">
        <v>366</v>
      </c>
      <c r="P3" s="16" t="s">
        <v>365</v>
      </c>
      <c r="Q3" s="16" t="s">
        <v>366</v>
      </c>
      <c r="R3" s="16" t="s">
        <v>365</v>
      </c>
      <c r="S3" s="16" t="s">
        <v>366</v>
      </c>
      <c r="T3" s="16" t="s">
        <v>365</v>
      </c>
      <c r="U3" s="16" t="s">
        <v>366</v>
      </c>
      <c r="V3" s="16" t="s">
        <v>365</v>
      </c>
    </row>
    <row r="4" spans="1:22" x14ac:dyDescent="0.25">
      <c r="B4" s="78" t="s">
        <v>62</v>
      </c>
      <c r="C4" s="79" t="s">
        <v>268</v>
      </c>
      <c r="D4" s="80">
        <f>J4</f>
        <v>21780</v>
      </c>
      <c r="E4" s="80">
        <f>K4</f>
        <v>0</v>
      </c>
      <c r="F4" s="80">
        <f>L4</f>
        <v>7676</v>
      </c>
      <c r="G4" s="80">
        <f>M4</f>
        <v>26000</v>
      </c>
      <c r="H4" s="73"/>
      <c r="I4" s="73">
        <v>7</v>
      </c>
      <c r="J4" s="55">
        <v>21780</v>
      </c>
      <c r="K4" s="55">
        <v>0</v>
      </c>
      <c r="L4" s="55">
        <v>7676</v>
      </c>
      <c r="M4" s="55">
        <v>26000</v>
      </c>
      <c r="O4" s="131"/>
      <c r="P4" s="131"/>
      <c r="Q4" s="131"/>
      <c r="R4" s="131"/>
      <c r="S4" s="131"/>
      <c r="T4" s="131"/>
      <c r="U4" s="131"/>
      <c r="V4" s="131"/>
    </row>
    <row r="5" spans="1:22" x14ac:dyDescent="0.25">
      <c r="C5" s="79" t="s">
        <v>269</v>
      </c>
      <c r="D5" s="81">
        <f>O5*Heizleistungsbedarf+P5</f>
        <v>18663.333333333332</v>
      </c>
      <c r="E5" s="81">
        <f>Q5*Heizleistungsbedarf+R5</f>
        <v>0</v>
      </c>
      <c r="F5" s="81">
        <f>S5*Heizleistungsbedarf+T5</f>
        <v>6930.3333333333339</v>
      </c>
      <c r="G5" s="81">
        <f>U5*Heizleistungsbedarf+V5</f>
        <v>24000</v>
      </c>
      <c r="H5" s="73"/>
      <c r="I5" s="73">
        <v>28</v>
      </c>
      <c r="J5" s="55">
        <v>31130</v>
      </c>
      <c r="K5" s="55">
        <v>0</v>
      </c>
      <c r="L5" s="55">
        <v>9913</v>
      </c>
      <c r="M5" s="55">
        <v>32000</v>
      </c>
      <c r="O5" s="131">
        <f>SLOPE(J4:J5,I4:I5)</f>
        <v>445.23809523809524</v>
      </c>
      <c r="P5" s="131">
        <f>INTERCEPT(J4:J5,I4:I5)</f>
        <v>18663.333333333332</v>
      </c>
      <c r="Q5" s="131">
        <f>SLOPE(K4:K5,I4:I5)</f>
        <v>0</v>
      </c>
      <c r="R5" s="131">
        <f>INTERCEPT(K4:K5,I4:I5)</f>
        <v>0</v>
      </c>
      <c r="S5" s="131">
        <f>SLOPE(L4:L5,I4:I5)</f>
        <v>106.52380952380952</v>
      </c>
      <c r="T5" s="131">
        <f>INTERCEPT(L4:L5,I4:I5)</f>
        <v>6930.3333333333339</v>
      </c>
      <c r="U5" s="131">
        <f>SLOPE(M4:M5,I4:I5)</f>
        <v>285.71428571428572</v>
      </c>
      <c r="V5" s="131">
        <f>INTERCEPT(M4:M5,I4:I5)</f>
        <v>24000</v>
      </c>
    </row>
    <row r="6" spans="1:22" x14ac:dyDescent="0.25">
      <c r="C6" s="79" t="s">
        <v>270</v>
      </c>
      <c r="D6" s="81">
        <f>O6*Heizleistungsbedarf+P6</f>
        <v>22814</v>
      </c>
      <c r="E6" s="81">
        <f>Q6*Heizleistungsbedarf+R6</f>
        <v>0</v>
      </c>
      <c r="F6" s="81">
        <f>S6*Heizleistungsbedarf+T6</f>
        <v>8092.2999999999993</v>
      </c>
      <c r="G6" s="81">
        <f>U6*Heizleistungsbedarf+V6</f>
        <v>26750</v>
      </c>
      <c r="H6" s="73"/>
      <c r="I6" s="73">
        <v>68</v>
      </c>
      <c r="J6" s="55">
        <v>43010</v>
      </c>
      <c r="K6" s="55">
        <v>0</v>
      </c>
      <c r="L6" s="55">
        <v>12514</v>
      </c>
      <c r="M6" s="55">
        <v>39500</v>
      </c>
      <c r="O6" s="131">
        <f>SLOPE(J5:J6,I5:I6)</f>
        <v>297</v>
      </c>
      <c r="P6" s="131">
        <f>INTERCEPT(J5:J6,I5:I6)</f>
        <v>22814</v>
      </c>
      <c r="Q6" s="131">
        <f>SLOPE(K5:K6,I5:I6)</f>
        <v>0</v>
      </c>
      <c r="R6" s="131">
        <f>INTERCEPT(K5:K6,I5:I6)</f>
        <v>0</v>
      </c>
      <c r="S6" s="131">
        <f>SLOPE(L5:L6,I5:I6)</f>
        <v>65.025000000000006</v>
      </c>
      <c r="T6" s="131">
        <f>INTERCEPT(L5:L6,I5:I6)</f>
        <v>8092.2999999999993</v>
      </c>
      <c r="U6" s="131">
        <f>SLOPE(M5:M6,I5:I6)</f>
        <v>187.5</v>
      </c>
      <c r="V6" s="131">
        <f>INTERCEPT(M5:M6,I5:I6)</f>
        <v>26750</v>
      </c>
    </row>
    <row r="7" spans="1:22" x14ac:dyDescent="0.25">
      <c r="C7" s="79" t="s">
        <v>271</v>
      </c>
      <c r="D7" s="81">
        <f>O7*Heizleistungsbedarf+P7</f>
        <v>24371.311475409842</v>
      </c>
      <c r="E7" s="81">
        <f>Q7*Heizleistungsbedarf+R7</f>
        <v>0</v>
      </c>
      <c r="F7" s="81">
        <f>S7*Heizleistungsbedarf+T7</f>
        <v>8886.0327868852473</v>
      </c>
      <c r="G7" s="81">
        <f>U7*Heizleistungsbedarf+V7</f>
        <v>26624.590163934427</v>
      </c>
      <c r="H7" s="73"/>
      <c r="I7" s="73">
        <v>190</v>
      </c>
      <c r="J7" s="55">
        <v>76450</v>
      </c>
      <c r="K7" s="55">
        <v>0</v>
      </c>
      <c r="L7" s="55">
        <v>19023</v>
      </c>
      <c r="M7" s="56">
        <v>62600</v>
      </c>
      <c r="O7" s="131">
        <f>SLOPE(J6:J7,I6:I7)</f>
        <v>274.09836065573768</v>
      </c>
      <c r="P7" s="131">
        <f>INTERCEPT(J6:J7,I6:I7)</f>
        <v>24371.311475409842</v>
      </c>
      <c r="Q7" s="131">
        <f>SLOPE(K6:K7,I6:I7)</f>
        <v>0</v>
      </c>
      <c r="R7" s="131">
        <f>INTERCEPT(K6:K7,I6:I7)</f>
        <v>0</v>
      </c>
      <c r="S7" s="131">
        <f>SLOPE(L6:L7,I6:I7)</f>
        <v>53.352459016393439</v>
      </c>
      <c r="T7" s="131">
        <f>INTERCEPT(L6:L7,I6:I7)</f>
        <v>8886.0327868852473</v>
      </c>
      <c r="U7" s="131">
        <f>SLOPE(M6:M7,I6:I7)</f>
        <v>189.34426229508196</v>
      </c>
      <c r="V7" s="131">
        <f>INTERCEPT(M6:M7,I6:I7)</f>
        <v>26624.590163934427</v>
      </c>
    </row>
    <row r="8" spans="1:22" x14ac:dyDescent="0.25">
      <c r="B8" s="75"/>
      <c r="C8" s="82" t="s">
        <v>272</v>
      </c>
      <c r="D8" s="83">
        <f>O8*Heizleistungsbedarf+P8</f>
        <v>32492.580645161288</v>
      </c>
      <c r="E8" s="83">
        <f>Q8*Heizleistungsbedarf+R8</f>
        <v>0</v>
      </c>
      <c r="F8" s="83">
        <f>S8*Heizleistungsbedarf+T8</f>
        <v>11668.16129032258</v>
      </c>
      <c r="G8" s="83">
        <f>U8*Heizleistungsbedarf+V8</f>
        <v>32016.129032258061</v>
      </c>
      <c r="H8" s="73"/>
      <c r="I8" s="74">
        <v>500</v>
      </c>
      <c r="J8" s="57">
        <v>148170</v>
      </c>
      <c r="K8" s="57">
        <v>0</v>
      </c>
      <c r="L8" s="57">
        <v>31023</v>
      </c>
      <c r="M8" s="57">
        <v>112500</v>
      </c>
      <c r="O8" s="131">
        <f>SLOPE(J7:J8,I7:I8)</f>
        <v>231.35483870967741</v>
      </c>
      <c r="P8" s="131">
        <f>INTERCEPT(J7:J8,I7:I8)</f>
        <v>32492.580645161288</v>
      </c>
      <c r="Q8" s="131">
        <f>SLOPE(K7:K8,I7:I8)</f>
        <v>0</v>
      </c>
      <c r="R8" s="131">
        <f>INTERCEPT(K7:K8,I7:I8)</f>
        <v>0</v>
      </c>
      <c r="S8" s="131">
        <f>SLOPE(L7:L8,I7:I8)</f>
        <v>38.70967741935484</v>
      </c>
      <c r="T8" s="131">
        <f>INTERCEPT(L7:L8,I7:I8)</f>
        <v>11668.16129032258</v>
      </c>
      <c r="U8" s="131">
        <f>SLOPE(M7:M8,I7:I8)</f>
        <v>160.96774193548387</v>
      </c>
      <c r="V8" s="131">
        <f>INTERCEPT(M7:M8,I7:I8)</f>
        <v>32016.129032258061</v>
      </c>
    </row>
    <row r="9" spans="1:22" x14ac:dyDescent="0.25">
      <c r="B9" s="84" t="s">
        <v>62</v>
      </c>
      <c r="C9" s="85" t="s">
        <v>268</v>
      </c>
      <c r="D9" s="86">
        <f>J9</f>
        <v>7260</v>
      </c>
      <c r="E9" s="86">
        <f>K9</f>
        <v>0</v>
      </c>
      <c r="F9" s="86">
        <f>L9</f>
        <v>3531</v>
      </c>
      <c r="G9" s="86">
        <f>M9</f>
        <v>25000</v>
      </c>
      <c r="H9" s="88"/>
      <c r="I9" s="88">
        <v>7</v>
      </c>
      <c r="J9" s="89">
        <v>7260</v>
      </c>
      <c r="K9" s="89">
        <v>0</v>
      </c>
      <c r="L9" s="89">
        <v>3531</v>
      </c>
      <c r="M9" s="89">
        <v>25000</v>
      </c>
      <c r="O9" s="131"/>
      <c r="P9" s="131"/>
      <c r="Q9" s="131"/>
      <c r="R9" s="131"/>
      <c r="S9" s="131"/>
      <c r="T9" s="131"/>
      <c r="U9" s="131"/>
      <c r="V9" s="131"/>
    </row>
    <row r="10" spans="1:22" x14ac:dyDescent="0.25">
      <c r="B10" s="87"/>
      <c r="C10" s="85" t="s">
        <v>269</v>
      </c>
      <c r="D10" s="88">
        <f>O10*Heizleistungsbedarf+P10</f>
        <v>7003.333333333333</v>
      </c>
      <c r="E10" s="88">
        <f>Q10*Heizleistungsbedarf+R10</f>
        <v>0</v>
      </c>
      <c r="F10" s="88">
        <f>S10*Heizleistungsbedarf+T10</f>
        <v>3444.6666666666665</v>
      </c>
      <c r="G10" s="88">
        <f>U10*Heizleistungsbedarf+V10</f>
        <v>23800</v>
      </c>
      <c r="H10" s="88"/>
      <c r="I10" s="88">
        <v>28</v>
      </c>
      <c r="J10" s="89">
        <v>8030</v>
      </c>
      <c r="K10" s="89">
        <v>0</v>
      </c>
      <c r="L10" s="89">
        <v>3790</v>
      </c>
      <c r="M10" s="89">
        <v>28600</v>
      </c>
      <c r="O10" s="131">
        <f>SLOPE(J9:J10,I9:I10)</f>
        <v>36.666666666666664</v>
      </c>
      <c r="P10" s="131">
        <f>INTERCEPT(J9:J10,I9:I10)</f>
        <v>7003.333333333333</v>
      </c>
      <c r="Q10" s="131">
        <f>SLOPE(K9:K10,I9:I10)</f>
        <v>0</v>
      </c>
      <c r="R10" s="131">
        <f>INTERCEPT(K9:K10,I9:I10)</f>
        <v>0</v>
      </c>
      <c r="S10" s="131">
        <f>SLOPE(L9:L10,I9:I10)</f>
        <v>12.333333333333334</v>
      </c>
      <c r="T10" s="131">
        <f>INTERCEPT(L9:L10,I9:I10)</f>
        <v>3444.6666666666665</v>
      </c>
      <c r="U10" s="131">
        <f>SLOPE(M9:M10,I9:I10)</f>
        <v>171.42857142857142</v>
      </c>
      <c r="V10" s="131">
        <f>INTERCEPT(M9:M10,I9:I10)</f>
        <v>23800</v>
      </c>
    </row>
    <row r="11" spans="1:22" x14ac:dyDescent="0.25">
      <c r="B11" s="87"/>
      <c r="C11" s="85" t="s">
        <v>270</v>
      </c>
      <c r="D11" s="88">
        <f>O11*Heizleistungsbedarf+P11</f>
        <v>2563</v>
      </c>
      <c r="E11" s="88">
        <f>Q11*Heizleistungsbedarf+R11</f>
        <v>0</v>
      </c>
      <c r="F11" s="88">
        <f>S11*Heizleistungsbedarf+T11</f>
        <v>2159</v>
      </c>
      <c r="G11" s="88">
        <f>U11*Heizleistungsbedarf+V11</f>
        <v>23700</v>
      </c>
      <c r="H11" s="88"/>
      <c r="I11" s="88">
        <v>68</v>
      </c>
      <c r="J11" s="89">
        <v>15840</v>
      </c>
      <c r="K11" s="89">
        <v>0</v>
      </c>
      <c r="L11" s="89">
        <v>6120</v>
      </c>
      <c r="M11" s="89">
        <v>35600</v>
      </c>
      <c r="O11" s="131">
        <f>SLOPE(J10:J11,I10:I11)</f>
        <v>195.25</v>
      </c>
      <c r="P11" s="131">
        <f>INTERCEPT(J10:J11,I10:I11)</f>
        <v>2563</v>
      </c>
      <c r="Q11" s="131">
        <f>SLOPE(K10:K11,I10:I11)</f>
        <v>0</v>
      </c>
      <c r="R11" s="131">
        <f>INTERCEPT(K10:K11,I10:I11)</f>
        <v>0</v>
      </c>
      <c r="S11" s="131">
        <f>SLOPE(L10:L11,I10:I11)</f>
        <v>58.25</v>
      </c>
      <c r="T11" s="131">
        <f>INTERCEPT(L10:L11,I10:I11)</f>
        <v>2159</v>
      </c>
      <c r="U11" s="131">
        <f>SLOPE(M10:M11,I10:I11)</f>
        <v>175</v>
      </c>
      <c r="V11" s="131">
        <f>INTERCEPT(M10:M11,I10:I11)</f>
        <v>23700</v>
      </c>
    </row>
    <row r="12" spans="1:22" x14ac:dyDescent="0.25">
      <c r="B12" s="87"/>
      <c r="C12" s="85" t="s">
        <v>271</v>
      </c>
      <c r="D12" s="88">
        <f>O12*Heizleistungsbedarf+P12</f>
        <v>3822.9508196721326</v>
      </c>
      <c r="E12" s="88">
        <f>Q12*Heizleistungsbedarf+R12</f>
        <v>0</v>
      </c>
      <c r="F12" s="88">
        <f>S12*Heizleistungsbedarf+T12</f>
        <v>3225.5409836065573</v>
      </c>
      <c r="G12" s="88">
        <f>U12*Heizleistungsbedarf+V12</f>
        <v>23727.868852459014</v>
      </c>
      <c r="H12" s="88"/>
      <c r="I12" s="88">
        <v>190</v>
      </c>
      <c r="J12" s="89">
        <v>37400</v>
      </c>
      <c r="K12" s="89">
        <v>0</v>
      </c>
      <c r="L12" s="89">
        <v>11313</v>
      </c>
      <c r="M12" s="90">
        <v>56900</v>
      </c>
      <c r="O12" s="131">
        <f>SLOPE(J11:J12,I11:I12)</f>
        <v>176.72131147540983</v>
      </c>
      <c r="P12" s="131">
        <f>INTERCEPT(J11:J12,I11:I12)</f>
        <v>3822.9508196721326</v>
      </c>
      <c r="Q12" s="131">
        <f>SLOPE(K11:K12,I11:I12)</f>
        <v>0</v>
      </c>
      <c r="R12" s="131">
        <f>INTERCEPT(K11:K12,I11:I12)</f>
        <v>0</v>
      </c>
      <c r="S12" s="131">
        <f>SLOPE(L11:L12,I11:I12)</f>
        <v>42.565573770491802</v>
      </c>
      <c r="T12" s="131">
        <f>INTERCEPT(L11:L12,I11:I12)</f>
        <v>3225.5409836065573</v>
      </c>
      <c r="U12" s="131">
        <f>SLOPE(M11:M12,I11:I12)</f>
        <v>174.59016393442624</v>
      </c>
      <c r="V12" s="131">
        <f>INTERCEPT(M11:M12,I11:I12)</f>
        <v>23727.868852459014</v>
      </c>
    </row>
    <row r="13" spans="1:22" x14ac:dyDescent="0.25">
      <c r="B13" s="91"/>
      <c r="C13" s="92" t="s">
        <v>272</v>
      </c>
      <c r="D13" s="93">
        <f>O13*Heizleistungsbedarf+P13</f>
        <v>11982.903225806447</v>
      </c>
      <c r="E13" s="93">
        <f>Q13*Heizleistungsbedarf+R13</f>
        <v>0</v>
      </c>
      <c r="F13" s="93">
        <f>S13*Heizleistungsbedarf+T13</f>
        <v>6317.8387096774204</v>
      </c>
      <c r="G13" s="93">
        <f>U13*Heizleistungsbedarf+V13</f>
        <v>23803.225806451614</v>
      </c>
      <c r="H13" s="88"/>
      <c r="I13" s="93">
        <v>500</v>
      </c>
      <c r="J13" s="94">
        <v>78870</v>
      </c>
      <c r="K13" s="94">
        <v>0</v>
      </c>
      <c r="L13" s="94">
        <v>19463</v>
      </c>
      <c r="M13" s="94">
        <v>110900</v>
      </c>
      <c r="O13" s="131">
        <f>SLOPE(J12:J13,I12:I13)</f>
        <v>133.7741935483871</v>
      </c>
      <c r="P13" s="131">
        <f>INTERCEPT(J12:J13,I12:I13)</f>
        <v>11982.903225806447</v>
      </c>
      <c r="Q13" s="131">
        <f>SLOPE(K12:K13,I12:I13)</f>
        <v>0</v>
      </c>
      <c r="R13" s="131">
        <f>INTERCEPT(K12:K13,I12:I13)</f>
        <v>0</v>
      </c>
      <c r="S13" s="131">
        <f>SLOPE(L12:L13,I12:I13)</f>
        <v>26.29032258064516</v>
      </c>
      <c r="T13" s="131">
        <f>INTERCEPT(L12:L13,I12:I13)</f>
        <v>6317.8387096774204</v>
      </c>
      <c r="U13" s="131">
        <f>SLOPE(M12:M13,I12:I13)</f>
        <v>174.19354838709677</v>
      </c>
      <c r="V13" s="131">
        <f>INTERCEPT(M12:M13,I12:I13)</f>
        <v>23803.225806451614</v>
      </c>
    </row>
    <row r="14" spans="1:22" x14ac:dyDescent="0.25">
      <c r="B14" t="s">
        <v>249</v>
      </c>
      <c r="C14" s="71" t="s">
        <v>268</v>
      </c>
      <c r="D14" s="55">
        <v>28600</v>
      </c>
      <c r="E14" s="55">
        <v>2800</v>
      </c>
      <c r="F14" s="55">
        <v>14900</v>
      </c>
      <c r="G14" s="55">
        <v>0</v>
      </c>
      <c r="I14" s="73">
        <v>7</v>
      </c>
      <c r="J14" s="55">
        <v>28600</v>
      </c>
      <c r="K14" s="55">
        <v>2750</v>
      </c>
      <c r="L14" s="55">
        <v>14924</v>
      </c>
      <c r="M14" s="55">
        <v>0</v>
      </c>
      <c r="O14" s="131"/>
      <c r="P14" s="131"/>
      <c r="Q14" s="131"/>
      <c r="R14" s="131"/>
      <c r="S14" s="131"/>
      <c r="T14" s="131"/>
      <c r="U14" s="131"/>
      <c r="V14" s="131"/>
    </row>
    <row r="15" spans="1:22" x14ac:dyDescent="0.25">
      <c r="C15" s="71" t="s">
        <v>269</v>
      </c>
      <c r="D15" s="73">
        <f>O15*Heizleistungsbedarf+P15</f>
        <v>21560</v>
      </c>
      <c r="E15" s="73">
        <f>Q15*Heizleistungsbedarf+R15</f>
        <v>2603.3333333333335</v>
      </c>
      <c r="F15" s="73">
        <f>S15*Heizleistungsbedarf+T15</f>
        <v>12485.333333333332</v>
      </c>
      <c r="G15" s="73">
        <f>U15*Heizleistungsbedarf+V15</f>
        <v>0</v>
      </c>
      <c r="I15" s="73">
        <v>28</v>
      </c>
      <c r="J15" s="55">
        <v>49720</v>
      </c>
      <c r="K15" s="55">
        <v>3190</v>
      </c>
      <c r="L15" s="55">
        <v>22240</v>
      </c>
      <c r="M15" s="55">
        <v>0</v>
      </c>
      <c r="O15" s="131">
        <f>SLOPE(J14:J15,I14:I15)</f>
        <v>1005.7142857142857</v>
      </c>
      <c r="P15" s="131">
        <f>INTERCEPT(J14:J15,I14:I15)</f>
        <v>21560</v>
      </c>
      <c r="Q15" s="131">
        <f>SLOPE(K14:K15,I14:I15)</f>
        <v>20.952380952380953</v>
      </c>
      <c r="R15" s="131">
        <f>INTERCEPT(K14:K15,I14:I15)</f>
        <v>2603.3333333333335</v>
      </c>
      <c r="S15" s="131">
        <f>SLOPE(L14:L15,I14:I15)</f>
        <v>348.38095238095241</v>
      </c>
      <c r="T15" s="131">
        <f>INTERCEPT(L14:L15,I14:I15)</f>
        <v>12485.333333333332</v>
      </c>
      <c r="U15" s="131">
        <f>SLOPE(M14:M15,I14:I15)</f>
        <v>0</v>
      </c>
      <c r="V15" s="131">
        <f>INTERCEPT(M14:M15,I14:I15)</f>
        <v>0</v>
      </c>
    </row>
    <row r="16" spans="1:22" x14ac:dyDescent="0.25">
      <c r="C16" s="71" t="s">
        <v>270</v>
      </c>
      <c r="D16" s="73">
        <f>O16*Heizleistungsbedarf+P16</f>
        <v>5060</v>
      </c>
      <c r="E16" s="73">
        <f>Q16*Heizleistungsbedarf+R16</f>
        <v>1573</v>
      </c>
      <c r="F16" s="73">
        <f>S16*Heizleistungsbedarf+T16</f>
        <v>9299.8000000000029</v>
      </c>
      <c r="G16" s="73">
        <f>U16*Heizleistungsbedarf+V16</f>
        <v>0</v>
      </c>
      <c r="I16" s="73">
        <v>68</v>
      </c>
      <c r="J16" s="55">
        <v>113520</v>
      </c>
      <c r="K16" s="55">
        <v>5500</v>
      </c>
      <c r="L16" s="55">
        <v>40726</v>
      </c>
      <c r="M16" s="55">
        <v>0</v>
      </c>
      <c r="O16" s="131">
        <f>SLOPE(J15:J16,I15:I16)</f>
        <v>1595</v>
      </c>
      <c r="P16" s="131">
        <f>INTERCEPT(J15:J16,I15:I16)</f>
        <v>5060</v>
      </c>
      <c r="Q16" s="131">
        <f>SLOPE(K15:K16,I15:I16)</f>
        <v>57.75</v>
      </c>
      <c r="R16" s="131">
        <f>INTERCEPT(K15:K16,I15:I16)</f>
        <v>1573</v>
      </c>
      <c r="S16" s="131">
        <f>SLOPE(L15:L16,I15:I16)</f>
        <v>462.15</v>
      </c>
      <c r="T16" s="131">
        <f>INTERCEPT(L15:L16,I15:I16)</f>
        <v>9299.8000000000029</v>
      </c>
      <c r="U16" s="131">
        <f>SLOPE(M15:M16,I15:I16)</f>
        <v>0</v>
      </c>
      <c r="V16" s="131">
        <f>INTERCEPT(M15:M16,I15:I16)</f>
        <v>0</v>
      </c>
    </row>
    <row r="17" spans="2:22" x14ac:dyDescent="0.25">
      <c r="C17" s="71" t="s">
        <v>271</v>
      </c>
      <c r="D17" s="73">
        <f>O17*Heizleistungsbedarf+P17</f>
        <v>10884.590163934423</v>
      </c>
      <c r="E17" s="73">
        <f>Q17*Heizleistungsbedarf+R17</f>
        <v>5500</v>
      </c>
      <c r="F17" s="73">
        <f>S17*Heizleistungsbedarf+T17</f>
        <v>16651.213114754093</v>
      </c>
      <c r="G17" s="73">
        <f>U17*Heizleistungsbedarf+V17</f>
        <v>0</v>
      </c>
      <c r="I17" s="73">
        <v>190</v>
      </c>
      <c r="J17" s="55">
        <v>297660</v>
      </c>
      <c r="K17" s="55">
        <v>5500</v>
      </c>
      <c r="L17" s="55">
        <v>83919</v>
      </c>
      <c r="M17" s="56">
        <v>0</v>
      </c>
      <c r="O17" s="131">
        <f>SLOPE(J16:J17,I16:I17)</f>
        <v>1509.344262295082</v>
      </c>
      <c r="P17" s="131">
        <f>INTERCEPT(J16:J17,I16:I17)</f>
        <v>10884.590163934423</v>
      </c>
      <c r="Q17" s="131">
        <f>SLOPE(K16:K17,I16:I17)</f>
        <v>0</v>
      </c>
      <c r="R17" s="131">
        <f>INTERCEPT(K16:K17,I16:I17)</f>
        <v>5500</v>
      </c>
      <c r="S17" s="131">
        <f>SLOPE(L16:L17,I16:I17)</f>
        <v>354.0409836065574</v>
      </c>
      <c r="T17" s="131">
        <f>INTERCEPT(L16:L17,I16:I17)</f>
        <v>16651.213114754093</v>
      </c>
      <c r="U17" s="131">
        <f>SLOPE(M16:M17,I16:I17)</f>
        <v>0</v>
      </c>
      <c r="V17" s="131">
        <f>INTERCEPT(M16:M17,I16:I17)</f>
        <v>0</v>
      </c>
    </row>
    <row r="18" spans="2:22" x14ac:dyDescent="0.25">
      <c r="B18" s="75"/>
      <c r="C18" s="72" t="s">
        <v>272</v>
      </c>
      <c r="D18" s="74">
        <f>D17</f>
        <v>10884.590163934423</v>
      </c>
      <c r="E18" s="74">
        <f>E17</f>
        <v>5500</v>
      </c>
      <c r="F18" s="74">
        <f>F17</f>
        <v>16651.213114754093</v>
      </c>
      <c r="G18" s="74">
        <f>G17</f>
        <v>0</v>
      </c>
      <c r="I18" s="74"/>
      <c r="J18" s="57"/>
      <c r="K18" s="57"/>
      <c r="L18" s="57"/>
      <c r="M18" s="57"/>
      <c r="O18" s="131"/>
      <c r="P18" s="131"/>
      <c r="Q18" s="131"/>
      <c r="R18" s="131"/>
      <c r="S18" s="131"/>
      <c r="T18" s="131"/>
      <c r="U18" s="131"/>
      <c r="V18" s="131"/>
    </row>
    <row r="19" spans="2:22" x14ac:dyDescent="0.25">
      <c r="B19" t="s">
        <v>248</v>
      </c>
      <c r="C19" s="71" t="s">
        <v>268</v>
      </c>
      <c r="D19" s="55">
        <v>35600</v>
      </c>
      <c r="E19" s="55">
        <v>9900</v>
      </c>
      <c r="F19" s="55">
        <v>17500</v>
      </c>
      <c r="G19" s="56">
        <v>0</v>
      </c>
      <c r="I19" s="73">
        <v>7</v>
      </c>
      <c r="J19" s="55">
        <v>35530</v>
      </c>
      <c r="K19" s="55">
        <v>9900</v>
      </c>
      <c r="L19" s="55">
        <v>17443</v>
      </c>
      <c r="M19" s="56">
        <v>0</v>
      </c>
      <c r="O19" s="131"/>
      <c r="P19" s="131"/>
      <c r="Q19" s="131"/>
      <c r="R19" s="131"/>
      <c r="S19" s="131"/>
      <c r="T19" s="131"/>
      <c r="U19" s="131"/>
      <c r="V19" s="131"/>
    </row>
    <row r="20" spans="2:22" x14ac:dyDescent="0.25">
      <c r="C20" s="71" t="s">
        <v>269</v>
      </c>
      <c r="D20" s="73">
        <f>O20*Heizleistungsbedarf+P20</f>
        <v>29920</v>
      </c>
      <c r="E20" s="73">
        <f>Q20*Heizleistungsbedarf+R20</f>
        <v>9643.3333333333339</v>
      </c>
      <c r="F20" s="73">
        <f>S20*Heizleistungsbedarf+T20</f>
        <v>15560</v>
      </c>
      <c r="G20" s="73">
        <f>U20*Heizleistungsbedarf+V20</f>
        <v>0</v>
      </c>
      <c r="I20" s="73">
        <v>28</v>
      </c>
      <c r="J20" s="55">
        <v>52360</v>
      </c>
      <c r="K20" s="55">
        <v>10670</v>
      </c>
      <c r="L20" s="55">
        <v>23092</v>
      </c>
      <c r="M20" s="56">
        <v>0</v>
      </c>
      <c r="O20" s="131">
        <f>SLOPE(J19:J20,I19:I20)</f>
        <v>801.42857142857144</v>
      </c>
      <c r="P20" s="131">
        <f>INTERCEPT(J19:J20,I19:I20)</f>
        <v>29920</v>
      </c>
      <c r="Q20" s="131">
        <f>SLOPE(K19:K20,I19:I20)</f>
        <v>36.666666666666664</v>
      </c>
      <c r="R20" s="131">
        <f>INTERCEPT(K19:K20,I19:I20)</f>
        <v>9643.3333333333339</v>
      </c>
      <c r="S20" s="131">
        <f>SLOPE(L19:L20,I19:I20)</f>
        <v>269</v>
      </c>
      <c r="T20" s="131">
        <f>INTERCEPT(L19:L20,I19:I20)</f>
        <v>15560</v>
      </c>
      <c r="U20" s="131">
        <f>SLOPE(M19:M20,I19:I20)</f>
        <v>0</v>
      </c>
      <c r="V20" s="131">
        <f>INTERCEPT(M19:M20,I19:I20)</f>
        <v>0</v>
      </c>
    </row>
    <row r="21" spans="2:22" x14ac:dyDescent="0.25">
      <c r="C21" s="71" t="s">
        <v>270</v>
      </c>
      <c r="D21" s="73">
        <f>O21*Heizleistungsbedarf+P21</f>
        <v>-1309</v>
      </c>
      <c r="E21" s="73">
        <f>Q21*Heizleistungsbedarf+R21</f>
        <v>6589</v>
      </c>
      <c r="F21" s="73">
        <f>S21*Heizleistungsbedarf+T21</f>
        <v>7908.3000000000029</v>
      </c>
      <c r="G21" s="73">
        <f>U21*Heizleistungsbedarf+V21</f>
        <v>0</v>
      </c>
      <c r="I21" s="73">
        <v>68</v>
      </c>
      <c r="J21" s="55">
        <v>129030</v>
      </c>
      <c r="K21" s="55">
        <v>16500</v>
      </c>
      <c r="L21" s="55">
        <v>44783</v>
      </c>
      <c r="M21" s="56">
        <v>0</v>
      </c>
      <c r="O21" s="131">
        <f>SLOPE(J20:J21,I20:I21)</f>
        <v>1916.75</v>
      </c>
      <c r="P21" s="131">
        <f>INTERCEPT(J20:J21,I20:I21)</f>
        <v>-1309</v>
      </c>
      <c r="Q21" s="131">
        <f>SLOPE(K20:K21,I20:I21)</f>
        <v>145.75</v>
      </c>
      <c r="R21" s="131">
        <f>INTERCEPT(K20:K21,I20:I21)</f>
        <v>6589</v>
      </c>
      <c r="S21" s="131">
        <f>SLOPE(L20:L21,I20:I21)</f>
        <v>542.27499999999998</v>
      </c>
      <c r="T21" s="131">
        <f>INTERCEPT(L20:L21,I20:I21)</f>
        <v>7908.3000000000029</v>
      </c>
      <c r="U21" s="131">
        <f>SLOPE(M20:M21,I20:I21)</f>
        <v>0</v>
      </c>
      <c r="V21" s="131">
        <f>INTERCEPT(M20:M21,I20:I21)</f>
        <v>0</v>
      </c>
    </row>
    <row r="22" spans="2:22" x14ac:dyDescent="0.25">
      <c r="C22" s="71" t="s">
        <v>271</v>
      </c>
      <c r="D22" s="73">
        <f>O22*Heizleistungsbedarf+P22</f>
        <v>20631.311475409835</v>
      </c>
      <c r="E22" s="73">
        <f>Q22*Heizleistungsbedarf+R22</f>
        <v>18339.344262295082</v>
      </c>
      <c r="F22" s="73">
        <f>S22*Heizleistungsbedarf+T22</f>
        <v>19908.37704918033</v>
      </c>
      <c r="G22" s="73">
        <f>U22*Heizleistungsbedarf+V22</f>
        <v>0</v>
      </c>
      <c r="I22" s="73">
        <v>190</v>
      </c>
      <c r="J22" s="55">
        <v>323510</v>
      </c>
      <c r="K22" s="55">
        <v>13200</v>
      </c>
      <c r="L22" s="55">
        <v>89411</v>
      </c>
      <c r="M22" s="56">
        <v>0</v>
      </c>
      <c r="O22" s="131">
        <f>SLOPE(J21:J22,I21:I22)</f>
        <v>1594.0983606557377</v>
      </c>
      <c r="P22" s="131">
        <f>INTERCEPT(J21:J22,I21:I22)</f>
        <v>20631.311475409835</v>
      </c>
      <c r="Q22" s="131">
        <f>SLOPE(K21:K22,I21:I22)</f>
        <v>-27.049180327868854</v>
      </c>
      <c r="R22" s="131">
        <f>INTERCEPT(K21:K22,I21:I22)</f>
        <v>18339.344262295082</v>
      </c>
      <c r="S22" s="131">
        <f>SLOPE(L21:L22,I21:I22)</f>
        <v>365.80327868852459</v>
      </c>
      <c r="T22" s="131">
        <f>INTERCEPT(L21:L22,I21:I22)</f>
        <v>19908.37704918033</v>
      </c>
      <c r="U22" s="131">
        <f>SLOPE(M21:M22,I21:I22)</f>
        <v>0</v>
      </c>
      <c r="V22" s="131">
        <f>INTERCEPT(M21:M22,I21:I22)</f>
        <v>0</v>
      </c>
    </row>
    <row r="23" spans="2:22" x14ac:dyDescent="0.25">
      <c r="B23" s="75"/>
      <c r="C23" s="72" t="s">
        <v>272</v>
      </c>
      <c r="D23" s="74">
        <f>D22</f>
        <v>20631.311475409835</v>
      </c>
      <c r="E23" s="74">
        <f>E22</f>
        <v>18339.344262295082</v>
      </c>
      <c r="F23" s="74">
        <f>F22</f>
        <v>19908.37704918033</v>
      </c>
      <c r="G23" s="74">
        <f>G22</f>
        <v>0</v>
      </c>
      <c r="I23" s="74">
        <v>500</v>
      </c>
      <c r="J23" s="57"/>
      <c r="K23" s="57"/>
      <c r="L23" s="57"/>
      <c r="M23" s="57"/>
      <c r="O23" s="131"/>
      <c r="P23" s="131"/>
      <c r="Q23" s="131"/>
      <c r="R23" s="131"/>
      <c r="S23" s="131"/>
      <c r="T23" s="131"/>
      <c r="U23" s="131"/>
      <c r="V23" s="131"/>
    </row>
    <row r="24" spans="2:22" x14ac:dyDescent="0.25">
      <c r="B24" t="s">
        <v>57</v>
      </c>
      <c r="C24" s="71" t="s">
        <v>268</v>
      </c>
      <c r="D24" s="55">
        <v>29400</v>
      </c>
      <c r="E24" s="55">
        <v>1100</v>
      </c>
      <c r="F24" s="55">
        <v>18100</v>
      </c>
      <c r="G24" s="55">
        <v>14400</v>
      </c>
      <c r="I24" s="73">
        <v>7</v>
      </c>
      <c r="J24" s="55">
        <v>29400</v>
      </c>
      <c r="K24" s="55">
        <v>1100</v>
      </c>
      <c r="L24" s="55">
        <v>18100</v>
      </c>
      <c r="M24" s="55">
        <v>14400</v>
      </c>
      <c r="O24" s="131"/>
      <c r="P24" s="131"/>
      <c r="Q24" s="131"/>
      <c r="R24" s="131"/>
      <c r="S24" s="131"/>
      <c r="T24" s="131"/>
      <c r="U24" s="131"/>
      <c r="V24" s="131"/>
    </row>
    <row r="25" spans="2:22" x14ac:dyDescent="0.25">
      <c r="C25" s="71" t="s">
        <v>269</v>
      </c>
      <c r="D25" s="73">
        <f>O25*Heizleistungsbedarf+P25</f>
        <v>16466.666666666664</v>
      </c>
      <c r="E25" s="73">
        <f>Q25*Heizleistungsbedarf+R25</f>
        <v>1100</v>
      </c>
      <c r="F25" s="73">
        <f>S25*Heizleistungsbedarf+T25</f>
        <v>11900</v>
      </c>
      <c r="G25" s="73">
        <f>U25*Heizleistungsbedarf+V25</f>
        <v>4433.3333333333321</v>
      </c>
      <c r="I25" s="73">
        <v>28</v>
      </c>
      <c r="J25" s="55">
        <v>68200</v>
      </c>
      <c r="K25" s="55">
        <v>1100</v>
      </c>
      <c r="L25" s="55">
        <v>36700</v>
      </c>
      <c r="M25" s="55">
        <v>44300</v>
      </c>
      <c r="O25" s="131">
        <f>SLOPE(J24:J25,I24:I25)</f>
        <v>1847.6190476190477</v>
      </c>
      <c r="P25" s="131">
        <f>INTERCEPT(J24:J25,I24:I25)</f>
        <v>16466.666666666664</v>
      </c>
      <c r="Q25" s="131">
        <f>SLOPE(K24:K25,I24:I25)</f>
        <v>0</v>
      </c>
      <c r="R25" s="131">
        <f>INTERCEPT(K24:K25,I24:I25)</f>
        <v>1100</v>
      </c>
      <c r="S25" s="131">
        <f>SLOPE(L24:L25,I24:I25)</f>
        <v>885.71428571428567</v>
      </c>
      <c r="T25" s="131">
        <f>INTERCEPT(L24:L25,I24:I25)</f>
        <v>11900</v>
      </c>
      <c r="U25" s="131">
        <f>SLOPE(M24:M25,I24:I25)</f>
        <v>1423.8095238095239</v>
      </c>
      <c r="V25" s="131">
        <f>INTERCEPT(M24:M25,I24:I25)</f>
        <v>4433.3333333333321</v>
      </c>
    </row>
    <row r="26" spans="2:22" x14ac:dyDescent="0.25">
      <c r="C26" s="71" t="s">
        <v>270</v>
      </c>
      <c r="D26" s="73">
        <f>O26*Heizleistungsbedarf+P26</f>
        <v>37610</v>
      </c>
      <c r="E26" s="73">
        <f>Q26*Heizleistungsbedarf+R26</f>
        <v>680</v>
      </c>
      <c r="F26" s="73">
        <f>S26*Heizleistungsbedarf+T26</f>
        <v>22070</v>
      </c>
      <c r="G26" s="73">
        <f>U26*Heizleistungsbedarf+V26</f>
        <v>9580</v>
      </c>
      <c r="I26" s="73">
        <v>68</v>
      </c>
      <c r="J26" s="55">
        <v>111900</v>
      </c>
      <c r="K26" s="55">
        <v>1700</v>
      </c>
      <c r="L26" s="55">
        <v>57600</v>
      </c>
      <c r="M26" s="55">
        <v>93900</v>
      </c>
      <c r="O26" s="131">
        <f>SLOPE(J25:J26,I25:I26)</f>
        <v>1092.5</v>
      </c>
      <c r="P26" s="131">
        <f>INTERCEPT(J25:J26,I25:I26)</f>
        <v>37610</v>
      </c>
      <c r="Q26" s="131">
        <f>SLOPE(K25:K26,I25:I26)</f>
        <v>15</v>
      </c>
      <c r="R26" s="131">
        <f>INTERCEPT(K25:K26,I25:I26)</f>
        <v>680</v>
      </c>
      <c r="S26" s="131">
        <f>SLOPE(L25:L26,I25:I26)</f>
        <v>522.5</v>
      </c>
      <c r="T26" s="131">
        <f>INTERCEPT(L25:L26,I25:I26)</f>
        <v>22070</v>
      </c>
      <c r="U26" s="131">
        <f>SLOPE(M25:M26,I25:I26)</f>
        <v>1240</v>
      </c>
      <c r="V26" s="131">
        <f>INTERCEPT(M25:M26,I25:I26)</f>
        <v>9580</v>
      </c>
    </row>
    <row r="27" spans="2:22" x14ac:dyDescent="0.25">
      <c r="C27" s="71" t="s">
        <v>271</v>
      </c>
      <c r="D27" s="73">
        <f>O27*Heizleistungsbedarf+P27</f>
        <v>12240.983606557362</v>
      </c>
      <c r="E27" s="73">
        <f>Q27*Heizleistungsbedarf+R27</f>
        <v>1421.311475409836</v>
      </c>
      <c r="F27" s="73">
        <f>S27*Heizleistungsbedarf+T27</f>
        <v>21872.131147540975</v>
      </c>
      <c r="G27" s="73">
        <f>U27*Heizleistungsbedarf+V27</f>
        <v>4385.2459016393695</v>
      </c>
      <c r="I27" s="73">
        <v>190</v>
      </c>
      <c r="J27" s="56">
        <v>290700</v>
      </c>
      <c r="K27" s="56">
        <v>2200</v>
      </c>
      <c r="L27" s="56">
        <v>121700</v>
      </c>
      <c r="M27" s="56">
        <v>254500</v>
      </c>
      <c r="O27" s="131">
        <f>SLOPE(J26:J27,I26:I27)</f>
        <v>1465.5737704918033</v>
      </c>
      <c r="P27" s="131">
        <f>INTERCEPT(J26:J27,I26:I27)</f>
        <v>12240.983606557362</v>
      </c>
      <c r="Q27" s="131">
        <f>SLOPE(K26:K27,I26:I27)</f>
        <v>4.0983606557377046</v>
      </c>
      <c r="R27" s="131">
        <f>INTERCEPT(K26:K27,I26:I27)</f>
        <v>1421.311475409836</v>
      </c>
      <c r="S27" s="131">
        <f>SLOPE(L26:L27,I26:I27)</f>
        <v>525.40983606557381</v>
      </c>
      <c r="T27" s="131">
        <f>INTERCEPT(L26:L27,I26:I27)</f>
        <v>21872.131147540975</v>
      </c>
      <c r="U27" s="131">
        <f>SLOPE(M26:M27,I26:I27)</f>
        <v>1316.3934426229507</v>
      </c>
      <c r="V27" s="131">
        <f>INTERCEPT(M26:M27,I26:I27)</f>
        <v>4385.2459016393695</v>
      </c>
    </row>
    <row r="28" spans="2:22" x14ac:dyDescent="0.25">
      <c r="B28" s="75"/>
      <c r="C28" s="72" t="s">
        <v>272</v>
      </c>
      <c r="D28" s="74">
        <f>O28*Heizleistungsbedarf+P28</f>
        <v>181909.67741935482</v>
      </c>
      <c r="E28" s="74">
        <f>Q28*Heizleistungsbedarf+R28</f>
        <v>177.41935483870975</v>
      </c>
      <c r="F28" s="74">
        <f>S28*Heizleistungsbedarf+T28</f>
        <v>67274.193548387106</v>
      </c>
      <c r="G28" s="74">
        <f>U28*Heizleistungsbedarf+V28</f>
        <v>13629.032258064486</v>
      </c>
      <c r="I28" s="74">
        <v>500</v>
      </c>
      <c r="J28" s="57">
        <v>468200</v>
      </c>
      <c r="K28" s="57">
        <v>5500</v>
      </c>
      <c r="L28" s="57">
        <v>210500</v>
      </c>
      <c r="M28" s="57">
        <v>647500</v>
      </c>
      <c r="O28" s="131">
        <f>SLOPE(J27:J28,I27:I28)</f>
        <v>572.58064516129036</v>
      </c>
      <c r="P28" s="131">
        <f>INTERCEPT(J27:J28,I27:I28)</f>
        <v>181909.67741935482</v>
      </c>
      <c r="Q28" s="131">
        <f>SLOPE(K27:K28,I27:I28)</f>
        <v>10.64516129032258</v>
      </c>
      <c r="R28" s="131">
        <f>INTERCEPT(K27:K28,I27:I28)</f>
        <v>177.41935483870975</v>
      </c>
      <c r="S28" s="131">
        <f>SLOPE(L27:L28,I27:I28)</f>
        <v>286.45161290322579</v>
      </c>
      <c r="T28" s="131">
        <f>INTERCEPT(L27:L28,I27:I28)</f>
        <v>67274.193548387106</v>
      </c>
      <c r="U28" s="131">
        <f>SLOPE(M27:M28,I27:I28)</f>
        <v>1267.741935483871</v>
      </c>
      <c r="V28" s="131">
        <f>INTERCEPT(M27:M28,I27:I28)</f>
        <v>13629.032258064486</v>
      </c>
    </row>
    <row r="29" spans="2:22" x14ac:dyDescent="0.25">
      <c r="B29" t="s">
        <v>58</v>
      </c>
      <c r="C29" s="71" t="s">
        <v>268</v>
      </c>
      <c r="D29" s="58" t="s">
        <v>348</v>
      </c>
      <c r="E29" s="58" t="s">
        <v>348</v>
      </c>
      <c r="F29" s="58" t="s">
        <v>348</v>
      </c>
      <c r="G29" s="81">
        <v>0</v>
      </c>
      <c r="I29" s="73">
        <v>7</v>
      </c>
      <c r="J29" s="127"/>
      <c r="K29" s="127"/>
      <c r="L29" s="127"/>
      <c r="M29" s="56">
        <v>0</v>
      </c>
      <c r="O29" s="131"/>
      <c r="P29" s="131"/>
      <c r="Q29" s="131"/>
      <c r="R29" s="131"/>
      <c r="S29" s="131"/>
      <c r="T29" s="131"/>
      <c r="U29" s="131"/>
      <c r="V29" s="131"/>
    </row>
    <row r="30" spans="2:22" x14ac:dyDescent="0.25">
      <c r="C30" s="71" t="s">
        <v>269</v>
      </c>
      <c r="D30" s="58" t="s">
        <v>348</v>
      </c>
      <c r="E30" s="58" t="s">
        <v>348</v>
      </c>
      <c r="F30" s="58" t="s">
        <v>348</v>
      </c>
      <c r="G30" s="81">
        <v>0</v>
      </c>
      <c r="I30" s="73">
        <v>28</v>
      </c>
      <c r="J30" s="127"/>
      <c r="K30" s="127"/>
      <c r="L30" s="127"/>
      <c r="M30" s="56">
        <v>0</v>
      </c>
      <c r="O30" s="131"/>
      <c r="P30" s="131"/>
      <c r="Q30" s="131"/>
      <c r="R30" s="131"/>
      <c r="S30" s="131"/>
      <c r="T30" s="131"/>
      <c r="U30" s="131"/>
      <c r="V30" s="131"/>
    </row>
    <row r="31" spans="2:22" x14ac:dyDescent="0.25">
      <c r="C31" s="71" t="s">
        <v>270</v>
      </c>
      <c r="D31" s="58" t="s">
        <v>348</v>
      </c>
      <c r="E31" s="58" t="s">
        <v>348</v>
      </c>
      <c r="F31" s="58" t="s">
        <v>348</v>
      </c>
      <c r="G31" s="81">
        <v>0</v>
      </c>
      <c r="I31" s="73">
        <v>68</v>
      </c>
      <c r="J31" s="127"/>
      <c r="K31" s="127"/>
      <c r="L31" s="127"/>
      <c r="M31" s="56">
        <v>0</v>
      </c>
      <c r="O31" s="131"/>
      <c r="P31" s="131"/>
      <c r="Q31" s="131"/>
      <c r="R31" s="131"/>
      <c r="S31" s="131"/>
      <c r="T31" s="131"/>
      <c r="U31" s="131"/>
      <c r="V31" s="131"/>
    </row>
    <row r="32" spans="2:22" x14ac:dyDescent="0.25">
      <c r="C32" s="71" t="s">
        <v>271</v>
      </c>
      <c r="D32" s="58" t="s">
        <v>348</v>
      </c>
      <c r="E32" s="58" t="s">
        <v>348</v>
      </c>
      <c r="F32" s="58" t="s">
        <v>348</v>
      </c>
      <c r="G32" s="81">
        <v>0</v>
      </c>
      <c r="I32" s="73">
        <v>190</v>
      </c>
      <c r="J32" s="128">
        <v>394570</v>
      </c>
      <c r="K32" s="128">
        <v>46200</v>
      </c>
      <c r="L32" s="128">
        <v>104068</v>
      </c>
      <c r="M32" s="56">
        <v>0</v>
      </c>
      <c r="O32" s="131"/>
      <c r="P32" s="131"/>
      <c r="Q32" s="131"/>
      <c r="R32" s="131"/>
      <c r="S32" s="131"/>
      <c r="T32" s="131"/>
      <c r="U32" s="131"/>
      <c r="V32" s="131"/>
    </row>
    <row r="33" spans="2:22" x14ac:dyDescent="0.25">
      <c r="B33" s="75"/>
      <c r="C33" s="72" t="s">
        <v>272</v>
      </c>
      <c r="D33" s="83">
        <f>O33*Heizleistungsbedarf+P33</f>
        <v>271125.16129032255</v>
      </c>
      <c r="E33" s="83">
        <f>Q33*Heizleistungsbedarf+R33</f>
        <v>34064.516129032258</v>
      </c>
      <c r="F33" s="83">
        <f>S33*Heizleistungsbedarf+T33</f>
        <v>80167.838709677424</v>
      </c>
      <c r="G33" s="83">
        <f>U33*Heizleistungsbedarf+V33</f>
        <v>0</v>
      </c>
      <c r="I33" s="74">
        <v>500</v>
      </c>
      <c r="J33" s="129">
        <v>595980</v>
      </c>
      <c r="K33" s="129">
        <v>66000</v>
      </c>
      <c r="L33" s="129">
        <v>143063</v>
      </c>
      <c r="M33" s="57">
        <v>0</v>
      </c>
      <c r="O33" s="131">
        <f>SLOPE(J32:J33,I32:I33)</f>
        <v>649.70967741935488</v>
      </c>
      <c r="P33" s="131">
        <f>INTERCEPT(J32:J33,I32:I33)</f>
        <v>271125.16129032255</v>
      </c>
      <c r="Q33" s="131">
        <f>SLOPE(K32:K33,I32:I33)</f>
        <v>63.87096774193548</v>
      </c>
      <c r="R33" s="131">
        <f>INTERCEPT(K32:K33,I32:I33)</f>
        <v>34064.516129032258</v>
      </c>
      <c r="S33" s="131">
        <f>SLOPE(L32:L33,I32:I33)</f>
        <v>125.79032258064517</v>
      </c>
      <c r="T33" s="131">
        <f>INTERCEPT(L32:L33,I32:I33)</f>
        <v>80167.838709677424</v>
      </c>
      <c r="U33" s="131">
        <f>SLOPE(M32:M33,I32:I33)</f>
        <v>0</v>
      </c>
      <c r="V33" s="131">
        <f>INTERCEPT(M32:M33,I32:I33)</f>
        <v>0</v>
      </c>
    </row>
    <row r="34" spans="2:22" x14ac:dyDescent="0.25">
      <c r="B34" t="s">
        <v>55</v>
      </c>
      <c r="C34" s="71" t="s">
        <v>268</v>
      </c>
      <c r="D34" s="81">
        <f>ROUND(J34,-2)</f>
        <v>35200</v>
      </c>
      <c r="E34" s="81">
        <f>ROUND(K34,-2)</f>
        <v>2200</v>
      </c>
      <c r="F34" s="81">
        <f>ROUND(L34,-2)</f>
        <v>17300</v>
      </c>
      <c r="G34" s="81">
        <f>ROUND(M34,-2)</f>
        <v>0</v>
      </c>
      <c r="I34" s="73">
        <v>7</v>
      </c>
      <c r="J34" s="128">
        <v>35200</v>
      </c>
      <c r="K34" s="128">
        <v>2200</v>
      </c>
      <c r="L34" s="128">
        <v>17326.312791347809</v>
      </c>
      <c r="M34" s="56">
        <v>0</v>
      </c>
      <c r="O34" s="131"/>
      <c r="P34" s="131"/>
      <c r="Q34" s="131"/>
      <c r="R34" s="131"/>
      <c r="S34" s="131"/>
      <c r="T34" s="131"/>
      <c r="U34" s="131"/>
      <c r="V34" s="131"/>
    </row>
    <row r="35" spans="2:22" x14ac:dyDescent="0.25">
      <c r="C35" s="71" t="s">
        <v>269</v>
      </c>
      <c r="D35" s="73">
        <f>O35*Heizleistungsbedarf+P35</f>
        <v>25776.666666666668</v>
      </c>
      <c r="E35" s="73">
        <f>Q35*Heizleistungsbedarf+R35</f>
        <v>2200</v>
      </c>
      <c r="F35" s="73">
        <f>S35*Heizleistungsbedarf+T35</f>
        <v>14246.750388463744</v>
      </c>
      <c r="G35" s="73">
        <f>U35*Heizleistungsbedarf+V35</f>
        <v>0</v>
      </c>
      <c r="I35" s="73">
        <v>28</v>
      </c>
      <c r="J35" s="128">
        <v>63470</v>
      </c>
      <c r="K35" s="128">
        <v>2200</v>
      </c>
      <c r="L35" s="128">
        <v>26565</v>
      </c>
      <c r="M35" s="56">
        <v>0</v>
      </c>
      <c r="O35" s="131">
        <f>SLOPE(J34:J35,I34:I35)</f>
        <v>1346.1904761904761</v>
      </c>
      <c r="P35" s="131">
        <f>INTERCEPT(J34:J35,I34:I35)</f>
        <v>25776.666666666668</v>
      </c>
      <c r="Q35" s="131">
        <f>SLOPE(K34:K35,I34:I35)</f>
        <v>0</v>
      </c>
      <c r="R35" s="131">
        <f>INTERCEPT(K34:K35,I34:I35)</f>
        <v>2200</v>
      </c>
      <c r="S35" s="131">
        <f>SLOPE(L34:L35,I34:I35)</f>
        <v>439.93748612629486</v>
      </c>
      <c r="T35" s="131">
        <f>INTERCEPT(L34:L35,I34:I35)</f>
        <v>14246.750388463744</v>
      </c>
      <c r="U35" s="131">
        <f>SLOPE(M34:M35,I34:I35)</f>
        <v>0</v>
      </c>
      <c r="V35" s="131">
        <f>INTERCEPT(M34:M35,I34:I35)</f>
        <v>0</v>
      </c>
    </row>
    <row r="36" spans="2:22" x14ac:dyDescent="0.25">
      <c r="C36" s="71" t="s">
        <v>270</v>
      </c>
      <c r="D36" s="81">
        <f>O36*Heizleistungsbedarf+P36</f>
        <v>34364</v>
      </c>
      <c r="E36" s="81">
        <f>Q36*Heizleistungsbedarf+R36</f>
        <v>1815</v>
      </c>
      <c r="F36" s="81">
        <f>S36*Heizleistungsbedarf+T36</f>
        <v>18241.300000000003</v>
      </c>
      <c r="G36" s="81">
        <f>U36*Heizleistungsbedarf+V36</f>
        <v>0</v>
      </c>
      <c r="I36" s="73">
        <v>68</v>
      </c>
      <c r="J36" s="128">
        <v>105050</v>
      </c>
      <c r="K36" s="128">
        <v>2750</v>
      </c>
      <c r="L36" s="128">
        <v>38456</v>
      </c>
      <c r="M36" s="56">
        <v>0</v>
      </c>
      <c r="O36" s="131">
        <f>SLOPE(J35:J36,I35:I36)</f>
        <v>1039.5</v>
      </c>
      <c r="P36" s="131">
        <f>INTERCEPT(J35:J36,I35:I36)</f>
        <v>34364</v>
      </c>
      <c r="Q36" s="131">
        <f>SLOPE(K35:K36,I35:I36)</f>
        <v>13.75</v>
      </c>
      <c r="R36" s="131">
        <f>INTERCEPT(K35:K36,I35:I36)</f>
        <v>1815</v>
      </c>
      <c r="S36" s="131">
        <f>SLOPE(L35:L36,I35:I36)</f>
        <v>297.27499999999998</v>
      </c>
      <c r="T36" s="131">
        <f>INTERCEPT(L35:L36,I35:I36)</f>
        <v>18241.300000000003</v>
      </c>
      <c r="U36" s="131">
        <f>SLOPE(M35:M36,I35:I36)</f>
        <v>0</v>
      </c>
      <c r="V36" s="131">
        <f>INTERCEPT(M35:M36,I35:I36)</f>
        <v>0</v>
      </c>
    </row>
    <row r="37" spans="2:22" x14ac:dyDescent="0.25">
      <c r="C37" s="71" t="s">
        <v>271</v>
      </c>
      <c r="D37" s="81">
        <f>O37*Heizleistungsbedarf+P37</f>
        <v>-10951.311475409835</v>
      </c>
      <c r="E37" s="81">
        <f>Q37*Heizleistungsbedarf+R37</f>
        <v>1217.2131147540986</v>
      </c>
      <c r="F37" s="81">
        <f>S37*Heizleistungsbedarf+T37</f>
        <v>11272.721311475412</v>
      </c>
      <c r="G37" s="81">
        <f>U37*Heizleistungsbedarf+V37</f>
        <v>0</v>
      </c>
      <c r="I37" s="73">
        <v>190</v>
      </c>
      <c r="J37" s="128">
        <v>313170</v>
      </c>
      <c r="K37" s="128">
        <v>5500</v>
      </c>
      <c r="L37" s="128">
        <v>87226</v>
      </c>
      <c r="M37" s="56">
        <v>0</v>
      </c>
      <c r="O37" s="131">
        <f>SLOPE(J36:J37,I36:I37)</f>
        <v>1705.9016393442623</v>
      </c>
      <c r="P37" s="131">
        <f>INTERCEPT(J36:J37,I36:I37)</f>
        <v>-10951.311475409835</v>
      </c>
      <c r="Q37" s="131">
        <f>SLOPE(K36:K37,I36:I37)</f>
        <v>22.540983606557376</v>
      </c>
      <c r="R37" s="131">
        <f>INTERCEPT(K36:K37,I36:I37)</f>
        <v>1217.2131147540986</v>
      </c>
      <c r="S37" s="131">
        <f>SLOPE(L36:L37,I36:I37)</f>
        <v>399.75409836065575</v>
      </c>
      <c r="T37" s="131">
        <f>INTERCEPT(L36:L37,I36:I37)</f>
        <v>11272.721311475412</v>
      </c>
      <c r="U37" s="131">
        <f>SLOPE(M36:M37,I36:I37)</f>
        <v>0</v>
      </c>
      <c r="V37" s="131">
        <f>INTERCEPT(M36:M37,I36:I37)</f>
        <v>0</v>
      </c>
    </row>
    <row r="38" spans="2:22" x14ac:dyDescent="0.25">
      <c r="B38" s="75"/>
      <c r="C38" s="72" t="s">
        <v>272</v>
      </c>
      <c r="D38" s="83">
        <f>O38*Heizleistungsbedarf+P38</f>
        <v>142464.19354838709</v>
      </c>
      <c r="E38" s="83">
        <f>Q38*Heizleistungsbedarf+R38</f>
        <v>4151.6129032258068</v>
      </c>
      <c r="F38" s="83">
        <f>S38*Heizleistungsbedarf+T38</f>
        <v>53493.645161290326</v>
      </c>
      <c r="G38" s="83">
        <f>U38*Heizleistungsbedarf+V38</f>
        <v>0</v>
      </c>
      <c r="I38" s="74">
        <v>500</v>
      </c>
      <c r="J38" s="130">
        <v>591690</v>
      </c>
      <c r="K38" s="130">
        <v>7700</v>
      </c>
      <c r="L38" s="130">
        <v>142263</v>
      </c>
      <c r="M38" s="57">
        <v>0</v>
      </c>
      <c r="O38" s="131">
        <f>SLOPE(J37:J38,I37:I38)</f>
        <v>898.45161290322585</v>
      </c>
      <c r="P38" s="131">
        <f>INTERCEPT(J37:J38,I37:I38)</f>
        <v>142464.19354838709</v>
      </c>
      <c r="Q38" s="131">
        <f>SLOPE(K37:K38,I37:I38)</f>
        <v>7.096774193548387</v>
      </c>
      <c r="R38" s="131">
        <f>INTERCEPT(K37:K38,I37:I38)</f>
        <v>4151.6129032258068</v>
      </c>
      <c r="S38" s="131">
        <f>SLOPE(L37:L38,I37:I38)</f>
        <v>177.53870967741935</v>
      </c>
      <c r="T38" s="131">
        <f>INTERCEPT(L37:L38,I37:I38)</f>
        <v>53493.645161290326</v>
      </c>
      <c r="U38" s="131">
        <f>SLOPE(M37:M38,I37:I38)</f>
        <v>0</v>
      </c>
      <c r="V38" s="131">
        <f>INTERCEPT(M37:M38,I37:I38)</f>
        <v>0</v>
      </c>
    </row>
    <row r="39" spans="2:22" x14ac:dyDescent="0.25">
      <c r="B39" t="s">
        <v>56</v>
      </c>
      <c r="C39" s="71" t="s">
        <v>268</v>
      </c>
      <c r="D39" s="58" t="s">
        <v>348</v>
      </c>
      <c r="E39" s="58" t="s">
        <v>348</v>
      </c>
      <c r="F39" s="58" t="s">
        <v>348</v>
      </c>
      <c r="G39" s="81">
        <v>0</v>
      </c>
      <c r="I39" s="73">
        <v>7</v>
      </c>
      <c r="J39" s="128"/>
      <c r="K39" s="128"/>
      <c r="L39" s="128"/>
      <c r="M39" s="56">
        <v>0</v>
      </c>
      <c r="O39" s="131"/>
      <c r="P39" s="131"/>
      <c r="Q39" s="131"/>
      <c r="R39" s="131"/>
      <c r="S39" s="131"/>
      <c r="T39" s="131"/>
      <c r="U39" s="131"/>
      <c r="V39" s="131"/>
    </row>
    <row r="40" spans="2:22" x14ac:dyDescent="0.25">
      <c r="C40" s="71" t="s">
        <v>269</v>
      </c>
      <c r="D40" s="58" t="s">
        <v>348</v>
      </c>
      <c r="E40" s="58" t="s">
        <v>348</v>
      </c>
      <c r="F40" s="58" t="s">
        <v>348</v>
      </c>
      <c r="G40" s="81">
        <v>0</v>
      </c>
      <c r="I40" s="73">
        <v>28</v>
      </c>
      <c r="J40" s="128">
        <v>63470</v>
      </c>
      <c r="K40" s="128">
        <v>2200</v>
      </c>
      <c r="L40" s="128">
        <v>26565</v>
      </c>
      <c r="M40" s="56">
        <v>0</v>
      </c>
      <c r="O40" s="131"/>
      <c r="P40" s="131"/>
      <c r="Q40" s="131"/>
      <c r="R40" s="131"/>
      <c r="S40" s="131"/>
      <c r="T40" s="131"/>
      <c r="U40" s="131"/>
      <c r="V40" s="131"/>
    </row>
    <row r="41" spans="2:22" x14ac:dyDescent="0.25">
      <c r="C41" s="71" t="s">
        <v>270</v>
      </c>
      <c r="D41" s="73">
        <f>O41*Heizleistungsbedarf+P41</f>
        <v>26664</v>
      </c>
      <c r="E41" s="73">
        <f>Q41*Heizleistungsbedarf+R41</f>
        <v>1045</v>
      </c>
      <c r="F41" s="73">
        <f>S41*Heizleistungsbedarf+T41</f>
        <v>16183.300000000003</v>
      </c>
      <c r="G41" s="73">
        <f>U41*Heizleistungsbedarf+V41</f>
        <v>0</v>
      </c>
      <c r="I41" s="73">
        <v>68</v>
      </c>
      <c r="J41" s="128">
        <v>116050</v>
      </c>
      <c r="K41" s="128">
        <v>3850</v>
      </c>
      <c r="L41" s="128">
        <v>41396</v>
      </c>
      <c r="M41" s="56">
        <v>0</v>
      </c>
      <c r="O41" s="131">
        <f>SLOPE(J40:J41,I40:I41)</f>
        <v>1314.5</v>
      </c>
      <c r="P41" s="131">
        <f>INTERCEPT(J40:J41,I40:I41)</f>
        <v>26664</v>
      </c>
      <c r="Q41" s="131">
        <f>SLOPE(K40:K41,I40:I41)</f>
        <v>41.25</v>
      </c>
      <c r="R41" s="131">
        <f>INTERCEPT(K40:K41,I40:I41)</f>
        <v>1045</v>
      </c>
      <c r="S41" s="131">
        <f>SLOPE(L40:L41,I40:I41)</f>
        <v>370.77499999999998</v>
      </c>
      <c r="T41" s="131">
        <f>INTERCEPT(L40:L41,I40:I41)</f>
        <v>16183.300000000003</v>
      </c>
      <c r="U41" s="131">
        <f>SLOPE(M40:M41,I40:I41)</f>
        <v>0</v>
      </c>
      <c r="V41" s="131">
        <f>INTERCEPT(M40:M41,I40:I41)</f>
        <v>0</v>
      </c>
    </row>
    <row r="42" spans="2:22" x14ac:dyDescent="0.25">
      <c r="C42" s="71" t="s">
        <v>271</v>
      </c>
      <c r="D42" s="81">
        <f>O42*Heizleistungsbedarf+P42</f>
        <v>-51452.950819672144</v>
      </c>
      <c r="E42" s="81">
        <f>Q42*Heizleistungsbedarf+R42</f>
        <v>2930.3278688524588</v>
      </c>
      <c r="F42" s="81">
        <f>S42*Heizleistungsbedarf+T42</f>
        <v>3997.6721311475412</v>
      </c>
      <c r="G42" s="81">
        <f>U42*Heizleistungsbedarf+V42</f>
        <v>0</v>
      </c>
      <c r="I42" s="73">
        <v>190</v>
      </c>
      <c r="J42" s="128">
        <v>416570</v>
      </c>
      <c r="K42" s="128">
        <v>5500</v>
      </c>
      <c r="L42" s="128">
        <v>108493</v>
      </c>
      <c r="M42" s="56">
        <v>0</v>
      </c>
      <c r="O42" s="131">
        <f>SLOPE(J41:J42,I41:I42)</f>
        <v>2463.2786885245901</v>
      </c>
      <c r="P42" s="131">
        <f>INTERCEPT(J41:J42,I41:I42)</f>
        <v>-51452.950819672144</v>
      </c>
      <c r="Q42" s="131">
        <f>SLOPE(K41:K42,I41:I42)</f>
        <v>13.524590163934427</v>
      </c>
      <c r="R42" s="131">
        <f>INTERCEPT(K41:K42,I41:I42)</f>
        <v>2930.3278688524588</v>
      </c>
      <c r="S42" s="131">
        <f>SLOPE(L41:L42,I41:I42)</f>
        <v>549.97540983606552</v>
      </c>
      <c r="T42" s="131">
        <f>INTERCEPT(L41:L42,I41:I42)</f>
        <v>3997.6721311475412</v>
      </c>
      <c r="U42" s="131">
        <f>SLOPE(M41:M42,I41:I42)</f>
        <v>0</v>
      </c>
      <c r="V42" s="131">
        <f>INTERCEPT(M41:M42,I41:I42)</f>
        <v>0</v>
      </c>
    </row>
    <row r="43" spans="2:22" x14ac:dyDescent="0.25">
      <c r="B43" s="75"/>
      <c r="C43" s="72" t="s">
        <v>272</v>
      </c>
      <c r="D43" s="83">
        <f>O43*Heizleistungsbedarf+P43</f>
        <v>164286.77419354842</v>
      </c>
      <c r="E43" s="83">
        <f>Q43*Heizleistungsbedarf+R43</f>
        <v>4151.6129032258068</v>
      </c>
      <c r="F43" s="83">
        <f>S43*Heizleistungsbedarf+T43</f>
        <v>61621.838709677424</v>
      </c>
      <c r="G43" s="83">
        <f>U43*Heizleistungsbedarf+V43</f>
        <v>0</v>
      </c>
      <c r="I43" s="74">
        <v>500</v>
      </c>
      <c r="J43" s="130">
        <v>828190</v>
      </c>
      <c r="K43" s="130">
        <v>7700</v>
      </c>
      <c r="L43" s="130">
        <v>184967</v>
      </c>
      <c r="M43" s="57">
        <v>0</v>
      </c>
      <c r="O43" s="131">
        <f>SLOPE(J42:J43,I42:I43)</f>
        <v>1327.8064516129032</v>
      </c>
      <c r="P43" s="131">
        <f>INTERCEPT(J42:J43,I42:I43)</f>
        <v>164286.77419354842</v>
      </c>
      <c r="Q43" s="131">
        <f>SLOPE(K42:K43,I42:I43)</f>
        <v>7.096774193548387</v>
      </c>
      <c r="R43" s="131">
        <f>INTERCEPT(K42:K43,I42:I43)</f>
        <v>4151.6129032258068</v>
      </c>
      <c r="S43" s="131">
        <f>SLOPE(L42:L43,I42:I43)</f>
        <v>246.69032258064516</v>
      </c>
      <c r="T43" s="131">
        <f>INTERCEPT(L42:L43,I42:I43)</f>
        <v>61621.838709677424</v>
      </c>
      <c r="U43" s="131">
        <f>SLOPE(M42:M43,I42:I43)</f>
        <v>0</v>
      </c>
      <c r="V43" s="131">
        <f>INTERCEPT(M42:M43,I42:I43)</f>
        <v>0</v>
      </c>
    </row>
    <row r="44" spans="2:22" x14ac:dyDescent="0.25">
      <c r="B44" t="s">
        <v>460</v>
      </c>
      <c r="C44" s="71" t="s">
        <v>268</v>
      </c>
      <c r="D44" s="81">
        <f>ROUND(J44,-2)</f>
        <v>35200</v>
      </c>
      <c r="E44" s="81">
        <f>ROUND(K44,-2)</f>
        <v>2200</v>
      </c>
      <c r="F44" s="81">
        <f>ROUND(L44,-2)</f>
        <v>17300</v>
      </c>
      <c r="G44" s="81">
        <f>ROUND(M44,-2)</f>
        <v>0</v>
      </c>
      <c r="I44" s="73">
        <v>7</v>
      </c>
      <c r="J44" s="128">
        <v>35200</v>
      </c>
      <c r="K44" s="128">
        <v>2200</v>
      </c>
      <c r="L44" s="128">
        <v>17326.312791347809</v>
      </c>
      <c r="M44" s="56">
        <v>0</v>
      </c>
      <c r="O44" s="131"/>
      <c r="P44" s="131"/>
      <c r="Q44" s="131"/>
      <c r="R44" s="131"/>
      <c r="S44" s="131"/>
      <c r="T44" s="131"/>
      <c r="U44" s="131"/>
      <c r="V44" s="131"/>
    </row>
    <row r="45" spans="2:22" x14ac:dyDescent="0.25">
      <c r="C45" s="71" t="s">
        <v>269</v>
      </c>
      <c r="D45" s="73">
        <f>O45*Heizleistungsbedarf+P45</f>
        <v>25776.666666666668</v>
      </c>
      <c r="E45" s="73">
        <f>Q45*Heizleistungsbedarf+R45</f>
        <v>2200</v>
      </c>
      <c r="F45" s="73">
        <f>S45*Heizleistungsbedarf+T45</f>
        <v>14246.750388463744</v>
      </c>
      <c r="G45" s="73">
        <f>U45*Heizleistungsbedarf+V45</f>
        <v>0</v>
      </c>
      <c r="I45" s="73">
        <v>28</v>
      </c>
      <c r="J45" s="128">
        <v>63470</v>
      </c>
      <c r="K45" s="128">
        <v>2200</v>
      </c>
      <c r="L45" s="128">
        <v>26565</v>
      </c>
      <c r="M45" s="56">
        <v>0</v>
      </c>
      <c r="O45" s="131">
        <f>SLOPE(J44:J45,I44:I45)</f>
        <v>1346.1904761904761</v>
      </c>
      <c r="P45" s="131">
        <f>INTERCEPT(J44:J45,I44:I45)</f>
        <v>25776.666666666668</v>
      </c>
      <c r="Q45" s="131">
        <f>SLOPE(K44:K45,I44:I45)</f>
        <v>0</v>
      </c>
      <c r="R45" s="131">
        <f>INTERCEPT(K44:K45,I44:I45)</f>
        <v>2200</v>
      </c>
      <c r="S45" s="131">
        <f>SLOPE(L44:L45,I44:I45)</f>
        <v>439.93748612629486</v>
      </c>
      <c r="T45" s="131">
        <f>INTERCEPT(L44:L45,I44:I45)</f>
        <v>14246.750388463744</v>
      </c>
      <c r="U45" s="131">
        <f>SLOPE(M44:M45,I44:I45)</f>
        <v>0</v>
      </c>
      <c r="V45" s="131">
        <f>INTERCEPT(M44:M45,I44:I45)</f>
        <v>0</v>
      </c>
    </row>
    <row r="46" spans="2:22" x14ac:dyDescent="0.25">
      <c r="C46" s="71" t="s">
        <v>270</v>
      </c>
      <c r="D46" s="81">
        <f>O46*Heizleistungsbedarf+P46</f>
        <v>34364</v>
      </c>
      <c r="E46" s="81">
        <f>Q46*Heizleistungsbedarf+R46</f>
        <v>1815</v>
      </c>
      <c r="F46" s="81">
        <f>S46*Heizleistungsbedarf+T46</f>
        <v>18241.300000000003</v>
      </c>
      <c r="G46" s="81">
        <f>U46*Heizleistungsbedarf+V46</f>
        <v>0</v>
      </c>
      <c r="I46" s="73">
        <v>68</v>
      </c>
      <c r="J46" s="128">
        <v>105050</v>
      </c>
      <c r="K46" s="128">
        <v>2750</v>
      </c>
      <c r="L46" s="128">
        <v>38456</v>
      </c>
      <c r="M46" s="56">
        <v>0</v>
      </c>
      <c r="O46" s="131">
        <f>SLOPE(J45:J46,I45:I46)</f>
        <v>1039.5</v>
      </c>
      <c r="P46" s="131">
        <f>INTERCEPT(J45:J46,I45:I46)</f>
        <v>34364</v>
      </c>
      <c r="Q46" s="131">
        <f>SLOPE(K45:K46,I45:I46)</f>
        <v>13.75</v>
      </c>
      <c r="R46" s="131">
        <f>INTERCEPT(K45:K46,I45:I46)</f>
        <v>1815</v>
      </c>
      <c r="S46" s="131">
        <f>SLOPE(L45:L46,I45:I46)</f>
        <v>297.27499999999998</v>
      </c>
      <c r="T46" s="131">
        <f>INTERCEPT(L45:L46,I45:I46)</f>
        <v>18241.300000000003</v>
      </c>
      <c r="U46" s="131">
        <f>SLOPE(M45:M46,I45:I46)</f>
        <v>0</v>
      </c>
      <c r="V46" s="131">
        <f>INTERCEPT(M45:M46,I45:I46)</f>
        <v>0</v>
      </c>
    </row>
    <row r="47" spans="2:22" x14ac:dyDescent="0.25">
      <c r="C47" s="71" t="s">
        <v>271</v>
      </c>
      <c r="D47" s="81">
        <f>O47*Heizleistungsbedarf+P47</f>
        <v>-10951.311475409835</v>
      </c>
      <c r="E47" s="81">
        <f>Q47*Heizleistungsbedarf+R47</f>
        <v>1217.2131147540986</v>
      </c>
      <c r="F47" s="81">
        <f>S47*Heizleistungsbedarf+T47</f>
        <v>11272.721311475412</v>
      </c>
      <c r="G47" s="81">
        <f>U47*Heizleistungsbedarf+V47</f>
        <v>0</v>
      </c>
      <c r="I47" s="73">
        <v>190</v>
      </c>
      <c r="J47" s="128">
        <v>313170</v>
      </c>
      <c r="K47" s="128">
        <v>5500</v>
      </c>
      <c r="L47" s="128">
        <v>87226</v>
      </c>
      <c r="M47" s="56">
        <v>0</v>
      </c>
      <c r="O47" s="131">
        <f>SLOPE(J46:J47,I46:I47)</f>
        <v>1705.9016393442623</v>
      </c>
      <c r="P47" s="131">
        <f>INTERCEPT(J46:J47,I46:I47)</f>
        <v>-10951.311475409835</v>
      </c>
      <c r="Q47" s="131">
        <f>SLOPE(K46:K47,I46:I47)</f>
        <v>22.540983606557376</v>
      </c>
      <c r="R47" s="131">
        <f>INTERCEPT(K46:K47,I46:I47)</f>
        <v>1217.2131147540986</v>
      </c>
      <c r="S47" s="131">
        <f>SLOPE(L46:L47,I46:I47)</f>
        <v>399.75409836065575</v>
      </c>
      <c r="T47" s="131">
        <f>INTERCEPT(L46:L47,I46:I47)</f>
        <v>11272.721311475412</v>
      </c>
      <c r="U47" s="131">
        <f>SLOPE(M46:M47,I46:I47)</f>
        <v>0</v>
      </c>
      <c r="V47" s="131">
        <f>INTERCEPT(M46:M47,I46:I47)</f>
        <v>0</v>
      </c>
    </row>
    <row r="48" spans="2:22" x14ac:dyDescent="0.25">
      <c r="B48" s="75"/>
      <c r="C48" s="72" t="s">
        <v>272</v>
      </c>
      <c r="D48" s="83">
        <f>O48*Heizleistungsbedarf+P48</f>
        <v>142464.19354838709</v>
      </c>
      <c r="E48" s="83">
        <f>Q48*Heizleistungsbedarf+R48</f>
        <v>4151.6129032258068</v>
      </c>
      <c r="F48" s="83">
        <f>S48*Heizleistungsbedarf+T48</f>
        <v>53493.645161290326</v>
      </c>
      <c r="G48" s="83">
        <f>U48*Heizleistungsbedarf+V48</f>
        <v>0</v>
      </c>
      <c r="I48" s="74">
        <v>500</v>
      </c>
      <c r="J48" s="130">
        <v>591690</v>
      </c>
      <c r="K48" s="130">
        <v>7700</v>
      </c>
      <c r="L48" s="130">
        <v>142263</v>
      </c>
      <c r="M48" s="57">
        <v>0</v>
      </c>
      <c r="O48" s="131">
        <f>SLOPE(J47:J48,I47:I48)</f>
        <v>898.45161290322585</v>
      </c>
      <c r="P48" s="131">
        <f>INTERCEPT(J47:J48,I47:I48)</f>
        <v>142464.19354838709</v>
      </c>
      <c r="Q48" s="131">
        <f>SLOPE(K47:K48,I47:I48)</f>
        <v>7.096774193548387</v>
      </c>
      <c r="R48" s="131">
        <f>INTERCEPT(K47:K48,I47:I48)</f>
        <v>4151.6129032258068</v>
      </c>
      <c r="S48" s="131">
        <f>SLOPE(L47:L48,I47:I48)</f>
        <v>177.53870967741935</v>
      </c>
      <c r="T48" s="131">
        <f>INTERCEPT(L47:L48,I47:I48)</f>
        <v>53493.645161290326</v>
      </c>
      <c r="U48" s="131">
        <f>SLOPE(M47:M48,I47:I48)</f>
        <v>0</v>
      </c>
      <c r="V48" s="131">
        <f>INTERCEPT(M47:M48,I47:I48)</f>
        <v>0</v>
      </c>
    </row>
    <row r="49" spans="2:22" x14ac:dyDescent="0.25">
      <c r="B49" t="s">
        <v>29</v>
      </c>
      <c r="C49" s="71" t="s">
        <v>268</v>
      </c>
      <c r="D49" s="58">
        <f>ROUND(J49,-2)</f>
        <v>36000</v>
      </c>
      <c r="E49" s="58">
        <f>ROUND(K49,-1)</f>
        <v>550</v>
      </c>
      <c r="F49" s="58">
        <f>ROUND(L49,-2)</f>
        <v>11000</v>
      </c>
      <c r="G49" s="81">
        <f>ROUND(M49,-2)</f>
        <v>0</v>
      </c>
      <c r="I49" s="73">
        <v>7</v>
      </c>
      <c r="J49" s="128">
        <v>35970</v>
      </c>
      <c r="K49" s="128">
        <v>550</v>
      </c>
      <c r="L49" s="128">
        <v>10999</v>
      </c>
      <c r="M49" s="56">
        <v>0</v>
      </c>
      <c r="O49" s="131"/>
      <c r="P49" s="131"/>
      <c r="Q49" s="131"/>
      <c r="R49" s="131"/>
      <c r="S49" s="131"/>
      <c r="T49" s="131"/>
      <c r="U49" s="131"/>
      <c r="V49" s="131"/>
    </row>
    <row r="50" spans="2:22" x14ac:dyDescent="0.25">
      <c r="C50" s="71" t="s">
        <v>269</v>
      </c>
      <c r="D50" s="58">
        <f>O50*Heizleistungsbedarf+P50</f>
        <v>33623.333333333336</v>
      </c>
      <c r="E50" s="58">
        <f>Q50*Heizleistungsbedarf+R50</f>
        <v>550</v>
      </c>
      <c r="F50" s="58">
        <f>S50*Heizleistungsbedarf+T50</f>
        <v>10494</v>
      </c>
      <c r="G50" s="81">
        <f>U50*Heizleistungsbedarf+V50</f>
        <v>0</v>
      </c>
      <c r="I50" s="73">
        <v>28</v>
      </c>
      <c r="J50" s="128">
        <v>43010</v>
      </c>
      <c r="K50" s="128">
        <v>550</v>
      </c>
      <c r="L50" s="128">
        <v>12514</v>
      </c>
      <c r="M50" s="56">
        <v>0</v>
      </c>
      <c r="O50" s="131">
        <f>SLOPE(J49:J50,I49:I50)</f>
        <v>335.23809523809524</v>
      </c>
      <c r="P50" s="131">
        <f>INTERCEPT(J49:J50,I49:I50)</f>
        <v>33623.333333333336</v>
      </c>
      <c r="Q50" s="131">
        <f>SLOPE(K49:K50,I49:I50)</f>
        <v>0</v>
      </c>
      <c r="R50" s="131">
        <f>INTERCEPT(K49:K50,I49:I50)</f>
        <v>550</v>
      </c>
      <c r="S50" s="131">
        <f>SLOPE(L49:L50,I49:I50)</f>
        <v>72.142857142857139</v>
      </c>
      <c r="T50" s="131">
        <f>INTERCEPT(L49:L50,I49:I50)</f>
        <v>10494</v>
      </c>
      <c r="U50" s="131">
        <f>SLOPE(M49:M50,I49:I50)</f>
        <v>0</v>
      </c>
      <c r="V50" s="131">
        <f>INTERCEPT(M49:M50,I49:I50)</f>
        <v>0</v>
      </c>
    </row>
    <row r="51" spans="2:22" x14ac:dyDescent="0.25">
      <c r="C51" s="71" t="s">
        <v>270</v>
      </c>
      <c r="D51" s="73">
        <f>O51*Heizleistungsbedarf+P51</f>
        <v>21527</v>
      </c>
      <c r="E51" s="73">
        <f>Q51*Heizleistungsbedarf+R51</f>
        <v>319</v>
      </c>
      <c r="F51" s="73">
        <f>S51*Heizleistungsbedarf+T51</f>
        <v>8310.5</v>
      </c>
      <c r="G51" s="73">
        <f>U51*Heizleistungsbedarf+V51</f>
        <v>0</v>
      </c>
      <c r="I51" s="73">
        <v>68</v>
      </c>
      <c r="J51" s="128">
        <v>73700</v>
      </c>
      <c r="K51" s="128">
        <v>880</v>
      </c>
      <c r="L51" s="128">
        <v>18519</v>
      </c>
      <c r="M51" s="56">
        <v>0</v>
      </c>
      <c r="O51" s="131">
        <f>SLOPE(J50:J51,I50:I51)</f>
        <v>767.25</v>
      </c>
      <c r="P51" s="131">
        <f>INTERCEPT(J50:J51,I50:I51)</f>
        <v>21527</v>
      </c>
      <c r="Q51" s="131">
        <f>SLOPE(K50:K51,I50:I51)</f>
        <v>8.25</v>
      </c>
      <c r="R51" s="131">
        <f>INTERCEPT(K50:K51,I50:I51)</f>
        <v>319</v>
      </c>
      <c r="S51" s="131">
        <f>SLOPE(L50:L51,I50:I51)</f>
        <v>150.125</v>
      </c>
      <c r="T51" s="131">
        <f>INTERCEPT(L50:L51,I50:I51)</f>
        <v>8310.5</v>
      </c>
      <c r="U51" s="131">
        <f>SLOPE(M50:M51,I50:I51)</f>
        <v>0</v>
      </c>
      <c r="V51" s="131">
        <f>INTERCEPT(M50:M51,I50:I51)</f>
        <v>0</v>
      </c>
    </row>
    <row r="52" spans="2:22" x14ac:dyDescent="0.25">
      <c r="C52" s="71" t="s">
        <v>271</v>
      </c>
      <c r="D52" s="81">
        <f>O52*Heizleistungsbedarf+P52</f>
        <v>47703.934426229513</v>
      </c>
      <c r="E52" s="81">
        <f>Q52*Heizleistungsbedarf+R52</f>
        <v>757.37704918032784</v>
      </c>
      <c r="F52" s="81">
        <f>S52*Heizleistungsbedarf+T52</f>
        <v>14027.098360655737</v>
      </c>
      <c r="G52" s="81">
        <f>U52*Heizleistungsbedarf+V52</f>
        <v>0</v>
      </c>
      <c r="I52" s="73">
        <v>190</v>
      </c>
      <c r="J52" s="128">
        <v>120340</v>
      </c>
      <c r="K52" s="128">
        <v>1100</v>
      </c>
      <c r="L52" s="128">
        <v>26578</v>
      </c>
      <c r="M52" s="56">
        <v>0</v>
      </c>
      <c r="O52" s="131">
        <f>SLOPE(J51:J52,I51:I52)</f>
        <v>382.29508196721309</v>
      </c>
      <c r="P52" s="131">
        <f>INTERCEPT(J51:J52,I51:I52)</f>
        <v>47703.934426229513</v>
      </c>
      <c r="Q52" s="131">
        <f>SLOPE(K51:K52,I51:I52)</f>
        <v>1.8032786885245902</v>
      </c>
      <c r="R52" s="131">
        <f>INTERCEPT(K51:K52,I51:I52)</f>
        <v>757.37704918032784</v>
      </c>
      <c r="S52" s="131">
        <f>SLOPE(L51:L52,I51:I52)</f>
        <v>66.057377049180332</v>
      </c>
      <c r="T52" s="131">
        <f>INTERCEPT(L51:L52,I51:I52)</f>
        <v>14027.098360655737</v>
      </c>
      <c r="U52" s="131">
        <f>SLOPE(M51:M52,I51:I52)</f>
        <v>0</v>
      </c>
      <c r="V52" s="131">
        <f>INTERCEPT(M51:M52,I51:I52)</f>
        <v>0</v>
      </c>
    </row>
    <row r="53" spans="2:22" x14ac:dyDescent="0.25">
      <c r="B53" s="75"/>
      <c r="C53" s="72" t="s">
        <v>272</v>
      </c>
      <c r="D53" s="83">
        <f>O53*Heizleistungsbedarf+P53</f>
        <v>37279.354838709667</v>
      </c>
      <c r="E53" s="83">
        <f>Q53*Heizleistungsbedarf+R53</f>
        <v>-585.48387096774195</v>
      </c>
      <c r="F53" s="83">
        <f>S53*Heizleistungsbedarf+T53</f>
        <v>14207.774193548386</v>
      </c>
      <c r="G53" s="83">
        <f>U53*Heizleistungsbedarf+V53</f>
        <v>0</v>
      </c>
      <c r="I53" s="74">
        <v>500</v>
      </c>
      <c r="J53" s="130">
        <v>255860</v>
      </c>
      <c r="K53" s="130">
        <v>3850</v>
      </c>
      <c r="L53" s="130">
        <v>46761</v>
      </c>
      <c r="M53" s="57">
        <v>0</v>
      </c>
      <c r="O53" s="131">
        <f>SLOPE(J52:J53,I52:I53)</f>
        <v>437.16129032258067</v>
      </c>
      <c r="P53" s="131">
        <f>INTERCEPT(J52:J53,I52:I53)</f>
        <v>37279.354838709667</v>
      </c>
      <c r="Q53" s="131">
        <f>SLOPE(K52:K53,I52:I53)</f>
        <v>8.870967741935484</v>
      </c>
      <c r="R53" s="131">
        <f>INTERCEPT(K52:K53,I52:I53)</f>
        <v>-585.48387096774195</v>
      </c>
      <c r="S53" s="131">
        <f>SLOPE(L52:L53,I52:I53)</f>
        <v>65.106451612903228</v>
      </c>
      <c r="T53" s="131">
        <f>INTERCEPT(L52:L53,I52:I53)</f>
        <v>14207.774193548386</v>
      </c>
      <c r="U53" s="131">
        <f>SLOPE(M52:M53,I52:I53)</f>
        <v>0</v>
      </c>
      <c r="V53" s="131">
        <f>INTERCEPT(M52:M53,I52:I53)</f>
        <v>0</v>
      </c>
    </row>
    <row r="54" spans="2:22" x14ac:dyDescent="0.25">
      <c r="B54" t="s">
        <v>59</v>
      </c>
      <c r="C54" s="71" t="s">
        <v>268</v>
      </c>
      <c r="D54" s="81">
        <f>ROUND(J54,-2)</f>
        <v>26400</v>
      </c>
      <c r="E54" s="81">
        <f>ROUND(K54,-1)</f>
        <v>550</v>
      </c>
      <c r="F54" s="81">
        <f>ROUND(L54,-2)</f>
        <v>8800</v>
      </c>
      <c r="G54" s="81">
        <f>ROUND(M54,-2)</f>
        <v>0</v>
      </c>
      <c r="I54" s="73">
        <v>7</v>
      </c>
      <c r="J54" s="128">
        <v>26400</v>
      </c>
      <c r="K54" s="128">
        <v>550</v>
      </c>
      <c r="L54" s="128">
        <v>8808</v>
      </c>
      <c r="M54" s="56">
        <v>0</v>
      </c>
      <c r="O54" s="131"/>
      <c r="P54" s="131"/>
      <c r="Q54" s="131"/>
      <c r="R54" s="131"/>
      <c r="S54" s="131"/>
      <c r="T54" s="131"/>
      <c r="U54" s="131"/>
      <c r="V54" s="131"/>
    </row>
    <row r="55" spans="2:22" x14ac:dyDescent="0.25">
      <c r="C55" s="71" t="s">
        <v>269</v>
      </c>
      <c r="D55" s="73">
        <f>O55*Heizleistungsbedarf+P55</f>
        <v>24970</v>
      </c>
      <c r="E55" s="73">
        <f>Q55*Heizleistungsbedarf+R55</f>
        <v>550</v>
      </c>
      <c r="F55" s="73">
        <f>S55*Heizleistungsbedarf+T55</f>
        <v>8473.3333333333339</v>
      </c>
      <c r="G55" s="73">
        <f>U55*Heizleistungsbedarf+V55</f>
        <v>0</v>
      </c>
      <c r="I55" s="73">
        <v>28</v>
      </c>
      <c r="J55" s="55">
        <v>30690</v>
      </c>
      <c r="K55" s="73">
        <v>550</v>
      </c>
      <c r="L55" s="73">
        <v>9812</v>
      </c>
      <c r="M55" s="73">
        <v>0</v>
      </c>
      <c r="O55" s="131">
        <f>SLOPE(J54:J55,I54:I55)</f>
        <v>204.28571428571428</v>
      </c>
      <c r="P55" s="131">
        <f>INTERCEPT(J54:J55,I54:I55)</f>
        <v>24970</v>
      </c>
      <c r="Q55" s="131">
        <f>SLOPE(K54:K55,I54:I55)</f>
        <v>0</v>
      </c>
      <c r="R55" s="131">
        <f>INTERCEPT(K54:K55,I54:I55)</f>
        <v>550</v>
      </c>
      <c r="S55" s="131">
        <f>SLOPE(L54:L55,I54:I55)</f>
        <v>47.80952380952381</v>
      </c>
      <c r="T55" s="131">
        <f>INTERCEPT(L54:L55,I54:I55)</f>
        <v>8473.3333333333339</v>
      </c>
      <c r="U55" s="131">
        <f>SLOPE(M54:M55,I54:I55)</f>
        <v>0</v>
      </c>
      <c r="V55" s="131">
        <f>INTERCEPT(M54:M55,I54:I55)</f>
        <v>0</v>
      </c>
    </row>
    <row r="56" spans="2:22" x14ac:dyDescent="0.25">
      <c r="C56" s="71" t="s">
        <v>270</v>
      </c>
      <c r="D56" s="73">
        <f>O56*Heizleistungsbedarf+P56</f>
        <v>14674</v>
      </c>
      <c r="E56" s="73">
        <f>Q56*Heizleistungsbedarf+R56</f>
        <v>319</v>
      </c>
      <c r="F56" s="73">
        <f>S56*Heizleistungsbedarf+T56</f>
        <v>6408.6</v>
      </c>
      <c r="G56" s="73">
        <f>U56*Heizleistungsbedarf+V56</f>
        <v>0</v>
      </c>
      <c r="I56" s="73">
        <v>68</v>
      </c>
      <c r="J56" s="55">
        <v>53570</v>
      </c>
      <c r="K56" s="73">
        <v>880</v>
      </c>
      <c r="L56" s="73">
        <v>14674</v>
      </c>
      <c r="M56" s="73">
        <v>0</v>
      </c>
      <c r="O56" s="131">
        <f>SLOPE(J55:J56,I55:I56)</f>
        <v>572</v>
      </c>
      <c r="P56" s="131">
        <f>INTERCEPT(J55:J56,I55:I56)</f>
        <v>14674</v>
      </c>
      <c r="Q56" s="131">
        <f>SLOPE(K55:K56,I55:I56)</f>
        <v>8.25</v>
      </c>
      <c r="R56" s="131">
        <f>INTERCEPT(K55:K56,I55:I56)</f>
        <v>319</v>
      </c>
      <c r="S56" s="131">
        <f>SLOPE(L55:L56,I55:I56)</f>
        <v>121.55</v>
      </c>
      <c r="T56" s="131">
        <f>INTERCEPT(L55:L56,I55:I56)</f>
        <v>6408.6</v>
      </c>
      <c r="U56" s="131">
        <f>SLOPE(M55:M56,I55:I56)</f>
        <v>0</v>
      </c>
      <c r="V56" s="131">
        <f>INTERCEPT(M55:M56,I55:I56)</f>
        <v>0</v>
      </c>
    </row>
    <row r="57" spans="2:22" x14ac:dyDescent="0.25">
      <c r="C57" s="71" t="s">
        <v>271</v>
      </c>
      <c r="D57" s="73">
        <f>O57*Heizleistungsbedarf+P57</f>
        <v>22485.081967213118</v>
      </c>
      <c r="E57" s="73">
        <f>Q57*Heizleistungsbedarf+R57</f>
        <v>757.37704918032784</v>
      </c>
      <c r="F57" s="73">
        <f>S57*Heizleistungsbedarf+T57</f>
        <v>9053.9672131147545</v>
      </c>
      <c r="G57" s="73">
        <f>U57*Heizleistungsbedarf+V57</f>
        <v>0</v>
      </c>
      <c r="I57" s="73">
        <v>190</v>
      </c>
      <c r="J57" s="56">
        <v>109340</v>
      </c>
      <c r="K57" s="73">
        <v>1100</v>
      </c>
      <c r="L57" s="73">
        <v>24757</v>
      </c>
      <c r="M57" s="73">
        <v>0</v>
      </c>
      <c r="O57" s="131">
        <f>SLOPE(J56:J57,I56:I57)</f>
        <v>457.13114754098359</v>
      </c>
      <c r="P57" s="131">
        <f>INTERCEPT(J56:J57,I56:I57)</f>
        <v>22485.081967213118</v>
      </c>
      <c r="Q57" s="131">
        <f>SLOPE(K56:K57,I56:I57)</f>
        <v>1.8032786885245902</v>
      </c>
      <c r="R57" s="131">
        <f>INTERCEPT(K56:K57,I56:I57)</f>
        <v>757.37704918032784</v>
      </c>
      <c r="S57" s="131">
        <f>SLOPE(L56:L57,I56:I57)</f>
        <v>82.647540983606561</v>
      </c>
      <c r="T57" s="131">
        <f>INTERCEPT(L56:L57,I56:I57)</f>
        <v>9053.9672131147545</v>
      </c>
      <c r="U57" s="131">
        <f>SLOPE(M56:M57,I56:I57)</f>
        <v>0</v>
      </c>
      <c r="V57" s="131">
        <f>INTERCEPT(M56:M57,I56:I57)</f>
        <v>0</v>
      </c>
    </row>
    <row r="58" spans="2:22" x14ac:dyDescent="0.25">
      <c r="B58" s="75"/>
      <c r="C58" s="72" t="s">
        <v>272</v>
      </c>
      <c r="D58" s="74">
        <f>O58*Heizleistungsbedarf+P58</f>
        <v>44280.322580645152</v>
      </c>
      <c r="E58" s="74">
        <f>Q58*Heizleistungsbedarf+R58</f>
        <v>-585.48387096774195</v>
      </c>
      <c r="F58" s="74">
        <f>S58*Heizleistungsbedarf+T58</f>
        <v>14755.645161290322</v>
      </c>
      <c r="G58" s="74">
        <f>U58*Heizleistungsbedarf+V58</f>
        <v>0</v>
      </c>
      <c r="I58" s="74">
        <v>500</v>
      </c>
      <c r="J58" s="57">
        <v>215490</v>
      </c>
      <c r="K58" s="74">
        <v>3850</v>
      </c>
      <c r="L58" s="74">
        <v>41075</v>
      </c>
      <c r="M58" s="74">
        <v>0</v>
      </c>
      <c r="O58" s="131">
        <f>SLOPE(J57:J58,I57:I58)</f>
        <v>342.41935483870969</v>
      </c>
      <c r="P58" s="131">
        <f>INTERCEPT(J57:J58,I57:I58)</f>
        <v>44280.322580645152</v>
      </c>
      <c r="Q58" s="131">
        <f>SLOPE(K57:K58,I57:I58)</f>
        <v>8.870967741935484</v>
      </c>
      <c r="R58" s="131">
        <f>INTERCEPT(K57:K58,I57:I58)</f>
        <v>-585.48387096774195</v>
      </c>
      <c r="S58" s="131">
        <f>SLOPE(L57:L58,I57:I58)</f>
        <v>52.638709677419357</v>
      </c>
      <c r="T58" s="131">
        <f>INTERCEPT(L57:L58,I57:I58)</f>
        <v>14755.645161290322</v>
      </c>
      <c r="U58" s="131">
        <f>SLOPE(M57:M58,I57:I58)</f>
        <v>0</v>
      </c>
      <c r="V58" s="131">
        <f>INTERCEPT(M57:M58,I57:I58)</f>
        <v>0</v>
      </c>
    </row>
    <row r="59" spans="2:22" x14ac:dyDescent="0.25">
      <c r="B59" t="s">
        <v>60</v>
      </c>
      <c r="C59" s="71" t="s">
        <v>268</v>
      </c>
      <c r="D59" s="58" t="s">
        <v>348</v>
      </c>
      <c r="E59" s="58" t="s">
        <v>348</v>
      </c>
      <c r="F59" s="58" t="s">
        <v>348</v>
      </c>
      <c r="G59" s="58" t="s">
        <v>348</v>
      </c>
      <c r="I59" s="73">
        <v>7</v>
      </c>
      <c r="J59" s="73"/>
      <c r="K59" s="73"/>
      <c r="L59" s="73"/>
      <c r="M59" s="73"/>
      <c r="O59" s="131"/>
      <c r="P59" s="131"/>
      <c r="Q59" s="131"/>
      <c r="R59" s="131"/>
      <c r="S59" s="131"/>
      <c r="T59" s="131"/>
      <c r="U59" s="131"/>
      <c r="V59" s="131"/>
    </row>
    <row r="60" spans="2:22" x14ac:dyDescent="0.25">
      <c r="C60" s="71" t="s">
        <v>269</v>
      </c>
      <c r="D60" s="58" t="s">
        <v>348</v>
      </c>
      <c r="E60" s="58" t="s">
        <v>348</v>
      </c>
      <c r="F60" s="58" t="s">
        <v>348</v>
      </c>
      <c r="G60" s="58" t="s">
        <v>348</v>
      </c>
      <c r="I60" s="73">
        <v>28</v>
      </c>
      <c r="J60" s="73"/>
      <c r="K60" s="73"/>
      <c r="L60" s="73"/>
      <c r="M60" s="73"/>
      <c r="O60" s="131"/>
      <c r="P60" s="131"/>
      <c r="Q60" s="131"/>
      <c r="R60" s="131"/>
      <c r="S60" s="131"/>
      <c r="T60" s="131"/>
      <c r="U60" s="131"/>
      <c r="V60" s="131"/>
    </row>
    <row r="61" spans="2:22" x14ac:dyDescent="0.25">
      <c r="C61" s="71" t="s">
        <v>270</v>
      </c>
      <c r="D61" s="58" t="s">
        <v>348</v>
      </c>
      <c r="E61" s="58" t="s">
        <v>348</v>
      </c>
      <c r="F61" s="58" t="s">
        <v>348</v>
      </c>
      <c r="G61" s="58" t="s">
        <v>348</v>
      </c>
      <c r="I61" s="73">
        <v>68</v>
      </c>
      <c r="J61" s="73"/>
      <c r="K61" s="73"/>
      <c r="L61" s="73"/>
      <c r="M61" s="73"/>
      <c r="O61" s="131"/>
      <c r="P61" s="131"/>
      <c r="Q61" s="131"/>
      <c r="R61" s="131"/>
      <c r="S61" s="131"/>
      <c r="T61" s="131"/>
      <c r="U61" s="131"/>
      <c r="V61" s="131"/>
    </row>
    <row r="62" spans="2:22" x14ac:dyDescent="0.25">
      <c r="C62" s="71" t="s">
        <v>271</v>
      </c>
      <c r="D62" s="58" t="s">
        <v>348</v>
      </c>
      <c r="E62" s="58" t="s">
        <v>348</v>
      </c>
      <c r="F62" s="58" t="s">
        <v>348</v>
      </c>
      <c r="G62" s="58" t="s">
        <v>348</v>
      </c>
      <c r="I62" s="73">
        <v>190</v>
      </c>
      <c r="J62" s="73"/>
      <c r="K62" s="73"/>
      <c r="L62" s="73"/>
      <c r="M62" s="73"/>
      <c r="O62" s="131"/>
      <c r="P62" s="131"/>
      <c r="Q62" s="131"/>
      <c r="R62" s="131"/>
      <c r="S62" s="131"/>
      <c r="T62" s="131"/>
      <c r="U62" s="131"/>
      <c r="V62" s="131"/>
    </row>
    <row r="63" spans="2:22" x14ac:dyDescent="0.25">
      <c r="B63" s="75"/>
      <c r="C63" s="72" t="s">
        <v>272</v>
      </c>
      <c r="D63" s="59" t="s">
        <v>348</v>
      </c>
      <c r="E63" s="59" t="s">
        <v>348</v>
      </c>
      <c r="F63" s="59" t="s">
        <v>348</v>
      </c>
      <c r="G63" s="59" t="s">
        <v>348</v>
      </c>
      <c r="I63" s="74">
        <v>500</v>
      </c>
      <c r="J63" s="74"/>
      <c r="K63" s="74"/>
      <c r="L63" s="74"/>
      <c r="M63" s="74"/>
      <c r="O63" s="131"/>
      <c r="P63" s="131"/>
      <c r="Q63" s="131"/>
      <c r="R63" s="131"/>
      <c r="S63" s="131"/>
      <c r="T63" s="131"/>
      <c r="U63" s="131"/>
      <c r="V63" s="131"/>
    </row>
    <row r="64" spans="2:22" x14ac:dyDescent="0.25">
      <c r="B64" t="s">
        <v>61</v>
      </c>
      <c r="C64" s="71" t="s">
        <v>268</v>
      </c>
      <c r="D64" s="58" t="s">
        <v>348</v>
      </c>
      <c r="E64" s="58" t="s">
        <v>348</v>
      </c>
      <c r="F64" s="58" t="s">
        <v>348</v>
      </c>
      <c r="G64" s="58" t="s">
        <v>348</v>
      </c>
      <c r="I64" s="73">
        <v>7</v>
      </c>
      <c r="J64" s="73"/>
      <c r="K64" s="73"/>
      <c r="L64" s="73"/>
      <c r="M64" s="73"/>
      <c r="O64" s="131"/>
      <c r="P64" s="131"/>
      <c r="Q64" s="131"/>
      <c r="R64" s="131"/>
      <c r="S64" s="131"/>
      <c r="T64" s="131"/>
      <c r="U64" s="131"/>
      <c r="V64" s="131"/>
    </row>
    <row r="65" spans="1:22" x14ac:dyDescent="0.25">
      <c r="C65" s="71" t="s">
        <v>269</v>
      </c>
      <c r="D65" s="58" t="s">
        <v>348</v>
      </c>
      <c r="E65" s="58" t="s">
        <v>348</v>
      </c>
      <c r="F65" s="58" t="s">
        <v>348</v>
      </c>
      <c r="G65" s="58" t="s">
        <v>348</v>
      </c>
      <c r="I65" s="73">
        <v>28</v>
      </c>
      <c r="J65" s="73"/>
      <c r="K65" s="73"/>
      <c r="L65" s="73"/>
      <c r="M65" s="73"/>
      <c r="O65" s="131"/>
      <c r="P65" s="131"/>
      <c r="Q65" s="131"/>
      <c r="R65" s="131"/>
      <c r="S65" s="131"/>
      <c r="T65" s="131"/>
      <c r="U65" s="131"/>
      <c r="V65" s="131"/>
    </row>
    <row r="66" spans="1:22" x14ac:dyDescent="0.25">
      <c r="C66" s="71" t="s">
        <v>270</v>
      </c>
      <c r="D66" s="58" t="s">
        <v>348</v>
      </c>
      <c r="E66" s="58" t="s">
        <v>348</v>
      </c>
      <c r="F66" s="58" t="s">
        <v>348</v>
      </c>
      <c r="G66" s="58" t="s">
        <v>348</v>
      </c>
      <c r="I66" s="73">
        <v>68</v>
      </c>
      <c r="J66" s="73"/>
      <c r="K66" s="73"/>
      <c r="L66" s="73"/>
      <c r="M66" s="73"/>
      <c r="O66" s="131"/>
      <c r="P66" s="131"/>
      <c r="Q66" s="131"/>
      <c r="R66" s="131"/>
      <c r="S66" s="131"/>
      <c r="T66" s="131"/>
      <c r="U66" s="131"/>
      <c r="V66" s="131"/>
    </row>
    <row r="67" spans="1:22" x14ac:dyDescent="0.25">
      <c r="C67" s="71" t="s">
        <v>271</v>
      </c>
      <c r="D67" s="58" t="s">
        <v>348</v>
      </c>
      <c r="E67" s="58" t="s">
        <v>348</v>
      </c>
      <c r="F67" s="58" t="s">
        <v>348</v>
      </c>
      <c r="G67" s="58" t="s">
        <v>348</v>
      </c>
      <c r="I67" s="73">
        <v>190</v>
      </c>
      <c r="J67" s="73"/>
      <c r="K67" s="73"/>
      <c r="L67" s="73"/>
      <c r="M67" s="73"/>
      <c r="O67" s="131"/>
      <c r="P67" s="131"/>
      <c r="Q67" s="131"/>
      <c r="R67" s="131"/>
      <c r="S67" s="131"/>
      <c r="T67" s="131"/>
      <c r="U67" s="131"/>
      <c r="V67" s="131"/>
    </row>
    <row r="68" spans="1:22" x14ac:dyDescent="0.25">
      <c r="B68" s="75"/>
      <c r="C68" s="72" t="s">
        <v>272</v>
      </c>
      <c r="D68" s="59" t="s">
        <v>348</v>
      </c>
      <c r="E68" s="59" t="s">
        <v>348</v>
      </c>
      <c r="F68" s="59" t="s">
        <v>348</v>
      </c>
      <c r="G68" s="59" t="s">
        <v>348</v>
      </c>
      <c r="I68" s="74">
        <v>500</v>
      </c>
      <c r="J68" s="74"/>
      <c r="K68" s="74"/>
      <c r="L68" s="74"/>
      <c r="M68" s="74"/>
      <c r="O68" s="131"/>
      <c r="P68" s="131"/>
      <c r="Q68" s="131"/>
      <c r="R68" s="131"/>
      <c r="S68" s="131"/>
      <c r="T68" s="131"/>
      <c r="U68" s="131"/>
      <c r="V68" s="131"/>
    </row>
    <row r="71" spans="1:22" ht="17.25" x14ac:dyDescent="0.25">
      <c r="A71" s="126"/>
    </row>
  </sheetData>
  <sheetProtection algorithmName="SHA-512" hashValue="6THVPTM6s3l9PvZoxwM4vDcMBDy5DjVnx3tJRtqHvK2xYFeyLTF9+SFz7XjshJsBhADT1x+EY6Z4qYJu1CMqxQ==" saltValue="ALvWA3B1c/4efY32C4oh4w==" spinCount="100000" sheet="1" objects="1" scenarios="1"/>
  <mergeCells count="7">
    <mergeCell ref="U2:V2"/>
    <mergeCell ref="O1:V1"/>
    <mergeCell ref="C2:G2"/>
    <mergeCell ref="I1:M1"/>
    <mergeCell ref="O2:P2"/>
    <mergeCell ref="Q2:R2"/>
    <mergeCell ref="S2:T2"/>
  </mergeCells>
  <pageMargins left="0.51181102362204722" right="0.51181102362204722" top="0.59055118110236227" bottom="0.59055118110236227" header="0.31496062992125984" footer="0.31496062992125984"/>
  <pageSetup paperSize="9" scale="53" fitToWidth="0" orientation="landscape" r:id="rId1"/>
  <ignoredErrors>
    <ignoredError sqref="O49:V58 P5:V6 O7:V43" formulaRange="1"/>
    <ignoredError sqref="E34:G34 D49:E49 D54:E54 F54:G54 F49:G49 D9:G9"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I15"/>
  <sheetViews>
    <sheetView zoomScale="145" zoomScaleNormal="145" workbookViewId="0">
      <selection activeCell="E9" sqref="E9"/>
    </sheetView>
  </sheetViews>
  <sheetFormatPr baseColWidth="10" defaultColWidth="10.85546875" defaultRowHeight="15" x14ac:dyDescent="0.25"/>
  <cols>
    <col min="1" max="1" width="35" style="16" customWidth="1"/>
    <col min="2" max="2" width="20.42578125" style="16" bestFit="1" customWidth="1"/>
    <col min="3" max="3" width="25.28515625" style="16" bestFit="1" customWidth="1"/>
    <col min="4" max="4" width="25.28515625" style="16" customWidth="1"/>
    <col min="5" max="5" width="32" style="16" bestFit="1" customWidth="1"/>
    <col min="6" max="7" width="31.28515625" style="16" customWidth="1"/>
    <col min="8" max="9" width="20.85546875" style="16" customWidth="1"/>
    <col min="10" max="16384" width="10.85546875" style="16"/>
  </cols>
  <sheetData>
    <row r="1" spans="1:9" s="15" customFormat="1" ht="24" x14ac:dyDescent="0.25">
      <c r="A1" s="14" t="s">
        <v>419</v>
      </c>
      <c r="B1" s="14"/>
      <c r="C1" s="14"/>
      <c r="D1" s="14"/>
      <c r="E1" s="14"/>
    </row>
    <row r="2" spans="1:9" x14ac:dyDescent="0.25">
      <c r="A2" s="12"/>
      <c r="B2" s="12"/>
      <c r="C2" s="12"/>
      <c r="D2" s="12"/>
      <c r="E2" s="12"/>
    </row>
    <row r="3" spans="1:9" x14ac:dyDescent="0.25">
      <c r="A3" s="17" t="s">
        <v>62</v>
      </c>
      <c r="B3" s="17" t="s">
        <v>587</v>
      </c>
      <c r="C3" s="17" t="s">
        <v>588</v>
      </c>
      <c r="D3" s="17" t="s">
        <v>589</v>
      </c>
      <c r="E3" s="17" t="s">
        <v>590</v>
      </c>
      <c r="F3" s="17" t="s">
        <v>591</v>
      </c>
      <c r="G3" s="17" t="s">
        <v>592</v>
      </c>
    </row>
    <row r="4" spans="1:9" x14ac:dyDescent="0.25">
      <c r="A4" s="18"/>
      <c r="B4" s="282">
        <v>4000</v>
      </c>
      <c r="C4" s="282">
        <v>20</v>
      </c>
      <c r="D4" s="282">
        <v>8000</v>
      </c>
      <c r="E4" s="282">
        <v>40</v>
      </c>
      <c r="F4" s="282">
        <v>18000</v>
      </c>
      <c r="G4" s="282">
        <v>20</v>
      </c>
    </row>
    <row r="5" spans="1:9" x14ac:dyDescent="0.25">
      <c r="A5" s="17" t="s">
        <v>28</v>
      </c>
      <c r="B5" s="17" t="s">
        <v>593</v>
      </c>
      <c r="C5" s="17" t="s">
        <v>594</v>
      </c>
      <c r="D5" s="17" t="s">
        <v>595</v>
      </c>
      <c r="E5" s="17" t="s">
        <v>602</v>
      </c>
      <c r="F5" s="17" t="s">
        <v>589</v>
      </c>
      <c r="G5" s="17" t="s">
        <v>590</v>
      </c>
    </row>
    <row r="6" spans="1:9" x14ac:dyDescent="0.25">
      <c r="A6" s="18"/>
      <c r="B6" s="282">
        <v>3000</v>
      </c>
      <c r="C6" s="282">
        <v>0</v>
      </c>
      <c r="D6" s="283">
        <v>3000</v>
      </c>
      <c r="E6" s="283">
        <v>60</v>
      </c>
      <c r="F6" s="283">
        <v>3200</v>
      </c>
      <c r="G6" s="283">
        <v>120</v>
      </c>
    </row>
    <row r="7" spans="1:9" x14ac:dyDescent="0.25">
      <c r="A7" s="12" t="s">
        <v>88</v>
      </c>
      <c r="B7" s="17" t="s">
        <v>596</v>
      </c>
      <c r="C7" s="17" t="s">
        <v>597</v>
      </c>
      <c r="D7" s="17" t="s">
        <v>598</v>
      </c>
      <c r="E7" s="17" t="s">
        <v>603</v>
      </c>
      <c r="F7" s="17" t="s">
        <v>589</v>
      </c>
      <c r="G7" s="17" t="s">
        <v>590</v>
      </c>
      <c r="H7" s="17" t="s">
        <v>591</v>
      </c>
      <c r="I7" s="17" t="s">
        <v>592</v>
      </c>
    </row>
    <row r="8" spans="1:9" x14ac:dyDescent="0.25">
      <c r="A8" s="18"/>
      <c r="B8" s="282">
        <v>8000</v>
      </c>
      <c r="C8" s="282">
        <v>0</v>
      </c>
      <c r="D8" s="282">
        <v>8000</v>
      </c>
      <c r="E8" s="282">
        <v>180</v>
      </c>
      <c r="F8" s="282">
        <v>4800</v>
      </c>
      <c r="G8" s="282">
        <v>360</v>
      </c>
      <c r="H8" s="282">
        <v>84800</v>
      </c>
      <c r="I8" s="282">
        <v>200</v>
      </c>
    </row>
    <row r="9" spans="1:9" x14ac:dyDescent="0.25">
      <c r="A9" s="17" t="s">
        <v>87</v>
      </c>
      <c r="B9" s="17" t="s">
        <v>596</v>
      </c>
      <c r="C9" s="17" t="s">
        <v>597</v>
      </c>
      <c r="D9" s="17" t="s">
        <v>598</v>
      </c>
      <c r="E9" s="17" t="s">
        <v>603</v>
      </c>
      <c r="F9" s="17" t="s">
        <v>589</v>
      </c>
      <c r="G9" s="17" t="s">
        <v>590</v>
      </c>
      <c r="H9" s="17" t="s">
        <v>591</v>
      </c>
      <c r="I9" s="17" t="s">
        <v>592</v>
      </c>
    </row>
    <row r="10" spans="1:9" x14ac:dyDescent="0.25">
      <c r="A10" s="18"/>
      <c r="B10" s="282">
        <v>6000</v>
      </c>
      <c r="C10" s="282">
        <v>0</v>
      </c>
      <c r="D10" s="282">
        <v>6000</v>
      </c>
      <c r="E10" s="282">
        <v>100</v>
      </c>
      <c r="F10" s="282">
        <v>0</v>
      </c>
      <c r="G10" s="282">
        <v>360</v>
      </c>
      <c r="H10" s="282">
        <v>80000</v>
      </c>
      <c r="I10" s="282">
        <v>200</v>
      </c>
    </row>
    <row r="11" spans="1:9" x14ac:dyDescent="0.25">
      <c r="A11" s="17" t="s">
        <v>460</v>
      </c>
      <c r="B11" s="17" t="s">
        <v>600</v>
      </c>
      <c r="C11" s="17"/>
      <c r="D11" s="17"/>
      <c r="E11" s="17"/>
      <c r="F11" s="17"/>
      <c r="G11" s="17"/>
      <c r="H11" s="17"/>
      <c r="I11" s="17"/>
    </row>
    <row r="12" spans="1:9" x14ac:dyDescent="0.25">
      <c r="A12" s="18"/>
      <c r="B12" s="282">
        <v>4000</v>
      </c>
      <c r="C12" s="282"/>
      <c r="D12" s="282"/>
      <c r="E12" s="282"/>
      <c r="F12" s="282"/>
      <c r="G12" s="282"/>
      <c r="H12" s="282"/>
      <c r="I12" s="282"/>
    </row>
    <row r="13" spans="1:9" x14ac:dyDescent="0.25">
      <c r="A13" s="12"/>
    </row>
    <row r="14" spans="1:9" x14ac:dyDescent="0.25">
      <c r="A14" s="12"/>
    </row>
    <row r="15" spans="1:9" x14ac:dyDescent="0.25">
      <c r="A15" s="12"/>
    </row>
  </sheetData>
  <sheetProtection algorithmName="SHA-512" hashValue="Bccjad9Yoby2zJmTC+qgAMZr0EVA+ElsSXGjBkrfbYScCVcVwZGzNKoT+m9tazpnDwqjC27IiM8zfJ8lZkM5PA==" saltValue="VmpbmM8td6z2EMbEp0R2+g==" spinCount="100000" sheet="1" objects="1" scenarios="1"/>
  <dataConsolidate/>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dimension ref="A1:M58"/>
  <sheetViews>
    <sheetView topLeftCell="A24" zoomScale="160" zoomScaleNormal="160" workbookViewId="0">
      <selection activeCell="D47" sqref="D47"/>
    </sheetView>
  </sheetViews>
  <sheetFormatPr baseColWidth="10" defaultColWidth="30.5703125" defaultRowHeight="15" x14ac:dyDescent="0.25"/>
  <cols>
    <col min="1" max="1" width="3.140625" bestFit="1" customWidth="1"/>
    <col min="2" max="2" width="21.5703125" bestFit="1" customWidth="1"/>
    <col min="3" max="3" width="39.5703125" bestFit="1" customWidth="1"/>
    <col min="4" max="4" width="28.85546875" bestFit="1" customWidth="1"/>
    <col min="5" max="5" width="25.7109375" bestFit="1" customWidth="1"/>
    <col min="6" max="6" width="37.85546875" bestFit="1" customWidth="1"/>
  </cols>
  <sheetData>
    <row r="1" spans="1:13" x14ac:dyDescent="0.25">
      <c r="A1" s="52">
        <v>5.0999999999999996</v>
      </c>
      <c r="B1" s="2" t="s">
        <v>220</v>
      </c>
      <c r="C1" s="154"/>
      <c r="D1" s="1"/>
      <c r="E1" s="1"/>
      <c r="F1" s="3"/>
      <c r="G1" s="52"/>
      <c r="H1" s="2"/>
      <c r="I1" s="154"/>
      <c r="J1" s="1"/>
      <c r="K1" s="1"/>
      <c r="L1" s="3"/>
      <c r="M1" s="3"/>
    </row>
    <row r="2" spans="1:13" x14ac:dyDescent="0.25">
      <c r="A2" s="52"/>
      <c r="B2" s="2"/>
      <c r="C2" s="154"/>
      <c r="D2" s="1"/>
      <c r="E2" s="1"/>
      <c r="F2" s="3"/>
      <c r="G2" s="52"/>
      <c r="H2" s="2"/>
      <c r="I2" s="1"/>
      <c r="J2" s="1"/>
      <c r="K2" s="1"/>
      <c r="L2" s="3"/>
      <c r="M2" s="3"/>
    </row>
    <row r="3" spans="1:13" x14ac:dyDescent="0.25">
      <c r="B3" s="3" t="s">
        <v>410</v>
      </c>
      <c r="C3" s="155">
        <f>Heizleistungsbedarf</f>
        <v>0</v>
      </c>
      <c r="D3" s="3"/>
      <c r="G3" s="51"/>
      <c r="H3" s="1"/>
      <c r="I3" s="1"/>
      <c r="J3" s="27"/>
      <c r="K3" s="3"/>
      <c r="L3" s="1"/>
      <c r="M3" s="3"/>
    </row>
    <row r="4" spans="1:13" x14ac:dyDescent="0.25">
      <c r="B4" s="3" t="s">
        <v>469</v>
      </c>
      <c r="C4" s="155" t="str">
        <f>NEB</f>
        <v xml:space="preserve"> </v>
      </c>
      <c r="D4" s="3"/>
      <c r="G4" s="51"/>
      <c r="H4" s="1"/>
      <c r="I4" s="1"/>
      <c r="J4" s="27"/>
      <c r="K4" s="3"/>
      <c r="L4" s="1"/>
      <c r="M4" s="3"/>
    </row>
    <row r="5" spans="1:13" ht="51" customHeight="1" x14ac:dyDescent="0.25">
      <c r="B5" s="157" t="s">
        <v>426</v>
      </c>
      <c r="C5" s="176">
        <v>0.75</v>
      </c>
      <c r="D5" s="3"/>
      <c r="G5" s="51"/>
      <c r="H5" s="1"/>
      <c r="I5" s="1"/>
      <c r="J5" s="27"/>
      <c r="K5" s="3"/>
      <c r="L5" s="1"/>
      <c r="M5" s="3"/>
    </row>
    <row r="6" spans="1:13" x14ac:dyDescent="0.25">
      <c r="B6" s="3"/>
      <c r="C6" s="3"/>
      <c r="D6" s="3"/>
      <c r="G6" s="51"/>
      <c r="H6" s="1"/>
      <c r="I6" s="1"/>
      <c r="J6" s="27"/>
      <c r="K6" s="3"/>
      <c r="L6" s="1"/>
      <c r="M6" s="3"/>
    </row>
    <row r="7" spans="1:13" x14ac:dyDescent="0.25">
      <c r="B7" s="22" t="s">
        <v>488</v>
      </c>
      <c r="C7" s="3"/>
      <c r="D7" s="3"/>
      <c r="G7" s="51"/>
      <c r="H7" s="1"/>
      <c r="I7" s="1"/>
      <c r="J7" s="27"/>
      <c r="K7" s="3"/>
      <c r="L7" s="3"/>
      <c r="M7" s="3"/>
    </row>
    <row r="8" spans="1:13" x14ac:dyDescent="0.25">
      <c r="B8" s="3" t="s">
        <v>396</v>
      </c>
      <c r="C8" s="3" t="s">
        <v>201</v>
      </c>
      <c r="D8" s="3" t="s">
        <v>418</v>
      </c>
      <c r="F8" s="3"/>
      <c r="G8" s="51"/>
      <c r="H8" s="1"/>
      <c r="I8" s="1"/>
      <c r="J8" s="27"/>
      <c r="K8" s="3"/>
      <c r="L8" s="3"/>
      <c r="M8" s="3"/>
    </row>
    <row r="9" spans="1:13" x14ac:dyDescent="0.25">
      <c r="B9" s="3" t="s">
        <v>408</v>
      </c>
      <c r="C9" s="156" t="s">
        <v>421</v>
      </c>
      <c r="D9" s="3">
        <f t="shared" ref="D9:D15" si="0">Faktor*D52</f>
        <v>18</v>
      </c>
      <c r="F9" s="3"/>
      <c r="G9" s="51"/>
      <c r="H9" s="1"/>
      <c r="I9" s="1"/>
      <c r="J9" s="27"/>
      <c r="K9" s="1"/>
      <c r="L9" s="3"/>
      <c r="M9" s="3"/>
    </row>
    <row r="10" spans="1:13" x14ac:dyDescent="0.25">
      <c r="B10" s="3" t="s">
        <v>395</v>
      </c>
      <c r="C10" s="156" t="s">
        <v>421</v>
      </c>
      <c r="D10" s="3">
        <f t="shared" si="0"/>
        <v>9</v>
      </c>
      <c r="F10" s="3"/>
      <c r="G10" s="51"/>
      <c r="H10" s="1"/>
      <c r="I10" s="1"/>
      <c r="J10" s="27"/>
      <c r="K10" s="1"/>
      <c r="L10" s="3"/>
      <c r="M10" s="3"/>
    </row>
    <row r="11" spans="1:13" x14ac:dyDescent="0.25">
      <c r="B11" s="3" t="s">
        <v>399</v>
      </c>
      <c r="C11" s="156" t="s">
        <v>421</v>
      </c>
      <c r="D11" s="3">
        <f t="shared" si="0"/>
        <v>18</v>
      </c>
      <c r="F11" s="3"/>
      <c r="G11" s="51"/>
      <c r="H11" s="1"/>
      <c r="I11" s="1"/>
      <c r="J11" s="27"/>
      <c r="K11" s="1"/>
      <c r="L11" s="3"/>
      <c r="M11" s="3"/>
    </row>
    <row r="12" spans="1:13" x14ac:dyDescent="0.25">
      <c r="B12" s="3" t="s">
        <v>402</v>
      </c>
      <c r="C12" s="156" t="s">
        <v>421</v>
      </c>
      <c r="D12" s="3">
        <f t="shared" si="0"/>
        <v>21</v>
      </c>
      <c r="F12" s="3"/>
      <c r="G12" s="51"/>
      <c r="H12" s="1"/>
      <c r="I12" s="1"/>
      <c r="J12" s="27"/>
      <c r="K12" s="1"/>
      <c r="L12" s="3"/>
      <c r="M12" s="1"/>
    </row>
    <row r="13" spans="1:13" x14ac:dyDescent="0.25">
      <c r="B13" s="3" t="s">
        <v>403</v>
      </c>
      <c r="C13" s="156" t="s">
        <v>421</v>
      </c>
      <c r="D13" s="3">
        <f t="shared" si="0"/>
        <v>27.999299999999998</v>
      </c>
      <c r="F13" s="3"/>
      <c r="G13" s="51"/>
      <c r="H13" s="1"/>
      <c r="I13" s="1"/>
      <c r="J13" s="27"/>
      <c r="K13" s="1"/>
      <c r="L13" s="1"/>
      <c r="M13" s="1"/>
    </row>
    <row r="14" spans="1:13" x14ac:dyDescent="0.25">
      <c r="B14" s="3" t="s">
        <v>405</v>
      </c>
      <c r="C14" s="156" t="s">
        <v>421</v>
      </c>
      <c r="D14" s="3">
        <f t="shared" si="0"/>
        <v>31.5</v>
      </c>
      <c r="F14" s="3"/>
      <c r="G14" s="51"/>
      <c r="H14" s="1"/>
      <c r="I14" s="154"/>
      <c r="J14" s="27"/>
      <c r="K14" s="3"/>
      <c r="L14" s="154"/>
      <c r="M14" s="1"/>
    </row>
    <row r="15" spans="1:13" x14ac:dyDescent="0.25">
      <c r="B15" s="3" t="s">
        <v>407</v>
      </c>
      <c r="C15" s="156" t="s">
        <v>421</v>
      </c>
      <c r="D15" s="3">
        <f t="shared" si="0"/>
        <v>33.75</v>
      </c>
      <c r="F15" s="3"/>
      <c r="G15" s="51"/>
      <c r="H15" s="1"/>
      <c r="I15" s="1"/>
      <c r="J15" s="27"/>
      <c r="K15" s="1"/>
      <c r="L15" s="3"/>
      <c r="M15" s="3"/>
    </row>
    <row r="16" spans="1:13" x14ac:dyDescent="0.25">
      <c r="F16" s="3"/>
      <c r="G16" s="51"/>
      <c r="H16" s="1"/>
      <c r="I16" s="1"/>
      <c r="J16" s="27"/>
      <c r="K16" s="1"/>
      <c r="L16" s="3"/>
      <c r="M16" s="3"/>
    </row>
    <row r="17" spans="2:4" x14ac:dyDescent="0.25">
      <c r="B17" s="22" t="s">
        <v>248</v>
      </c>
      <c r="C17" s="3"/>
      <c r="D17" s="3"/>
    </row>
    <row r="18" spans="2:4" x14ac:dyDescent="0.25">
      <c r="B18" s="3" t="s">
        <v>396</v>
      </c>
      <c r="C18" s="3" t="s">
        <v>201</v>
      </c>
      <c r="D18" s="3" t="s">
        <v>418</v>
      </c>
    </row>
    <row r="19" spans="2:4" x14ac:dyDescent="0.25">
      <c r="B19" s="3" t="s">
        <v>408</v>
      </c>
      <c r="C19" s="156" t="s">
        <v>411</v>
      </c>
      <c r="D19" s="3">
        <f>15*2.4</f>
        <v>36</v>
      </c>
    </row>
    <row r="20" spans="2:4" x14ac:dyDescent="0.25">
      <c r="B20" s="3" t="s">
        <v>395</v>
      </c>
      <c r="C20" s="156" t="s">
        <v>412</v>
      </c>
      <c r="D20" s="3">
        <f>(0.4*Heizleistungsbedarf+5)*2.4</f>
        <v>12</v>
      </c>
    </row>
    <row r="21" spans="2:4" x14ac:dyDescent="0.25">
      <c r="B21" s="3" t="s">
        <v>399</v>
      </c>
      <c r="C21" s="156" t="s">
        <v>413</v>
      </c>
      <c r="D21" s="3">
        <f>(0.2*Heizleistungsbedarf+15)*2.4</f>
        <v>36</v>
      </c>
    </row>
    <row r="22" spans="2:4" x14ac:dyDescent="0.25">
      <c r="B22" s="3" t="s">
        <v>402</v>
      </c>
      <c r="C22" s="156" t="s">
        <v>414</v>
      </c>
      <c r="D22" s="3">
        <f>(0.2*Heizleistungsbedarf+15)*2.8</f>
        <v>42</v>
      </c>
    </row>
    <row r="23" spans="2:4" x14ac:dyDescent="0.25">
      <c r="B23" s="3" t="s">
        <v>403</v>
      </c>
      <c r="C23" s="156" t="s">
        <v>415</v>
      </c>
      <c r="D23" s="3">
        <f>(0.1667*Heizleistungsbedarf+18.333)*3</f>
        <v>54.998999999999995</v>
      </c>
    </row>
    <row r="24" spans="2:4" x14ac:dyDescent="0.25">
      <c r="B24" s="3" t="s">
        <v>416</v>
      </c>
      <c r="C24" s="156" t="s">
        <v>417</v>
      </c>
      <c r="D24" s="3">
        <f>(0.16*Heizleistungsbedarf+20)*3.5</f>
        <v>70</v>
      </c>
    </row>
    <row r="27" spans="2:4" x14ac:dyDescent="0.25">
      <c r="B27" s="22" t="s">
        <v>55</v>
      </c>
      <c r="C27" s="3"/>
      <c r="D27" s="3"/>
    </row>
    <row r="28" spans="2:4" x14ac:dyDescent="0.25">
      <c r="B28" s="3" t="s">
        <v>396</v>
      </c>
      <c r="C28" s="3" t="s">
        <v>201</v>
      </c>
      <c r="D28" s="3" t="s">
        <v>418</v>
      </c>
    </row>
    <row r="29" spans="2:4" x14ac:dyDescent="0.25">
      <c r="B29" s="3" t="s">
        <v>470</v>
      </c>
      <c r="C29" s="156" t="s">
        <v>468</v>
      </c>
      <c r="D29" s="3" t="e">
        <f>NEB/(5.5*600*0.7)</f>
        <v>#VALUE!</v>
      </c>
    </row>
    <row r="31" spans="2:4" x14ac:dyDescent="0.25">
      <c r="B31" s="22" t="s">
        <v>56</v>
      </c>
      <c r="C31" s="3"/>
      <c r="D31" s="3"/>
    </row>
    <row r="32" spans="2:4" x14ac:dyDescent="0.25">
      <c r="B32" s="3" t="s">
        <v>396</v>
      </c>
      <c r="C32" s="3" t="s">
        <v>201</v>
      </c>
      <c r="D32" s="3" t="s">
        <v>418</v>
      </c>
    </row>
    <row r="33" spans="2:5" x14ac:dyDescent="0.25">
      <c r="B33" s="3" t="s">
        <v>470</v>
      </c>
      <c r="C33" s="156" t="s">
        <v>471</v>
      </c>
      <c r="D33" s="3" t="e">
        <f>NEB/(1000*0.7)</f>
        <v>#VALUE!</v>
      </c>
    </row>
    <row r="34" spans="2:5" x14ac:dyDescent="0.25">
      <c r="B34" s="3"/>
      <c r="C34" s="156"/>
      <c r="D34" s="3"/>
    </row>
    <row r="35" spans="2:5" x14ac:dyDescent="0.25">
      <c r="B35" s="22" t="s">
        <v>599</v>
      </c>
      <c r="C35" s="156"/>
      <c r="D35" s="3"/>
    </row>
    <row r="36" spans="2:5" x14ac:dyDescent="0.25">
      <c r="B36" s="3" t="s">
        <v>396</v>
      </c>
      <c r="C36" s="3" t="s">
        <v>201</v>
      </c>
      <c r="D36" s="3" t="s">
        <v>418</v>
      </c>
    </row>
    <row r="37" spans="2:5" x14ac:dyDescent="0.25">
      <c r="B37" s="3" t="s">
        <v>470</v>
      </c>
      <c r="C37" s="262" t="s">
        <v>614</v>
      </c>
      <c r="D37" t="e">
        <f>NEB/(5.5*330*0.7)</f>
        <v>#VALUE!</v>
      </c>
    </row>
    <row r="39" spans="2:5" x14ac:dyDescent="0.25">
      <c r="B39" s="22" t="s">
        <v>29</v>
      </c>
      <c r="C39" s="3"/>
      <c r="D39" s="3"/>
    </row>
    <row r="40" spans="2:5" x14ac:dyDescent="0.25">
      <c r="B40" s="3" t="s">
        <v>396</v>
      </c>
      <c r="C40" s="3" t="s">
        <v>423</v>
      </c>
      <c r="D40" s="3" t="s">
        <v>422</v>
      </c>
      <c r="E40" s="3" t="s">
        <v>425</v>
      </c>
    </row>
    <row r="41" spans="2:5" x14ac:dyDescent="0.25">
      <c r="B41" s="3" t="s">
        <v>408</v>
      </c>
      <c r="C41" s="156" t="s">
        <v>398</v>
      </c>
      <c r="D41" s="156" t="s">
        <v>424</v>
      </c>
      <c r="E41" s="3">
        <f>10*2.4+Heizleistungsbedarf*2000/10/1000*1.3</f>
        <v>24</v>
      </c>
    </row>
    <row r="42" spans="2:5" x14ac:dyDescent="0.25">
      <c r="B42" s="3" t="s">
        <v>395</v>
      </c>
      <c r="C42" s="156" t="s">
        <v>397</v>
      </c>
      <c r="D42" s="156" t="s">
        <v>424</v>
      </c>
      <c r="E42" s="3">
        <f>(0.2*Heizleistungsbedarf+5)*2.4+Heizleistungsbedarf*2000/10/1000*1.3</f>
        <v>12</v>
      </c>
    </row>
    <row r="43" spans="2:5" x14ac:dyDescent="0.25">
      <c r="B43" s="3" t="s">
        <v>399</v>
      </c>
      <c r="C43" s="156" t="s">
        <v>401</v>
      </c>
      <c r="D43" s="156" t="s">
        <v>424</v>
      </c>
      <c r="E43" s="3">
        <f>(0.1*Heizleistungsbedarf+10)*2.4+Heizleistungsbedarf*2000/10/1000*1.3</f>
        <v>24</v>
      </c>
    </row>
    <row r="44" spans="2:5" x14ac:dyDescent="0.25">
      <c r="B44" s="3" t="s">
        <v>402</v>
      </c>
      <c r="C44" s="156" t="s">
        <v>400</v>
      </c>
      <c r="D44" s="156" t="s">
        <v>424</v>
      </c>
      <c r="E44" s="3">
        <f>(0.1*Heizleistungsbedarf+10)*2.8+Heizleistungsbedarf*2000/10/1000*1.3</f>
        <v>28</v>
      </c>
    </row>
    <row r="45" spans="2:5" x14ac:dyDescent="0.25">
      <c r="B45" s="3" t="s">
        <v>403</v>
      </c>
      <c r="C45" s="156" t="s">
        <v>404</v>
      </c>
      <c r="D45" s="156" t="s">
        <v>424</v>
      </c>
      <c r="E45" s="3">
        <f>(0.0667*Heizleistungsbedarf+13.333)*2.8+Heizleistungsbedarf*2000/10/1000*1.3</f>
        <v>37.3324</v>
      </c>
    </row>
    <row r="46" spans="2:5" x14ac:dyDescent="0.25">
      <c r="B46" s="3" t="s">
        <v>405</v>
      </c>
      <c r="C46" s="156" t="s">
        <v>406</v>
      </c>
      <c r="D46" s="156" t="s">
        <v>424</v>
      </c>
      <c r="E46" s="3">
        <f>(0.06*Heizleistungsbedarf+15)*2.8+Heizleistungsbedarf*2000/10/1000*1.3</f>
        <v>42</v>
      </c>
    </row>
    <row r="47" spans="2:5" x14ac:dyDescent="0.25">
      <c r="B47" s="3" t="s">
        <v>407</v>
      </c>
      <c r="C47" s="156" t="s">
        <v>409</v>
      </c>
      <c r="D47" s="156" t="s">
        <v>424</v>
      </c>
      <c r="E47" s="3">
        <f>(0.06*Heizleistungsbedarf+15)*3+Heizleistungsbedarf*2000/10/1000*1.3</f>
        <v>45</v>
      </c>
    </row>
    <row r="50" spans="2:4" x14ac:dyDescent="0.25">
      <c r="B50" s="22" t="s">
        <v>59</v>
      </c>
      <c r="C50" s="3"/>
      <c r="D50" s="3"/>
    </row>
    <row r="51" spans="2:4" x14ac:dyDescent="0.25">
      <c r="B51" s="3" t="s">
        <v>396</v>
      </c>
      <c r="C51" s="3" t="s">
        <v>201</v>
      </c>
      <c r="D51" s="3" t="s">
        <v>418</v>
      </c>
    </row>
    <row r="52" spans="2:4" x14ac:dyDescent="0.25">
      <c r="B52" s="3" t="s">
        <v>408</v>
      </c>
      <c r="C52" s="156" t="s">
        <v>398</v>
      </c>
      <c r="D52" s="3">
        <v>24</v>
      </c>
    </row>
    <row r="53" spans="2:4" x14ac:dyDescent="0.25">
      <c r="B53" s="3" t="s">
        <v>395</v>
      </c>
      <c r="C53" s="156" t="s">
        <v>397</v>
      </c>
      <c r="D53" s="3">
        <f>(0.2*Heizleistungsbedarf+5)*2.4</f>
        <v>12</v>
      </c>
    </row>
    <row r="54" spans="2:4" x14ac:dyDescent="0.25">
      <c r="B54" s="3" t="s">
        <v>399</v>
      </c>
      <c r="C54" s="156" t="s">
        <v>401</v>
      </c>
      <c r="D54" s="3">
        <f>(0.1*Heizleistungsbedarf+10)*2.4</f>
        <v>24</v>
      </c>
    </row>
    <row r="55" spans="2:4" x14ac:dyDescent="0.25">
      <c r="B55" s="3" t="s">
        <v>402</v>
      </c>
      <c r="C55" s="156" t="s">
        <v>400</v>
      </c>
      <c r="D55" s="3">
        <f>(0.1*Heizleistungsbedarf+10)*2.8</f>
        <v>28</v>
      </c>
    </row>
    <row r="56" spans="2:4" x14ac:dyDescent="0.25">
      <c r="B56" s="3" t="s">
        <v>403</v>
      </c>
      <c r="C56" s="156" t="s">
        <v>404</v>
      </c>
      <c r="D56" s="3">
        <f>(0.0667*Heizleistungsbedarf+13.333)*2.8</f>
        <v>37.3324</v>
      </c>
    </row>
    <row r="57" spans="2:4" x14ac:dyDescent="0.25">
      <c r="B57" s="3" t="s">
        <v>405</v>
      </c>
      <c r="C57" s="156" t="s">
        <v>406</v>
      </c>
      <c r="D57" s="3">
        <f>(0.06*Heizleistungsbedarf+15)*2.8</f>
        <v>42</v>
      </c>
    </row>
    <row r="58" spans="2:4" x14ac:dyDescent="0.25">
      <c r="B58" s="3" t="s">
        <v>407</v>
      </c>
      <c r="C58" s="156" t="s">
        <v>409</v>
      </c>
      <c r="D58" s="3">
        <f>(0.06*Heizleistungsbedarf+15)*3</f>
        <v>45</v>
      </c>
    </row>
  </sheetData>
  <sheetProtection algorithmName="SHA-512" hashValue="MznmKgLiN/cjbKkY3BhcX/V6Kld7XRh/FPhGpiwzAvFd+r3DDS6r7KHEp7EFDi73QPZwskfqMXJ3Op3TTw+RCw==" saltValue="B9tv48CvDR7pJBaJ6tIlvw==" spinCount="100000" sheet="1" objects="1" scenarios="1"/>
  <phoneticPr fontId="5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A1:AL86"/>
  <sheetViews>
    <sheetView workbookViewId="0">
      <selection activeCell="C3" sqref="C3"/>
    </sheetView>
  </sheetViews>
  <sheetFormatPr baseColWidth="10" defaultColWidth="11.42578125" defaultRowHeight="15" x14ac:dyDescent="0.25"/>
  <cols>
    <col min="1" max="1" width="3.85546875" style="39" bestFit="1" customWidth="1"/>
    <col min="2" max="2" width="20.5703125" style="39" customWidth="1"/>
    <col min="3" max="3" width="11.42578125" style="39"/>
    <col min="4" max="4" width="38.28515625" style="39" bestFit="1" customWidth="1"/>
    <col min="5" max="5" width="20.42578125" style="39" bestFit="1" customWidth="1"/>
    <col min="6" max="16384" width="11.42578125" style="39"/>
  </cols>
  <sheetData>
    <row r="1" spans="1:38" s="32" customFormat="1" x14ac:dyDescent="0.25">
      <c r="A1" s="32">
        <v>7.2</v>
      </c>
      <c r="B1" s="32" t="s">
        <v>225</v>
      </c>
    </row>
    <row r="3" spans="1:38" x14ac:dyDescent="0.25">
      <c r="B3" s="267" t="s">
        <v>226</v>
      </c>
      <c r="C3" s="268" cm="1">
        <f t="array" ref="C3">INDEX(B5:B39,(MATCH(TRUE,INDEX(ISNUMBER(B5:B39),0),0)))</f>
        <v>1.2500000000000001E-2</v>
      </c>
    </row>
    <row r="5" spans="1:38" s="32" customFormat="1" ht="45" x14ac:dyDescent="0.25">
      <c r="B5" s="269" t="s">
        <v>360</v>
      </c>
      <c r="C5" s="270" t="s">
        <v>222</v>
      </c>
      <c r="D5" s="271" t="s">
        <v>224</v>
      </c>
      <c r="E5" s="271" t="s">
        <v>223</v>
      </c>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row>
    <row r="6" spans="1:38" s="32" customFormat="1" x14ac:dyDescent="0.25">
      <c r="B6" s="272"/>
      <c r="C6" s="273"/>
      <c r="D6" s="272"/>
      <c r="E6" s="274"/>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row>
    <row r="7" spans="1:38" s="32" customFormat="1" x14ac:dyDescent="0.25">
      <c r="B7" s="272"/>
      <c r="C7" s="273"/>
      <c r="D7" s="272"/>
      <c r="E7" s="274"/>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c r="AJ7" s="197"/>
      <c r="AK7" s="197"/>
      <c r="AL7" s="197"/>
    </row>
    <row r="8" spans="1:38" s="32" customFormat="1" x14ac:dyDescent="0.25">
      <c r="B8" s="272"/>
      <c r="C8" s="273"/>
      <c r="D8" s="272"/>
      <c r="E8" s="274"/>
      <c r="F8" s="197"/>
      <c r="G8" s="197"/>
      <c r="H8" s="197"/>
      <c r="I8" s="197"/>
      <c r="J8" s="197"/>
      <c r="K8" s="197"/>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row>
    <row r="9" spans="1:38" s="32" customFormat="1" x14ac:dyDescent="0.25">
      <c r="B9" s="272"/>
      <c r="C9" s="273"/>
      <c r="D9" s="272"/>
      <c r="E9" s="274"/>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row>
    <row r="10" spans="1:38" s="32" customFormat="1" x14ac:dyDescent="0.25">
      <c r="B10" s="272"/>
      <c r="C10" s="273"/>
      <c r="D10" s="272"/>
      <c r="E10" s="274"/>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row>
    <row r="11" spans="1:38" s="32" customFormat="1" x14ac:dyDescent="0.25">
      <c r="B11" s="272"/>
      <c r="C11" s="273"/>
      <c r="D11" s="272"/>
      <c r="E11" s="274"/>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row>
    <row r="12" spans="1:38" s="32" customFormat="1" x14ac:dyDescent="0.25">
      <c r="B12" s="272"/>
      <c r="C12" s="273"/>
      <c r="D12" s="272"/>
      <c r="E12" s="274"/>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row>
    <row r="13" spans="1:38" s="32" customFormat="1" x14ac:dyDescent="0.25">
      <c r="B13" s="272"/>
      <c r="C13" s="273"/>
      <c r="D13" s="272"/>
      <c r="E13" s="274"/>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7"/>
    </row>
    <row r="14" spans="1:38" s="32" customFormat="1" x14ac:dyDescent="0.25">
      <c r="B14" s="272">
        <v>1.2500000000000001E-2</v>
      </c>
      <c r="C14" s="273">
        <v>46267</v>
      </c>
      <c r="D14" s="272">
        <v>1.3100000000000001E-2</v>
      </c>
      <c r="E14" s="274">
        <v>46203</v>
      </c>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row>
    <row r="15" spans="1:38" s="32" customFormat="1" x14ac:dyDescent="0.25">
      <c r="B15" s="272">
        <v>1.2500000000000001E-2</v>
      </c>
      <c r="C15" s="273">
        <v>46175</v>
      </c>
      <c r="D15" s="272">
        <v>1.3100000000000001E-2</v>
      </c>
      <c r="E15" s="274">
        <v>46112</v>
      </c>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197"/>
      <c r="AG15" s="197"/>
      <c r="AH15" s="197"/>
      <c r="AI15" s="197"/>
      <c r="AJ15" s="197"/>
      <c r="AK15" s="197"/>
      <c r="AL15" s="197"/>
    </row>
    <row r="16" spans="1:38" ht="15" customHeight="1" x14ac:dyDescent="0.25">
      <c r="B16" s="272">
        <v>1.2500000000000001E-2</v>
      </c>
      <c r="C16" s="273">
        <v>46084</v>
      </c>
      <c r="D16" s="272">
        <v>1.32E-2</v>
      </c>
      <c r="E16" s="274">
        <v>46022</v>
      </c>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row>
    <row r="17" spans="2:38" ht="15" customHeight="1" x14ac:dyDescent="0.25">
      <c r="B17" s="272">
        <v>1.2500000000000001E-2</v>
      </c>
      <c r="C17" s="273">
        <v>45993</v>
      </c>
      <c r="D17" s="272">
        <v>1.3299999999999999E-2</v>
      </c>
      <c r="E17" s="274">
        <v>45930</v>
      </c>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row>
    <row r="18" spans="2:38" ht="15" customHeight="1" x14ac:dyDescent="0.25">
      <c r="B18" s="272">
        <v>1.2500000000000001E-2</v>
      </c>
      <c r="C18" s="273">
        <v>45902</v>
      </c>
      <c r="D18" s="272">
        <v>1.37E-2</v>
      </c>
      <c r="E18" s="274">
        <v>45838</v>
      </c>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row>
    <row r="19" spans="2:38" ht="15" customHeight="1" x14ac:dyDescent="0.25">
      <c r="B19" s="272">
        <v>1.4999999999999999E-2</v>
      </c>
      <c r="C19" s="273">
        <v>45811</v>
      </c>
      <c r="D19" s="272">
        <v>1.44E-2</v>
      </c>
      <c r="E19" s="274">
        <v>45747</v>
      </c>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row>
    <row r="20" spans="2:38" ht="15" customHeight="1" x14ac:dyDescent="0.25">
      <c r="B20" s="272">
        <v>1.4999999999999999E-2</v>
      </c>
      <c r="C20" s="273">
        <v>45720</v>
      </c>
      <c r="D20" s="272">
        <v>1.5299999999999999E-2</v>
      </c>
      <c r="E20" s="274">
        <v>45657</v>
      </c>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row>
    <row r="21" spans="2:38" ht="15" customHeight="1" x14ac:dyDescent="0.25">
      <c r="B21" s="272">
        <v>1.7500000000000002E-2</v>
      </c>
      <c r="C21" s="273">
        <v>45629</v>
      </c>
      <c r="D21" s="272">
        <v>1.6299999999999999E-2</v>
      </c>
      <c r="E21" s="274">
        <v>45565</v>
      </c>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row>
    <row r="22" spans="2:38" ht="15" customHeight="1" x14ac:dyDescent="0.25">
      <c r="B22" s="272">
        <v>1.7500000000000002E-2</v>
      </c>
      <c r="C22" s="273">
        <v>45538</v>
      </c>
      <c r="D22" s="272">
        <v>1.67E-2</v>
      </c>
      <c r="E22" s="274">
        <v>45473</v>
      </c>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row>
    <row r="23" spans="2:38" ht="15" customHeight="1" x14ac:dyDescent="0.25">
      <c r="B23" s="272">
        <v>1.7500000000000002E-2</v>
      </c>
      <c r="C23" s="273">
        <v>45447</v>
      </c>
      <c r="D23" s="272">
        <v>1.72E-2</v>
      </c>
      <c r="E23" s="274">
        <v>45382</v>
      </c>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row>
    <row r="24" spans="2:38" ht="15" customHeight="1" x14ac:dyDescent="0.25">
      <c r="B24" s="272">
        <v>1.7500000000000002E-2</v>
      </c>
      <c r="C24" s="273">
        <v>45353</v>
      </c>
      <c r="D24" s="272">
        <v>1.72E-2</v>
      </c>
      <c r="E24" s="274">
        <v>45291</v>
      </c>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row>
    <row r="25" spans="2:38" ht="15" customHeight="1" x14ac:dyDescent="0.25">
      <c r="B25" s="272">
        <v>1.7500000000000002E-2</v>
      </c>
      <c r="C25" s="273">
        <v>45262</v>
      </c>
      <c r="D25" s="272">
        <v>1.6899999999999998E-2</v>
      </c>
      <c r="E25" s="274">
        <v>45199</v>
      </c>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row>
    <row r="26" spans="2:38" ht="15" customHeight="1" x14ac:dyDescent="0.25">
      <c r="B26" s="272">
        <v>1.4999999999999999E-2</v>
      </c>
      <c r="C26" s="273">
        <v>45171</v>
      </c>
      <c r="D26" s="272">
        <v>1.5900000000000001E-2</v>
      </c>
      <c r="E26" s="274">
        <v>45107</v>
      </c>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row>
    <row r="27" spans="2:38" ht="15" customHeight="1" x14ac:dyDescent="0.25">
      <c r="B27" s="272">
        <v>1.4999999999999999E-2</v>
      </c>
      <c r="C27" s="273">
        <v>45079</v>
      </c>
      <c r="D27" s="272">
        <v>1.44E-2</v>
      </c>
      <c r="E27" s="274">
        <v>45016</v>
      </c>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row>
    <row r="28" spans="2:38" ht="15" customHeight="1" x14ac:dyDescent="0.25">
      <c r="B28" s="272">
        <v>1.2500000000000001E-2</v>
      </c>
      <c r="C28" s="273">
        <v>44987</v>
      </c>
      <c r="D28" s="272">
        <v>1.3299999999999999E-2</v>
      </c>
      <c r="E28" s="274">
        <v>44926</v>
      </c>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row>
    <row r="29" spans="2:38" ht="15" customHeight="1" x14ac:dyDescent="0.25">
      <c r="B29" s="272">
        <v>1.2500000000000001E-2</v>
      </c>
      <c r="C29" s="273">
        <v>44897</v>
      </c>
      <c r="D29" s="272">
        <v>1.18E-2</v>
      </c>
      <c r="E29" s="274">
        <v>44834</v>
      </c>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row>
    <row r="30" spans="2:38" ht="15" customHeight="1" x14ac:dyDescent="0.25">
      <c r="B30" s="272">
        <v>1.2500000000000001E-2</v>
      </c>
      <c r="C30" s="273">
        <v>44806</v>
      </c>
      <c r="D30" s="272">
        <v>1.17E-2</v>
      </c>
      <c r="E30" s="274">
        <v>44742</v>
      </c>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row>
    <row r="31" spans="2:38" ht="15" customHeight="1" x14ac:dyDescent="0.25">
      <c r="B31" s="272">
        <v>1.2500000000000001E-2</v>
      </c>
      <c r="C31" s="273">
        <v>44714</v>
      </c>
      <c r="D31" s="272">
        <v>1.18E-2</v>
      </c>
      <c r="E31" s="274">
        <v>44651</v>
      </c>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row>
    <row r="32" spans="2:38" ht="15" customHeight="1" x14ac:dyDescent="0.25">
      <c r="B32" s="272">
        <v>1.2500000000000001E-2</v>
      </c>
      <c r="C32" s="273">
        <v>44622</v>
      </c>
      <c r="D32" s="272">
        <v>1.1900000000000001E-2</v>
      </c>
      <c r="E32" s="274">
        <v>44561</v>
      </c>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row>
    <row r="33" spans="2:38" ht="15" customHeight="1" x14ac:dyDescent="0.25">
      <c r="B33" s="272">
        <v>1.2500000000000001E-2</v>
      </c>
      <c r="C33" s="273">
        <v>44532</v>
      </c>
      <c r="D33" s="272">
        <v>1.21E-2</v>
      </c>
      <c r="E33" s="274">
        <v>44469</v>
      </c>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row>
    <row r="34" spans="2:38" ht="15" customHeight="1" x14ac:dyDescent="0.25">
      <c r="B34" s="272">
        <v>1.2500000000000001E-2</v>
      </c>
      <c r="C34" s="273">
        <v>44441</v>
      </c>
      <c r="D34" s="272">
        <v>1.23E-2</v>
      </c>
      <c r="E34" s="274">
        <v>44377</v>
      </c>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row>
    <row r="35" spans="2:38" ht="15" customHeight="1" x14ac:dyDescent="0.25">
      <c r="B35" s="272">
        <v>1.2500000000000001E-2</v>
      </c>
      <c r="C35" s="273">
        <v>44349</v>
      </c>
      <c r="D35" s="272">
        <v>1.2500000000000001E-2</v>
      </c>
      <c r="E35" s="274">
        <v>44286</v>
      </c>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row>
    <row r="36" spans="2:38" ht="15" customHeight="1" x14ac:dyDescent="0.25">
      <c r="B36" s="272">
        <v>1.2500000000000001E-2</v>
      </c>
      <c r="C36" s="273">
        <v>44257</v>
      </c>
      <c r="D36" s="272">
        <v>1.2800000000000001E-2</v>
      </c>
      <c r="E36" s="274">
        <v>44196</v>
      </c>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row>
    <row r="37" spans="2:38" ht="15" customHeight="1" x14ac:dyDescent="0.25">
      <c r="B37" s="272">
        <v>1.2500000000000001E-2</v>
      </c>
      <c r="C37" s="273">
        <v>44167</v>
      </c>
      <c r="D37" s="272">
        <v>1.2999999999999999E-2</v>
      </c>
      <c r="E37" s="274">
        <v>44104</v>
      </c>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row>
    <row r="38" spans="2:38" ht="15" customHeight="1" x14ac:dyDescent="0.25">
      <c r="B38" s="272">
        <v>1.2500000000000001E-2</v>
      </c>
      <c r="C38" s="273">
        <v>44076</v>
      </c>
      <c r="D38" s="272">
        <v>1.3299999999999999E-2</v>
      </c>
      <c r="E38" s="274">
        <v>44012</v>
      </c>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row>
    <row r="39" spans="2:38" x14ac:dyDescent="0.25">
      <c r="B39" s="275">
        <v>1.2500000000000001E-2</v>
      </c>
      <c r="C39" s="276">
        <v>43985</v>
      </c>
      <c r="D39" s="277">
        <v>1.35E-2</v>
      </c>
      <c r="E39" s="276">
        <v>43921</v>
      </c>
    </row>
    <row r="40" spans="2:38" x14ac:dyDescent="0.25">
      <c r="B40" s="275">
        <v>1.2500000000000001E-2</v>
      </c>
      <c r="C40" s="276">
        <v>43893</v>
      </c>
      <c r="D40" s="277">
        <v>1.37E-2</v>
      </c>
      <c r="E40" s="276">
        <v>43830</v>
      </c>
    </row>
    <row r="41" spans="2:38" x14ac:dyDescent="0.25">
      <c r="B41" s="275">
        <v>1.4999999999999999E-2</v>
      </c>
      <c r="C41" s="276">
        <v>43802</v>
      </c>
      <c r="D41" s="277">
        <v>1.3899999999999999E-2</v>
      </c>
      <c r="E41" s="276">
        <v>43738</v>
      </c>
    </row>
    <row r="42" spans="2:38" x14ac:dyDescent="0.25">
      <c r="B42" s="275">
        <v>1.4999999999999999E-2</v>
      </c>
      <c r="C42" s="276">
        <v>43711</v>
      </c>
      <c r="D42" s="277">
        <v>1.41E-2</v>
      </c>
      <c r="E42" s="276">
        <v>43646</v>
      </c>
    </row>
    <row r="43" spans="2:38" x14ac:dyDescent="0.25">
      <c r="B43" s="275">
        <v>1.4999999999999999E-2</v>
      </c>
      <c r="C43" s="276">
        <v>43620</v>
      </c>
      <c r="D43" s="277">
        <v>1.43E-2</v>
      </c>
      <c r="E43" s="276">
        <v>43555</v>
      </c>
    </row>
    <row r="44" spans="2:38" x14ac:dyDescent="0.25">
      <c r="B44" s="275">
        <v>1.4999999999999999E-2</v>
      </c>
      <c r="C44" s="276">
        <v>43526</v>
      </c>
      <c r="D44" s="277">
        <v>1.4500000000000001E-2</v>
      </c>
      <c r="E44" s="276">
        <v>43465</v>
      </c>
    </row>
    <row r="45" spans="2:38" x14ac:dyDescent="0.25">
      <c r="B45" s="275">
        <v>1.4999999999999999E-2</v>
      </c>
      <c r="C45" s="276">
        <v>43438</v>
      </c>
      <c r="D45" s="277">
        <v>1.47E-2</v>
      </c>
      <c r="E45" s="276">
        <v>43373</v>
      </c>
    </row>
    <row r="46" spans="2:38" x14ac:dyDescent="0.25">
      <c r="B46" s="275">
        <v>1.4999999999999999E-2</v>
      </c>
      <c r="C46" s="276">
        <v>43347</v>
      </c>
      <c r="D46" s="277">
        <v>1.49E-2</v>
      </c>
      <c r="E46" s="276">
        <v>43281</v>
      </c>
    </row>
    <row r="47" spans="2:38" x14ac:dyDescent="0.25">
      <c r="B47" s="275">
        <v>1.4999999999999999E-2</v>
      </c>
      <c r="C47" s="276">
        <v>43253</v>
      </c>
      <c r="D47" s="277">
        <v>1.5100000000000001E-2</v>
      </c>
      <c r="E47" s="276">
        <v>43190</v>
      </c>
    </row>
    <row r="48" spans="2:38" x14ac:dyDescent="0.25">
      <c r="B48" s="275">
        <v>1.4999999999999999E-2</v>
      </c>
      <c r="C48" s="276">
        <v>43161</v>
      </c>
      <c r="D48" s="277">
        <v>1.5299999999999999E-2</v>
      </c>
      <c r="E48" s="276">
        <v>43100</v>
      </c>
    </row>
    <row r="49" spans="2:5" x14ac:dyDescent="0.25">
      <c r="B49" s="275">
        <v>1.4999999999999999E-2</v>
      </c>
      <c r="C49" s="276">
        <v>43071</v>
      </c>
      <c r="D49" s="277">
        <v>1.5599999999999999E-2</v>
      </c>
      <c r="E49" s="276">
        <v>43008</v>
      </c>
    </row>
    <row r="50" spans="2:5" x14ac:dyDescent="0.25">
      <c r="B50" s="275">
        <v>1.4999999999999999E-2</v>
      </c>
      <c r="C50" s="276">
        <v>42980</v>
      </c>
      <c r="D50" s="277">
        <v>1.5800000000000002E-2</v>
      </c>
      <c r="E50" s="276">
        <v>42916</v>
      </c>
    </row>
    <row r="51" spans="2:5" x14ac:dyDescent="0.25">
      <c r="B51" s="275">
        <v>1.4999999999999999E-2</v>
      </c>
      <c r="C51" s="276">
        <v>42888</v>
      </c>
      <c r="D51" s="277">
        <v>1.61E-2</v>
      </c>
      <c r="E51" s="276">
        <v>42825</v>
      </c>
    </row>
    <row r="52" spans="2:5" x14ac:dyDescent="0.25">
      <c r="B52" s="275">
        <v>1.7500000000000002E-2</v>
      </c>
      <c r="C52" s="276">
        <v>42796</v>
      </c>
      <c r="D52" s="277">
        <v>1.6400000000000001E-2</v>
      </c>
      <c r="E52" s="276">
        <v>42735</v>
      </c>
    </row>
    <row r="53" spans="2:5" x14ac:dyDescent="0.25">
      <c r="B53" s="275">
        <v>1.7500000000000002E-2</v>
      </c>
      <c r="C53" s="276">
        <v>42706</v>
      </c>
      <c r="D53" s="277">
        <v>1.67E-2</v>
      </c>
      <c r="E53" s="276">
        <v>42643</v>
      </c>
    </row>
    <row r="54" spans="2:5" x14ac:dyDescent="0.25">
      <c r="B54" s="275">
        <v>1.7500000000000002E-2</v>
      </c>
      <c r="C54" s="276">
        <v>42615</v>
      </c>
      <c r="D54" s="277">
        <v>1.7000000000000001E-2</v>
      </c>
      <c r="E54" s="276">
        <v>42551</v>
      </c>
    </row>
    <row r="55" spans="2:5" x14ac:dyDescent="0.25">
      <c r="B55" s="275">
        <v>1.7500000000000002E-2</v>
      </c>
      <c r="C55" s="276">
        <v>42523</v>
      </c>
      <c r="D55" s="277">
        <v>1.7299999999999999E-2</v>
      </c>
      <c r="E55" s="276">
        <v>42460</v>
      </c>
    </row>
    <row r="56" spans="2:5" x14ac:dyDescent="0.25">
      <c r="B56" s="275">
        <v>1.7500000000000002E-2</v>
      </c>
      <c r="C56" s="276">
        <v>42431</v>
      </c>
      <c r="D56" s="277">
        <v>1.7600000000000001E-2</v>
      </c>
      <c r="E56" s="276">
        <v>42369</v>
      </c>
    </row>
    <row r="57" spans="2:5" x14ac:dyDescent="0.25">
      <c r="B57" s="275">
        <v>1.7500000000000002E-2</v>
      </c>
      <c r="C57" s="276">
        <v>42340</v>
      </c>
      <c r="D57" s="277">
        <v>1.7999999999999999E-2</v>
      </c>
      <c r="E57" s="276">
        <v>42277</v>
      </c>
    </row>
    <row r="58" spans="2:5" x14ac:dyDescent="0.25">
      <c r="B58" s="275">
        <v>1.7500000000000002E-2</v>
      </c>
      <c r="C58" s="276">
        <v>42249</v>
      </c>
      <c r="D58" s="277">
        <v>1.83E-2</v>
      </c>
      <c r="E58" s="276">
        <v>42185</v>
      </c>
    </row>
    <row r="59" spans="2:5" x14ac:dyDescent="0.25">
      <c r="B59" s="275">
        <v>1.7500000000000002E-2</v>
      </c>
      <c r="C59" s="276">
        <v>42157</v>
      </c>
      <c r="D59" s="277">
        <v>1.8599999999999998E-2</v>
      </c>
      <c r="E59" s="276">
        <v>42094</v>
      </c>
    </row>
    <row r="60" spans="2:5" x14ac:dyDescent="0.25">
      <c r="B60" s="275">
        <v>0.02</v>
      </c>
      <c r="C60" s="276">
        <v>42066</v>
      </c>
      <c r="D60" s="277">
        <v>1.89E-2</v>
      </c>
      <c r="E60" s="276">
        <v>42004</v>
      </c>
    </row>
    <row r="61" spans="2:5" x14ac:dyDescent="0.25">
      <c r="B61" s="275">
        <v>0.02</v>
      </c>
      <c r="C61" s="276">
        <v>41975</v>
      </c>
      <c r="D61" s="277">
        <v>1.9199999999999998E-2</v>
      </c>
      <c r="E61" s="276">
        <v>41912</v>
      </c>
    </row>
    <row r="62" spans="2:5" x14ac:dyDescent="0.25">
      <c r="B62" s="275">
        <v>0.02</v>
      </c>
      <c r="C62" s="276">
        <v>41884</v>
      </c>
      <c r="D62" s="277">
        <v>1.95E-2</v>
      </c>
      <c r="E62" s="276">
        <v>41820</v>
      </c>
    </row>
    <row r="63" spans="2:5" x14ac:dyDescent="0.25">
      <c r="B63" s="275">
        <v>0.02</v>
      </c>
      <c r="C63" s="276">
        <v>41793</v>
      </c>
      <c r="D63" s="277">
        <v>1.9800000000000002E-2</v>
      </c>
      <c r="E63" s="276">
        <v>41729</v>
      </c>
    </row>
    <row r="64" spans="2:5" x14ac:dyDescent="0.25">
      <c r="B64" s="275">
        <v>0.02</v>
      </c>
      <c r="C64" s="276">
        <v>41702</v>
      </c>
      <c r="D64" s="277">
        <v>2.0199999999999999E-2</v>
      </c>
      <c r="E64" s="276">
        <v>41639</v>
      </c>
    </row>
    <row r="65" spans="2:5" x14ac:dyDescent="0.25">
      <c r="B65" s="275">
        <v>0.02</v>
      </c>
      <c r="C65" s="276">
        <v>41611</v>
      </c>
      <c r="D65" s="277">
        <v>2.06E-2</v>
      </c>
      <c r="E65" s="276">
        <v>41547</v>
      </c>
    </row>
    <row r="66" spans="2:5" x14ac:dyDescent="0.25">
      <c r="B66" s="275">
        <v>0.02</v>
      </c>
      <c r="C66" s="276">
        <v>41520</v>
      </c>
      <c r="D66" s="277">
        <v>2.0899999999999998E-2</v>
      </c>
      <c r="E66" s="276">
        <v>41455</v>
      </c>
    </row>
    <row r="67" spans="2:5" x14ac:dyDescent="0.25">
      <c r="B67" s="275">
        <v>2.2499999999999999E-2</v>
      </c>
      <c r="C67" s="276">
        <v>41429</v>
      </c>
      <c r="D67" s="277">
        <v>2.1399999999999999E-2</v>
      </c>
      <c r="E67" s="276">
        <v>41364</v>
      </c>
    </row>
    <row r="68" spans="2:5" x14ac:dyDescent="0.25">
      <c r="B68" s="275">
        <v>2.2499999999999999E-2</v>
      </c>
      <c r="C68" s="276">
        <v>41335</v>
      </c>
      <c r="D68" s="277">
        <v>2.1899999999999999E-2</v>
      </c>
      <c r="E68" s="276">
        <v>41274</v>
      </c>
    </row>
    <row r="69" spans="2:5" x14ac:dyDescent="0.25">
      <c r="B69" s="275">
        <v>2.2499999999999999E-2</v>
      </c>
      <c r="C69" s="276">
        <v>41247</v>
      </c>
      <c r="D69" s="277">
        <v>2.2499999999999999E-2</v>
      </c>
      <c r="E69" s="276">
        <v>41182</v>
      </c>
    </row>
    <row r="70" spans="2:5" x14ac:dyDescent="0.25">
      <c r="B70" s="275">
        <v>2.2499999999999999E-2</v>
      </c>
      <c r="C70" s="276">
        <v>41156</v>
      </c>
      <c r="D70" s="277">
        <v>2.3E-2</v>
      </c>
      <c r="E70" s="276">
        <v>41090</v>
      </c>
    </row>
    <row r="71" spans="2:5" x14ac:dyDescent="0.25">
      <c r="B71" s="275">
        <v>2.2499999999999999E-2</v>
      </c>
      <c r="C71" s="276">
        <v>41062</v>
      </c>
      <c r="D71" s="277">
        <v>2.35E-2</v>
      </c>
      <c r="E71" s="276">
        <v>40999</v>
      </c>
    </row>
    <row r="72" spans="2:5" x14ac:dyDescent="0.25">
      <c r="B72" s="275">
        <v>2.5000000000000001E-2</v>
      </c>
      <c r="C72" s="276">
        <v>40970</v>
      </c>
      <c r="D72" s="277">
        <v>2.3900000000000001E-2</v>
      </c>
      <c r="E72" s="276">
        <v>40908</v>
      </c>
    </row>
    <row r="73" spans="2:5" x14ac:dyDescent="0.25">
      <c r="B73" s="275">
        <v>2.5000000000000001E-2</v>
      </c>
      <c r="C73" s="276">
        <v>40879</v>
      </c>
      <c r="D73" s="277">
        <v>2.4500000000000001E-2</v>
      </c>
      <c r="E73" s="276">
        <v>40816</v>
      </c>
    </row>
    <row r="74" spans="2:5" x14ac:dyDescent="0.25">
      <c r="B74" s="275">
        <v>2.75E-2</v>
      </c>
      <c r="C74" s="276">
        <v>40788</v>
      </c>
      <c r="D74" s="277">
        <v>2.5100000000000001E-2</v>
      </c>
      <c r="E74" s="276">
        <v>40724</v>
      </c>
    </row>
    <row r="75" spans="2:5" x14ac:dyDescent="0.25">
      <c r="B75" s="275">
        <v>2.75E-2</v>
      </c>
      <c r="C75" s="276">
        <v>40696</v>
      </c>
      <c r="D75" s="277">
        <v>2.5399999999999999E-2</v>
      </c>
      <c r="E75" s="276">
        <v>40633</v>
      </c>
    </row>
    <row r="76" spans="2:5" x14ac:dyDescent="0.25">
      <c r="B76" s="275">
        <v>2.75E-2</v>
      </c>
      <c r="C76" s="276">
        <v>40604</v>
      </c>
      <c r="D76" s="277">
        <v>2.5899999999999999E-2</v>
      </c>
      <c r="E76" s="276">
        <v>40543</v>
      </c>
    </row>
    <row r="77" spans="2:5" x14ac:dyDescent="0.25">
      <c r="B77" s="275">
        <v>2.75E-2</v>
      </c>
      <c r="C77" s="276">
        <v>40514</v>
      </c>
      <c r="D77" s="277">
        <v>2.6499999999999999E-2</v>
      </c>
      <c r="E77" s="276">
        <v>40451</v>
      </c>
    </row>
    <row r="78" spans="2:5" x14ac:dyDescent="0.25">
      <c r="B78" s="275">
        <v>0.03</v>
      </c>
      <c r="C78" s="276">
        <v>40423</v>
      </c>
      <c r="D78" s="277">
        <v>2.69E-2</v>
      </c>
      <c r="E78" s="276">
        <v>40359</v>
      </c>
    </row>
    <row r="79" spans="2:5" x14ac:dyDescent="0.25">
      <c r="B79" s="275">
        <v>0.03</v>
      </c>
      <c r="C79" s="276">
        <v>40331</v>
      </c>
      <c r="D79" s="277">
        <v>2.75E-2</v>
      </c>
      <c r="E79" s="276">
        <v>40268</v>
      </c>
    </row>
    <row r="80" spans="2:5" x14ac:dyDescent="0.25">
      <c r="B80" s="275">
        <v>0.03</v>
      </c>
      <c r="C80" s="276">
        <v>40239</v>
      </c>
      <c r="D80" s="277">
        <v>2.8000000000000001E-2</v>
      </c>
      <c r="E80" s="276">
        <v>40178</v>
      </c>
    </row>
    <row r="81" spans="2:5" x14ac:dyDescent="0.25">
      <c r="B81" s="275">
        <v>0.03</v>
      </c>
      <c r="C81" s="276">
        <v>40149</v>
      </c>
      <c r="D81" s="277">
        <v>2.86E-2</v>
      </c>
      <c r="E81" s="276">
        <v>40086</v>
      </c>
    </row>
    <row r="82" spans="2:5" x14ac:dyDescent="0.25">
      <c r="B82" s="275">
        <v>0.03</v>
      </c>
      <c r="C82" s="276">
        <v>40058</v>
      </c>
      <c r="D82" s="277">
        <v>2.93E-2</v>
      </c>
      <c r="E82" s="276">
        <v>39994</v>
      </c>
    </row>
    <row r="83" spans="2:5" x14ac:dyDescent="0.25">
      <c r="B83" s="275">
        <v>3.2500000000000001E-2</v>
      </c>
      <c r="C83" s="276">
        <v>39967</v>
      </c>
      <c r="D83" s="277">
        <v>3.0700000000000002E-2</v>
      </c>
      <c r="E83" s="276">
        <v>39903</v>
      </c>
    </row>
    <row r="84" spans="2:5" x14ac:dyDescent="0.25">
      <c r="B84" s="275">
        <v>3.5000000000000003E-2</v>
      </c>
      <c r="C84" s="276">
        <v>39875</v>
      </c>
      <c r="D84" s="277">
        <v>3.3300000000000003E-2</v>
      </c>
      <c r="E84" s="276">
        <v>39813</v>
      </c>
    </row>
    <row r="85" spans="2:5" x14ac:dyDescent="0.25">
      <c r="B85" s="275">
        <v>3.5000000000000003E-2</v>
      </c>
      <c r="C85" s="276">
        <v>39784</v>
      </c>
      <c r="D85" s="277">
        <v>3.4500000000000003E-2</v>
      </c>
      <c r="E85" s="276">
        <v>39721</v>
      </c>
    </row>
    <row r="86" spans="2:5" x14ac:dyDescent="0.25">
      <c r="B86" s="275">
        <v>3.5000000000000003E-2</v>
      </c>
      <c r="C86" s="276">
        <v>39701</v>
      </c>
      <c r="D86" s="277">
        <v>3.4299999999999997E-2</v>
      </c>
      <c r="E86" s="276">
        <v>39629</v>
      </c>
    </row>
  </sheetData>
  <sheetProtection algorithmName="SHA-512" hashValue="qv48Q8hIGMKM4EzaO/xjdOhc6GckILDUHb+DB97Bad4Zw6FmbEORudGZzYrZUgAMiBibn9gyZdux1/BvmZ3E2w==" saltValue="77O+zZFjamaUhphvl0ggxg==" spinCount="100000" sheet="1"/>
  <conditionalFormatting sqref="B6:B16">
    <cfRule type="cellIs" dxfId="2" priority="4" operator="equal">
      <formula>0</formula>
    </cfRule>
  </conditionalFormatting>
  <conditionalFormatting sqref="B16:D38">
    <cfRule type="cellIs" dxfId="1" priority="5" operator="equal">
      <formula>0</formula>
    </cfRule>
  </conditionalFormatting>
  <conditionalFormatting sqref="C6:D15">
    <cfRule type="cellIs" dxfId="0" priority="1" operator="equal">
      <formula>0</formula>
    </cfRule>
  </conditionalFormatting>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
  <dimension ref="A1:E31"/>
  <sheetViews>
    <sheetView workbookViewId="0">
      <selection activeCell="F15" sqref="F15"/>
    </sheetView>
  </sheetViews>
  <sheetFormatPr baseColWidth="10" defaultColWidth="10.7109375" defaultRowHeight="15" x14ac:dyDescent="0.25"/>
  <cols>
    <col min="4" max="4" width="57.7109375" customWidth="1"/>
  </cols>
  <sheetData>
    <row r="1" spans="1:5" ht="18.75" x14ac:dyDescent="0.3">
      <c r="A1" s="140" t="s">
        <v>369</v>
      </c>
    </row>
    <row r="2" spans="1:5" x14ac:dyDescent="0.25">
      <c r="D2" s="141" t="s">
        <v>376</v>
      </c>
      <c r="E2" s="142" t="s">
        <v>578</v>
      </c>
    </row>
    <row r="3" spans="1:5" x14ac:dyDescent="0.25">
      <c r="A3" t="s">
        <v>377</v>
      </c>
      <c r="C3" s="136">
        <v>46295</v>
      </c>
      <c r="D3" s="141" t="s">
        <v>375</v>
      </c>
      <c r="E3" s="143">
        <v>46387</v>
      </c>
    </row>
    <row r="4" spans="1:5" ht="15.75" thickBot="1" x14ac:dyDescent="0.3"/>
    <row r="5" spans="1:5" ht="15.75" thickBot="1" x14ac:dyDescent="0.3">
      <c r="A5" s="137" t="s">
        <v>370</v>
      </c>
      <c r="B5" s="138" t="s">
        <v>372</v>
      </c>
      <c r="C5" s="138" t="s">
        <v>371</v>
      </c>
      <c r="D5" s="138" t="s">
        <v>373</v>
      </c>
      <c r="E5" s="139" t="s">
        <v>374</v>
      </c>
    </row>
    <row r="6" spans="1:5" x14ac:dyDescent="0.25">
      <c r="A6" s="149">
        <v>46113</v>
      </c>
      <c r="B6" s="150"/>
      <c r="C6" s="150" t="s">
        <v>576</v>
      </c>
      <c r="D6" s="150" t="s">
        <v>577</v>
      </c>
      <c r="E6" s="151"/>
    </row>
    <row r="7" spans="1:5" x14ac:dyDescent="0.25">
      <c r="A7" s="144">
        <v>30</v>
      </c>
      <c r="B7" s="145" t="s">
        <v>575</v>
      </c>
      <c r="C7" s="145" t="s">
        <v>576</v>
      </c>
      <c r="D7" s="145" t="s">
        <v>620</v>
      </c>
      <c r="E7" s="146">
        <v>46387</v>
      </c>
    </row>
    <row r="8" spans="1:5" x14ac:dyDescent="0.25">
      <c r="A8" s="144"/>
      <c r="B8" s="145"/>
      <c r="C8" s="145"/>
      <c r="D8" s="145"/>
      <c r="E8" s="146"/>
    </row>
    <row r="9" spans="1:5" x14ac:dyDescent="0.25">
      <c r="A9" s="144"/>
      <c r="B9" s="145"/>
      <c r="C9" s="145"/>
      <c r="D9" s="145"/>
      <c r="E9" s="146"/>
    </row>
    <row r="10" spans="1:5" x14ac:dyDescent="0.25">
      <c r="A10" s="144"/>
      <c r="B10" s="145"/>
      <c r="C10" s="145"/>
      <c r="D10" s="145"/>
      <c r="E10" s="146"/>
    </row>
    <row r="11" spans="1:5" x14ac:dyDescent="0.25">
      <c r="A11" s="144"/>
      <c r="B11" s="145"/>
      <c r="C11" s="145"/>
      <c r="D11" s="145"/>
      <c r="E11" s="146"/>
    </row>
    <row r="12" spans="1:5" x14ac:dyDescent="0.25">
      <c r="A12" s="144"/>
      <c r="B12" s="145"/>
      <c r="C12" s="145"/>
      <c r="D12" s="145"/>
      <c r="E12" s="146"/>
    </row>
    <row r="13" spans="1:5" x14ac:dyDescent="0.25">
      <c r="A13" s="144"/>
      <c r="B13" s="145"/>
      <c r="C13" s="145"/>
      <c r="D13" s="145"/>
      <c r="E13" s="146"/>
    </row>
    <row r="14" spans="1:5" x14ac:dyDescent="0.25">
      <c r="A14" s="144"/>
      <c r="B14" s="145"/>
      <c r="C14" s="145"/>
      <c r="D14" s="145"/>
      <c r="E14" s="146"/>
    </row>
    <row r="15" spans="1:5" x14ac:dyDescent="0.25">
      <c r="A15" s="144"/>
      <c r="B15" s="145"/>
      <c r="C15" s="145"/>
      <c r="D15" s="145"/>
      <c r="E15" s="146"/>
    </row>
    <row r="16" spans="1:5" x14ac:dyDescent="0.25">
      <c r="A16" s="144"/>
      <c r="B16" s="145"/>
      <c r="C16" s="145"/>
      <c r="D16" s="145"/>
      <c r="E16" s="146"/>
    </row>
    <row r="17" spans="1:5" x14ac:dyDescent="0.25">
      <c r="A17" s="144"/>
      <c r="B17" s="145"/>
      <c r="C17" s="145"/>
      <c r="D17" s="145"/>
      <c r="E17" s="146"/>
    </row>
    <row r="18" spans="1:5" x14ac:dyDescent="0.25">
      <c r="A18" s="144"/>
      <c r="B18" s="145"/>
      <c r="C18" s="145"/>
      <c r="D18" s="145"/>
      <c r="E18" s="146"/>
    </row>
    <row r="19" spans="1:5" x14ac:dyDescent="0.25">
      <c r="A19" s="144"/>
      <c r="B19" s="145"/>
      <c r="C19" s="145"/>
      <c r="D19" s="145"/>
      <c r="E19" s="146"/>
    </row>
    <row r="20" spans="1:5" x14ac:dyDescent="0.25">
      <c r="A20" s="144"/>
      <c r="B20" s="145"/>
      <c r="C20" s="145"/>
      <c r="D20" s="145"/>
      <c r="E20" s="146"/>
    </row>
    <row r="21" spans="1:5" x14ac:dyDescent="0.25">
      <c r="A21" s="144"/>
      <c r="B21" s="145"/>
      <c r="C21" s="145"/>
      <c r="D21" s="145"/>
      <c r="E21" s="146"/>
    </row>
    <row r="22" spans="1:5" x14ac:dyDescent="0.25">
      <c r="A22" s="144"/>
      <c r="B22" s="145"/>
      <c r="C22" s="145"/>
      <c r="D22" s="145"/>
      <c r="E22" s="146"/>
    </row>
    <row r="23" spans="1:5" x14ac:dyDescent="0.25">
      <c r="A23" s="144"/>
      <c r="B23" s="145"/>
      <c r="C23" s="145"/>
      <c r="D23" s="145"/>
      <c r="E23" s="146"/>
    </row>
    <row r="24" spans="1:5" x14ac:dyDescent="0.25">
      <c r="A24" s="144"/>
      <c r="B24" s="145"/>
      <c r="C24" s="145"/>
      <c r="D24" s="145"/>
      <c r="E24" s="146"/>
    </row>
    <row r="25" spans="1:5" x14ac:dyDescent="0.25">
      <c r="A25" s="144"/>
      <c r="B25" s="145"/>
      <c r="C25" s="145"/>
      <c r="D25" s="145"/>
      <c r="E25" s="146"/>
    </row>
    <row r="26" spans="1:5" x14ac:dyDescent="0.25">
      <c r="A26" s="144"/>
      <c r="B26" s="145"/>
      <c r="C26" s="145"/>
      <c r="D26" s="145"/>
      <c r="E26" s="146"/>
    </row>
    <row r="27" spans="1:5" x14ac:dyDescent="0.25">
      <c r="A27" s="144"/>
      <c r="B27" s="145"/>
      <c r="C27" s="145"/>
      <c r="D27" s="145"/>
      <c r="E27" s="146"/>
    </row>
    <row r="28" spans="1:5" x14ac:dyDescent="0.25">
      <c r="A28" s="144"/>
      <c r="B28" s="145"/>
      <c r="C28" s="145"/>
      <c r="D28" s="145"/>
      <c r="E28" s="146"/>
    </row>
    <row r="29" spans="1:5" x14ac:dyDescent="0.25">
      <c r="A29" s="144"/>
      <c r="B29" s="145"/>
      <c r="C29" s="145"/>
      <c r="D29" s="145"/>
      <c r="E29" s="146"/>
    </row>
    <row r="30" spans="1:5" x14ac:dyDescent="0.25">
      <c r="A30" s="144"/>
      <c r="B30" s="145"/>
      <c r="C30" s="145"/>
      <c r="D30" s="145"/>
      <c r="E30" s="146"/>
    </row>
    <row r="31" spans="1:5" x14ac:dyDescent="0.25">
      <c r="A31" s="144"/>
      <c r="B31" s="145"/>
      <c r="C31" s="145"/>
      <c r="D31" s="145"/>
      <c r="E31" s="146"/>
    </row>
  </sheetData>
  <sheetProtection selectLockedCells="1" selectUnlockedCells="1"/>
  <phoneticPr fontId="5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49</vt:i4>
      </vt:variant>
    </vt:vector>
  </HeadingPairs>
  <TitlesOfParts>
    <vt:vector size="61" baseType="lpstr">
      <vt:lpstr>Berechnung</vt:lpstr>
      <vt:lpstr>Bild_Heizkosten</vt:lpstr>
      <vt:lpstr>GWR</vt:lpstr>
      <vt:lpstr>Berechnungsgrundlagen</vt:lpstr>
      <vt:lpstr>Quellen</vt:lpstr>
      <vt:lpstr>2.1 Nutzungsgrad</vt:lpstr>
      <vt:lpstr>2.3 Energiepreise</vt:lpstr>
      <vt:lpstr>3.1-4.1 Investitionskosten</vt:lpstr>
      <vt:lpstr>3.5 Förderbeitrag (Kanton)</vt:lpstr>
      <vt:lpstr>5.1 Raumbedarf</vt:lpstr>
      <vt:lpstr>7.2 Kalkulationszinssatz</vt:lpstr>
      <vt:lpstr>Log-Journal</vt:lpstr>
      <vt:lpstr>Alternativen1_ref</vt:lpstr>
      <vt:lpstr>Alternativen2_ref</vt:lpstr>
      <vt:lpstr>Bauvorhaben_ref</vt:lpstr>
      <vt:lpstr>Betriebszeit</vt:lpstr>
      <vt:lpstr>Berechnung!Druckbereich</vt:lpstr>
      <vt:lpstr>EBF</vt:lpstr>
      <vt:lpstr>Energiepreise_ref</vt:lpstr>
      <vt:lpstr>Faktor</vt:lpstr>
      <vt:lpstr>Fernwärme</vt:lpstr>
      <vt:lpstr>Fernwärme_Invest_ref</vt:lpstr>
      <vt:lpstr>Förderbeiträge</vt:lpstr>
      <vt:lpstr>Gasheizung_Invest_ref</vt:lpstr>
      <vt:lpstr>Gebäudekategorie_ref</vt:lpstr>
      <vt:lpstr>Heizgradtage</vt:lpstr>
      <vt:lpstr>Heizleistungsbedarf</vt:lpstr>
      <vt:lpstr>Heizwerk</vt:lpstr>
      <vt:lpstr>Investition_ref</vt:lpstr>
      <vt:lpstr>MWST</vt:lpstr>
      <vt:lpstr>NEB</vt:lpstr>
      <vt:lpstr>NEB_manuell</vt:lpstr>
      <vt:lpstr>Nutzungsgrad_max</vt:lpstr>
      <vt:lpstr>Nutzungsgrad_ref</vt:lpstr>
      <vt:lpstr>Nutzungsgrad_Tabelle</vt:lpstr>
      <vt:lpstr>Oelheizung_Invest_ref</vt:lpstr>
      <vt:lpstr>Pellets_Invest_ref</vt:lpstr>
      <vt:lpstr>Preis_Fernwärme_ref</vt:lpstr>
      <vt:lpstr>Raumbedarf_ref</vt:lpstr>
      <vt:lpstr>Schnitzel_Invest_ref</vt:lpstr>
      <vt:lpstr>Spez_Raumkosten</vt:lpstr>
      <vt:lpstr>Strompreis_ref</vt:lpstr>
      <vt:lpstr>Stromverbrauch_ref</vt:lpstr>
      <vt:lpstr>Stückholz_Invest_ref</vt:lpstr>
      <vt:lpstr>System_1</vt:lpstr>
      <vt:lpstr>System_1b</vt:lpstr>
      <vt:lpstr>System_2</vt:lpstr>
      <vt:lpstr>System_3</vt:lpstr>
      <vt:lpstr>System_4</vt:lpstr>
      <vt:lpstr>Ta</vt:lpstr>
      <vt:lpstr>Ti</vt:lpstr>
      <vt:lpstr>Warmwasserbedarf</vt:lpstr>
      <vt:lpstr>Warmwasserbedarf_ref</vt:lpstr>
      <vt:lpstr>Wartung_Unterhalt_ref</vt:lpstr>
      <vt:lpstr>WP_Luft_Liste</vt:lpstr>
      <vt:lpstr>WPAbsropt_Invest_ref</vt:lpstr>
      <vt:lpstr>WPLuft_Invest_ref</vt:lpstr>
      <vt:lpstr>WPLufti_Invest_ref</vt:lpstr>
      <vt:lpstr>WPSonde_Invest_ref</vt:lpstr>
      <vt:lpstr>WPWasser_Invest_ref</vt:lpstr>
      <vt:lpstr>WPZeolyth_Invest_ref</vt:lpstr>
    </vt:vector>
  </TitlesOfParts>
  <Company>Kanton Zürich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Füzér Linda</dc:creator>
  <cp:lastModifiedBy>Imholz Martin</cp:lastModifiedBy>
  <cp:lastPrinted>2022-04-25T14:19:09Z</cp:lastPrinted>
  <dcterms:created xsi:type="dcterms:W3CDTF">2020-06-11T08:44:54Z</dcterms:created>
  <dcterms:modified xsi:type="dcterms:W3CDTF">2026-09-30T14:52:16Z</dcterms:modified>
</cp:coreProperties>
</file>