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DieseArbeitsmappe"/>
  <mc:AlternateContent xmlns:mc="http://schemas.openxmlformats.org/markup-compatibility/2006">
    <mc:Choice Requires="x15">
      <x15ac:absPath xmlns:x15ac="http://schemas.microsoft.com/office/spreadsheetml/2010/11/ac" url="L:\Auftrag\OKW\22'997 Kantone\01 Kanton Luzern\2023\001 EN-Checkliste\02 Checklisten-Versionen\"/>
    </mc:Choice>
  </mc:AlternateContent>
  <xr:revisionPtr revIDLastSave="0" documentId="13_ncr:1_{98E6DCAB-5D4B-4D28-AE85-B4DB3338A9BF}" xr6:coauthVersionLast="47" xr6:coauthVersionMax="47" xr10:uidLastSave="{00000000-0000-0000-0000-000000000000}"/>
  <workbookProtection workbookAlgorithmName="SHA-512" workbookHashValue="TOirNA434B7V5SP90Wfnk8aXMxMrScLmGgAUhE/NYI3yzdvWpQQmmLnPW0DfOWZI0T7UYxyLNn1QINhQHs1fRg==" workbookSaltValue="4K2X5yeyqPDujiKPVm0fHg==" workbookSpinCount="100000" lockStructure="1"/>
  <bookViews>
    <workbookView xWindow="-120" yWindow="-120" windowWidth="29040" windowHeight="17520" tabRatio="940" firstSheet="1" activeTab="3" xr2:uid="{00000000-000D-0000-FFFF-FFFF00000000}"/>
  </bookViews>
  <sheets>
    <sheet name="Anpassungshistorie" sheetId="40" state="hidden" r:id="rId1"/>
    <sheet name="Erläuterungen" sheetId="32" r:id="rId2"/>
    <sheet name="Begleitschreiben" sheetId="33" r:id="rId3"/>
    <sheet name="EN-Kt." sheetId="2" r:id="rId4"/>
    <sheet name="EN-101a" sheetId="3" r:id="rId5"/>
    <sheet name="EN-101b" sheetId="4" r:id="rId6"/>
    <sheet name="EN-101c" sheetId="36" r:id="rId7"/>
    <sheet name="EN-102a Neubau" sheetId="1" r:id="rId8"/>
    <sheet name="EN-102a Umbau" sheetId="10" r:id="rId9"/>
    <sheet name="EN-102b" sheetId="5" r:id="rId10"/>
    <sheet name="EN-103" sheetId="6" r:id="rId11"/>
    <sheet name="EN-104" sheetId="8" r:id="rId12"/>
    <sheet name="EN-204-LU" sheetId="39" r:id="rId13"/>
    <sheet name="EN-105" sheetId="9" r:id="rId14"/>
    <sheet name="EN-110" sheetId="14" r:id="rId15"/>
    <sheet name="EN-111" sheetId="15" r:id="rId16"/>
    <sheet name="EN-112" sheetId="16" r:id="rId17"/>
    <sheet name="EN-120 " sheetId="12" r:id="rId18"/>
    <sheet name="EN-120-ZG" sheetId="38" r:id="rId19"/>
    <sheet name="EN-130" sheetId="17" r:id="rId20"/>
    <sheet name="EN-131" sheetId="18" r:id="rId21"/>
    <sheet name="EN-132" sheetId="19" r:id="rId22"/>
    <sheet name="EN-133" sheetId="20" r:id="rId23"/>
    <sheet name="EN-134" sheetId="21" r:id="rId24"/>
    <sheet name="EN-135" sheetId="22" r:id="rId25"/>
    <sheet name="BA" sheetId="27" r:id="rId26"/>
    <sheet name="Hilfsdokumentation" sheetId="35" r:id="rId27"/>
  </sheets>
  <definedNames>
    <definedName name="Anlagetyp">'EN-105'!$C$47</definedName>
    <definedName name="Auflagen">Begleitschreiben!#REF!</definedName>
    <definedName name="Auflagen_101a">'EN-101a'!$B$64</definedName>
    <definedName name="Auflagen_101b">'EN-101b'!$B$161</definedName>
    <definedName name="Auflagen_101c">'EN-101c'!$B$116</definedName>
    <definedName name="Auflagen_102aN">'EN-102a Neubau'!$B$150</definedName>
    <definedName name="Auflagen_102aU">'EN-102a Umbau'!$B$143</definedName>
    <definedName name="Auflagen_102b">'EN-102b'!$B$266</definedName>
    <definedName name="Auflagen_103">'EN-103'!$B$130</definedName>
    <definedName name="Auflagen_104">'EN-104'!$B$89</definedName>
    <definedName name="Auflagen_105">'EN-105'!$B$212</definedName>
    <definedName name="Auflagen_110" localSheetId="12">'EN-204-LU'!$B$64</definedName>
    <definedName name="Auflagen_110">'EN-110'!$B$54</definedName>
    <definedName name="Auflagen_111">'EN-111'!$B$54</definedName>
    <definedName name="Auflagen_112">'EN-112'!$B$54</definedName>
    <definedName name="Auflagen_120">'EN-120 '!$B$128</definedName>
    <definedName name="Auflagen_120_ZG" localSheetId="18">'EN-120-ZG'!$B$88</definedName>
    <definedName name="Auflagen_130">'EN-130'!$B$50</definedName>
    <definedName name="Auflagen_131">'EN-131'!$B$50</definedName>
    <definedName name="Auflagen_132">'EN-132'!$B$50</definedName>
    <definedName name="Auflagen_133">'EN-133'!$B$50</definedName>
    <definedName name="Auflagen_134">'EN-134'!$B$50</definedName>
    <definedName name="Auflagen_135">'EN-135'!$B$50</definedName>
    <definedName name="Auflagen_BA">BA!$B$54</definedName>
    <definedName name="Bauvorhaben">'EN-Kt.'!$F$7</definedName>
    <definedName name="Beilagen_103">'EN-103'!$D$134</definedName>
    <definedName name="Bem_101a">'EN-101a'!$D$66</definedName>
    <definedName name="Bem_101b">'EN-101b'!$D$163</definedName>
    <definedName name="Bem_101c">'EN-101c'!$D$118</definedName>
    <definedName name="Bem_102aN">'EN-102a Neubau'!$D$152</definedName>
    <definedName name="Bem_102aU">'EN-102a Umbau'!$D$145</definedName>
    <definedName name="Bem_102b">'EN-102b'!$D$268</definedName>
    <definedName name="Bem_103">'EN-103'!$D$132</definedName>
    <definedName name="Bem_104">'EN-104'!$D$91</definedName>
    <definedName name="Bem_105">'EN-105'!$D$214</definedName>
    <definedName name="Bem_110">'EN-110'!$D$56</definedName>
    <definedName name="Bem_111">'EN-111'!$D$56</definedName>
    <definedName name="Bem_112">'EN-112'!$D$56</definedName>
    <definedName name="Bem_120">'EN-120 '!$D$130</definedName>
    <definedName name="Bem_120_ZG" localSheetId="18">'EN-120-ZG'!$D$90</definedName>
    <definedName name="Bem_130">'EN-130'!$D$52</definedName>
    <definedName name="Bem_131">'EN-131'!$D$52</definedName>
    <definedName name="Bem_132">'EN-132'!$D$52</definedName>
    <definedName name="Bem_133">'EN-133'!$D$52</definedName>
    <definedName name="Bem_134">'EN-134'!$D$52</definedName>
    <definedName name="Bem_135" localSheetId="2">Begleitschreiben!#REF!</definedName>
    <definedName name="Bem_135" localSheetId="1">Erläuterungen!$D$61</definedName>
    <definedName name="Bem_135">'EN-135'!$D$52</definedName>
    <definedName name="Bem_204_LU" localSheetId="12">'EN-204-LU'!$D$66</definedName>
    <definedName name="Bem_BA">BA!$D$56</definedName>
    <definedName name="Bem102aN">'EN-102a Neubau'!$D$152</definedName>
    <definedName name="Bem102b">'EN-102b'!$D$268</definedName>
    <definedName name="Datum">'EN-Kt.'!$E$113</definedName>
    <definedName name="_xlnm.Print_Area" localSheetId="25">BA!$A$1:$N$65</definedName>
    <definedName name="_xlnm.Print_Area" localSheetId="2">Begleitschreiben!$A$2:$R$62</definedName>
    <definedName name="_xlnm.Print_Area" localSheetId="4">'EN-101a'!$A$1:$N$75</definedName>
    <definedName name="_xlnm.Print_Area" localSheetId="5">'EN-101b'!$A$1:$N$172</definedName>
    <definedName name="_xlnm.Print_Area" localSheetId="6">'EN-101c'!$A$1:$N$127</definedName>
    <definedName name="_xlnm.Print_Area" localSheetId="7">'EN-102a Neubau'!$A$1:$P$161</definedName>
    <definedName name="_xlnm.Print_Area" localSheetId="8">'EN-102a Umbau'!$A$1:$P$154</definedName>
    <definedName name="_xlnm.Print_Area" localSheetId="9">'EN-102b'!$A$1:$N$277</definedName>
    <definedName name="_xlnm.Print_Area" localSheetId="10">'EN-103'!$A$1:$N$141</definedName>
    <definedName name="_xlnm.Print_Area" localSheetId="11">'EN-104'!$A$1:$N$100</definedName>
    <definedName name="_xlnm.Print_Area" localSheetId="13">'EN-105'!$A$1:$N$223</definedName>
    <definedName name="_xlnm.Print_Area" localSheetId="14">'EN-110'!$A$1:$N$65</definedName>
    <definedName name="_xlnm.Print_Area" localSheetId="15">'EN-111'!$A$1:$N$65</definedName>
    <definedName name="_xlnm.Print_Area" localSheetId="16">'EN-112'!$A$1:$N$65</definedName>
    <definedName name="_xlnm.Print_Area" localSheetId="17">'EN-120 '!$A$1:$P$139</definedName>
    <definedName name="_xlnm.Print_Area" localSheetId="18">'EN-120-ZG'!$A$1:$P$99</definedName>
    <definedName name="_xlnm.Print_Area" localSheetId="19">'EN-130'!$A$1:$N$61</definedName>
    <definedName name="_xlnm.Print_Area" localSheetId="20">'EN-131'!$A$1:$N$61</definedName>
    <definedName name="_xlnm.Print_Area" localSheetId="21">'EN-132'!$A$1:$N$61</definedName>
    <definedName name="_xlnm.Print_Area" localSheetId="22">'EN-133'!$A$1:$N$61</definedName>
    <definedName name="_xlnm.Print_Area" localSheetId="23">'EN-134'!$A$1:$N$61</definedName>
    <definedName name="_xlnm.Print_Area" localSheetId="24">'EN-135'!$A$1:$N$61</definedName>
    <definedName name="_xlnm.Print_Area" localSheetId="12">'EN-204-LU'!$A$1:$N$75</definedName>
    <definedName name="_xlnm.Print_Area" localSheetId="3">'EN-Kt.'!$A$1:$X$181</definedName>
    <definedName name="_xlnm.Print_Area" localSheetId="1">Erläuterungen!$A$1:$R$41</definedName>
    <definedName name="EBF_NeuOVol">'EN-101a'!$D$26</definedName>
    <definedName name="EBF_NeuVol">'EN-101a'!$D$28</definedName>
    <definedName name="Ergebnis_103">'EN-103'!$D$136</definedName>
    <definedName name="Ergebnis_104">'EN-104'!$D$95</definedName>
    <definedName name="Ergebnis_110">'EN-110'!$D$60</definedName>
    <definedName name="Ergebnis_111">'EN-111'!$D$60</definedName>
    <definedName name="Ergebnis_112">'EN-112'!$D$60</definedName>
    <definedName name="Ergebnis_120">'EN-120 '!$D$134</definedName>
    <definedName name="Ergebnis_120_ZG" localSheetId="18">'EN-120-ZG'!$D$94</definedName>
    <definedName name="Ergebnis_130">'EN-130'!$D$56</definedName>
    <definedName name="Ergebnis_131">'EN-131'!$D$56</definedName>
    <definedName name="Ergebnis_132">'EN-132'!$D$56</definedName>
    <definedName name="Ergebnis_133">'EN-133'!$D$56</definedName>
    <definedName name="Ergebnis_134">'EN-134'!$D$56</definedName>
    <definedName name="Ergebnis_135" localSheetId="2">Begleitschreiben!#REF!</definedName>
    <definedName name="Ergebnis_135" localSheetId="1">Erläuterungen!$D$65</definedName>
    <definedName name="Ergebnis_135">'EN-135'!$D$56</definedName>
    <definedName name="Ergebnis_204_LU" localSheetId="12">'EN-204-LU'!$D$70</definedName>
    <definedName name="Ergebnis_BA">BA!$D$60</definedName>
    <definedName name="Ergebnis_EN101c">'EN-101c'!$D$122</definedName>
    <definedName name="Ergebnistext1">Begleitschreiben!#REF!</definedName>
    <definedName name="Ergebnistext2">Begleitschreiben!#REF!</definedName>
    <definedName name="Ergebnistext3">Begleitschreiben!#REF!</definedName>
    <definedName name="Ergebnistext4">Begleitschreiben!#REF!</definedName>
    <definedName name="Erzeugung" localSheetId="25">#REF!</definedName>
    <definedName name="Erzeugung" localSheetId="2">#REF!</definedName>
    <definedName name="Erzeugung" localSheetId="1">#REF!</definedName>
    <definedName name="Erzeugung">#REF!</definedName>
    <definedName name="Fehlend_BA">BA!$L$48</definedName>
    <definedName name="Fehlend_EN103">'EN-103'!$F$134</definedName>
    <definedName name="Fehlend_EN105">'EN-105'!$F$216</definedName>
    <definedName name="Fehlend_EN110">'EN-110'!$F$58</definedName>
    <definedName name="Fehlend_EN111">'EN-111'!$F$58</definedName>
    <definedName name="Fehlend_EN112">'EN-112'!$F$58</definedName>
    <definedName name="Fehlend_EN130">'EN-130'!$F$54</definedName>
    <definedName name="Fehlend_EN131">'EN-131'!$F$54</definedName>
    <definedName name="Fehlend_EN132">'EN-132'!$F$54</definedName>
    <definedName name="Fehlend_EN133">'EN-133'!$L$44</definedName>
    <definedName name="Fehlend_EN134">'EN-134'!$L$44</definedName>
    <definedName name="Fehlend_EN135">'EN-135'!$L$44</definedName>
    <definedName name="Fehlend_EN204_LU" localSheetId="12">'EN-204-LU'!$F$68</definedName>
    <definedName name="Fehlend_EN204_LU">'EN-204-LU'!$F$68</definedName>
    <definedName name="Freigabe_101a">'EN-101a'!$F$70</definedName>
    <definedName name="Freigabe_101b">'EN-101b'!$F$167</definedName>
    <definedName name="Freigabe_101c" localSheetId="6">'EN-101c'!$F$122</definedName>
    <definedName name="Freigabe_101c">'EN-101c'!$F$122</definedName>
    <definedName name="Freigabe_102aN">'EN-102a Neubau'!$H$156</definedName>
    <definedName name="Freigabe_102aU">'EN-102a Umbau'!$H$149</definedName>
    <definedName name="Freigabe_102b">'EN-102b'!$F$272</definedName>
    <definedName name="Freigabe_103">'EN-103'!$F$136</definedName>
    <definedName name="Freigabe_104">'EN-104'!$F$95</definedName>
    <definedName name="Freigabe_105">'EN-105'!$F$218</definedName>
    <definedName name="Freigabe_110">'EN-110'!$F$60</definedName>
    <definedName name="Freigabe_111">'EN-111'!$F$60</definedName>
    <definedName name="Freigabe_112">'EN-112'!$F$60</definedName>
    <definedName name="Freigabe_120">'EN-120 '!$H$134</definedName>
    <definedName name="Freigabe_120_ZG" localSheetId="18">'EN-120-ZG'!$H$94</definedName>
    <definedName name="Freigabe_130">'EN-130'!$F$56</definedName>
    <definedName name="Freigabe_131">'EN-131'!$F$56</definedName>
    <definedName name="Freigabe_132">'EN-132'!$F$56</definedName>
    <definedName name="Freigabe_133">'EN-133'!$F$56</definedName>
    <definedName name="Freigabe_134">'EN-134'!$F$56</definedName>
    <definedName name="Freigabe_135" localSheetId="2">Begleitschreiben!#REF!</definedName>
    <definedName name="Freigabe_135" localSheetId="1">Erläuterungen!$F$65</definedName>
    <definedName name="Freigabe_135">'EN-135'!$F$56</definedName>
    <definedName name="Freigabe_204_LU" localSheetId="12">'EN-204-LU'!$F$70</definedName>
    <definedName name="Freigabe_BA">BA!$F$60</definedName>
    <definedName name="GEAK_ZertifikatD" localSheetId="18">'EN-120-ZG'!$H$44</definedName>
    <definedName name="GEAK_ZertifikatD">'EN-120 '!$H$41</definedName>
    <definedName name="Gemeinde">'EN-Kt.'!$F$5</definedName>
    <definedName name="Genehmigt">Begleitschreiben!#REF!</definedName>
    <definedName name="GENH1" localSheetId="6">'EN-101c'!$Q$208</definedName>
    <definedName name="GENH1">'EN-101b'!$Q$253</definedName>
    <definedName name="GENH2" localSheetId="6">'EN-101c'!$Q$210</definedName>
    <definedName name="GENH2">'EN-101b'!$Q$255</definedName>
    <definedName name="GENW1" localSheetId="6">'EN-101c'!$Q$216</definedName>
    <definedName name="GENW1">'EN-101b'!$Q$261</definedName>
    <definedName name="GENW2" localSheetId="6">'EN-101c'!$Q$218</definedName>
    <definedName name="GENW2">'EN-101b'!$Q$263</definedName>
    <definedName name="GWAERZH1" localSheetId="6">'EN-101c'!$Q$204</definedName>
    <definedName name="GWAERZH1">'EN-101b'!$Q$249</definedName>
    <definedName name="GWAERZH2" localSheetId="6">'EN-101c'!$Q$206</definedName>
    <definedName name="GWAERZH2">'EN-101b'!$Q$251</definedName>
    <definedName name="GWAERZW1" localSheetId="6">'EN-101c'!$Q$212</definedName>
    <definedName name="GWAERZW1">'EN-101b'!$Q$257</definedName>
    <definedName name="GWAERZW2" localSheetId="6">'EN-101c'!$Q$214</definedName>
    <definedName name="GWAERZW2">'EN-101b'!$Q$259</definedName>
    <definedName name="Heizungsersatz_GEAK" localSheetId="18">'EN-120-ZG'!$H$23</definedName>
    <definedName name="Heizungsersatz_GEAK">'EN-120 '!$H$19</definedName>
    <definedName name="Kanton">'EN-Kt.'!$J$5</definedName>
    <definedName name="KatI">'EN-Kt.'!$U$15</definedName>
    <definedName name="KatII">'EN-Kt.'!$U$17</definedName>
    <definedName name="KatIII">'EN-Kt.'!$U$19</definedName>
    <definedName name="KatIV">'EN-Kt.'!$U$21</definedName>
    <definedName name="Kontrollbeauftragter">'EN-Kt.'!$F$9</definedName>
    <definedName name="Kontrolle">'EN-Kt.'!$F$9</definedName>
    <definedName name="MUKEN" localSheetId="25">'EN-101b'!#REF!</definedName>
    <definedName name="MUKEN" localSheetId="2">'EN-101b'!#REF!</definedName>
    <definedName name="MUKEN" localSheetId="6">'EN-101c'!#REF!</definedName>
    <definedName name="MUKEN" localSheetId="9">'EN-102b'!#REF!</definedName>
    <definedName name="MUKEN" localSheetId="1">'EN-101b'!#REF!</definedName>
    <definedName name="MUKEN">'EN-101b'!#REF!</definedName>
    <definedName name="Name_Kontr">'EN-Kt.'!$E$111</definedName>
    <definedName name="NW_PVBeteiligung">'EN-104'!$F$73</definedName>
    <definedName name="PVCHFErsatzabgabe_104">'EN-104'!$D$84</definedName>
    <definedName name="PVCHFErsatzabgabe_204_LU">'EN-204-LU'!$D$56</definedName>
    <definedName name="PVErsatzabgabe_104">'EN-104'!$Q$85</definedName>
    <definedName name="PVErsatzabgabe_204_LU">'EN-204-LU'!$F$49</definedName>
    <definedName name="PVErsatzabgabe_EN101c">'EN-101c'!$D$112</definedName>
    <definedName name="Resultat_Beilagen">'EN-Kt.'!$E$105</definedName>
    <definedName name="Resultat_Kontrolle">'EN-Kt.'!$E$107</definedName>
    <definedName name="Resultat_Nachweise">'EN-Kt.'!$E$103</definedName>
    <definedName name="SL" localSheetId="18">'EN-120-ZG'!#REF!</definedName>
    <definedName name="SL">'EN-120 '!$B$23</definedName>
    <definedName name="SLG_Hauptnutzung">'EN-120-ZG'!$O$65</definedName>
    <definedName name="SZBiogas" localSheetId="18">'EN-120-ZG'!$D$211</definedName>
    <definedName name="SZBiogas">'EN-120 '!$D$192</definedName>
    <definedName name="Text_Auflagen">Begleitschreiben!#REF!</definedName>
    <definedName name="Text_Genehmigt">Begleitschreiben!#REF!</definedName>
    <definedName name="Text_Mängel">Begleitschreiben!#REF!</definedName>
    <definedName name="Text_Rückweisung">Begleitschreiben!#REF!</definedName>
    <definedName name="Unterlagen_101a">'EN-101a'!$D$68</definedName>
    <definedName name="Unterlagen_101b">'EN-101b'!$D$165</definedName>
    <definedName name="Unterlagen_101c">'EN-101c'!$D$120</definedName>
    <definedName name="Unterlagen_102aN">'EN-102a Neubau'!$D$154</definedName>
    <definedName name="Unterlagen_102aU">'EN-102a Umbau'!$D$147</definedName>
    <definedName name="Unterlagen_102b">'EN-102b'!$D$270</definedName>
    <definedName name="Unterlagen_103">'EN-103'!$D$134</definedName>
    <definedName name="Unterlagen_104">'EN-104'!$D$93</definedName>
    <definedName name="Unterlagen_105">'EN-105'!$D$216</definedName>
    <definedName name="Unterlagen_110">'EN-110'!$D$58</definedName>
    <definedName name="Unterlagen_111">'EN-111'!$D$58</definedName>
    <definedName name="Unterlagen_112">'EN-112'!$D$58</definedName>
    <definedName name="Unterlagen_120">'EN-120 '!$D$132</definedName>
    <definedName name="Unterlagen_120_ZG" localSheetId="18">'EN-120-ZG'!$D$92</definedName>
    <definedName name="Unterlagen_130">'EN-130'!$D$54</definedName>
    <definedName name="Unterlagen_131">'EN-131'!$D$54</definedName>
    <definedName name="Unterlagen_132">'EN-132'!$D$54</definedName>
    <definedName name="Unterlagen_133">'EN-133'!$D$54</definedName>
    <definedName name="Unterlagen_134">'EN-134'!$D$54</definedName>
    <definedName name="Unterlagen_135" localSheetId="2">Begleitschreiben!#REF!</definedName>
    <definedName name="Unterlagen_135" localSheetId="1">Erläuterungen!$D$63</definedName>
    <definedName name="Unterlagen_135">'EN-135'!$D$54</definedName>
    <definedName name="Unterlagen_204_LU" localSheetId="12">'EN-204-LU'!$D$68</definedName>
    <definedName name="Unterlagen_BA">BA!$D$58</definedName>
    <definedName name="v_LuftMax">'EN-105'!$D$116</definedName>
    <definedName name="Verfasser1">'EN-Kt.'!$U$5</definedName>
    <definedName name="Verfasser2">'EN-Kt.'!$U$7</definedName>
    <definedName name="Verfasser3">'EN-Kt.'!$U$9</definedName>
    <definedName name="Wärmeerzeuger1">'EN-103'!$D$31</definedName>
    <definedName name="Wärmeerzeuger2">'EN-103'!$D$39</definedName>
    <definedName name="WeitereAuflagen">'EN-Kt.'!$L$116</definedName>
    <definedName name="Wohnnutzung">'EN-Kt.'!$C$310</definedName>
    <definedName name="WZ1_Gebäude">'EN-103'!$D$35</definedName>
    <definedName name="WZ1_Versorgung">'EN-103'!$D$33</definedName>
    <definedName name="WZ1_Zweck">'EN-103'!$D$33</definedName>
    <definedName name="WZ2_Gebäude">'EN-103'!$D$43</definedName>
    <definedName name="WZ2_Zweck">'EN-103'!$D$41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23" i="2" l="1"/>
  <c r="AF124" i="2"/>
  <c r="AF125" i="2"/>
  <c r="AF126" i="2"/>
  <c r="AF127" i="2"/>
  <c r="AF128" i="2"/>
  <c r="AF129" i="2"/>
  <c r="AF132" i="2"/>
  <c r="AF133" i="2"/>
  <c r="AF134" i="2"/>
  <c r="AF135" i="2"/>
  <c r="AF136" i="2"/>
  <c r="AF137" i="2"/>
  <c r="AF138" i="2"/>
  <c r="AF139" i="2"/>
  <c r="AF140" i="2"/>
  <c r="AF141" i="2"/>
  <c r="AF142" i="2"/>
  <c r="AF143" i="2"/>
  <c r="AE130" i="2"/>
  <c r="AF130" i="2" s="1"/>
  <c r="B83" i="2"/>
  <c r="N3" i="39"/>
  <c r="N3" i="8"/>
  <c r="L59" i="2"/>
  <c r="D75" i="2" l="1"/>
  <c r="C75" i="2"/>
  <c r="B75" i="2" s="1"/>
  <c r="Z25" i="2"/>
  <c r="Z23" i="2"/>
  <c r="J45" i="39"/>
  <c r="J43" i="39"/>
  <c r="J41" i="39"/>
  <c r="J39" i="39"/>
  <c r="J31" i="39"/>
  <c r="J29" i="39"/>
  <c r="J27" i="39"/>
  <c r="J25" i="39"/>
  <c r="J23" i="39"/>
  <c r="J21" i="39"/>
  <c r="J19" i="39"/>
  <c r="H19" i="39" s="1"/>
  <c r="B15" i="39"/>
  <c r="AH73" i="2" l="1"/>
  <c r="E113" i="2"/>
  <c r="H35" i="39" l="1"/>
  <c r="H43" i="39"/>
  <c r="D49" i="39"/>
  <c r="H45" i="39"/>
  <c r="H41" i="39"/>
  <c r="H39" i="39"/>
  <c r="T31" i="39"/>
  <c r="H31" i="39"/>
  <c r="H27" i="39"/>
  <c r="H25" i="39"/>
  <c r="H23" i="39"/>
  <c r="H29" i="39"/>
  <c r="H21" i="39"/>
  <c r="M19" i="39"/>
  <c r="H17" i="39"/>
  <c r="AE73" i="2"/>
  <c r="AD73" i="2"/>
  <c r="AD81" i="2"/>
  <c r="AE136" i="2"/>
  <c r="C83" i="2"/>
  <c r="D70" i="39" l="1"/>
  <c r="B51" i="39"/>
  <c r="D68" i="39"/>
  <c r="D75" i="39" l="1"/>
  <c r="D74" i="39"/>
  <c r="D66" i="39"/>
  <c r="F73" i="39" s="1"/>
  <c r="P62" i="39"/>
  <c r="D11" i="39"/>
  <c r="D7" i="39"/>
  <c r="D5" i="39"/>
  <c r="F29" i="8"/>
  <c r="F246" i="5"/>
  <c r="F248" i="5"/>
  <c r="F244" i="5"/>
  <c r="F242" i="5"/>
  <c r="F226" i="5"/>
  <c r="F156" i="5"/>
  <c r="F127" i="5"/>
  <c r="F116" i="5"/>
  <c r="F110" i="5"/>
  <c r="F92" i="5"/>
  <c r="F94" i="5"/>
  <c r="J95" i="6"/>
  <c r="J93" i="6"/>
  <c r="J89" i="6"/>
  <c r="F91" i="6"/>
  <c r="F87" i="6"/>
  <c r="F93" i="6"/>
  <c r="F85" i="6"/>
  <c r="J73" i="6"/>
  <c r="J71" i="6"/>
  <c r="F75" i="6"/>
  <c r="F69" i="6"/>
  <c r="J51" i="8"/>
  <c r="J49" i="8"/>
  <c r="F47" i="8"/>
  <c r="D70" i="3"/>
  <c r="D68" i="3"/>
  <c r="L97" i="2"/>
  <c r="D60" i="27"/>
  <c r="D58" i="27"/>
  <c r="D56" i="21"/>
  <c r="D54" i="21"/>
  <c r="AE97" i="2"/>
  <c r="AD97" i="2"/>
  <c r="AE95" i="2"/>
  <c r="AE93" i="2"/>
  <c r="AD93" i="2"/>
  <c r="AE91" i="2"/>
  <c r="AD91" i="2"/>
  <c r="AD95" i="2"/>
  <c r="U95" i="2" s="1"/>
  <c r="D56" i="20"/>
  <c r="D54" i="20"/>
  <c r="X91" i="2"/>
  <c r="X93" i="2"/>
  <c r="D56" i="19"/>
  <c r="D54" i="19"/>
  <c r="D56" i="18"/>
  <c r="D54" i="18"/>
  <c r="D54" i="17"/>
  <c r="P89" i="2" s="1"/>
  <c r="D56" i="17"/>
  <c r="D60" i="16"/>
  <c r="D58" i="16"/>
  <c r="F58" i="16"/>
  <c r="AE87" i="2"/>
  <c r="AD87" i="2"/>
  <c r="U87" i="2" s="1"/>
  <c r="AE83" i="2"/>
  <c r="AE81" i="2"/>
  <c r="AD83" i="2"/>
  <c r="D60" i="15"/>
  <c r="AE79" i="2"/>
  <c r="AD79" i="2"/>
  <c r="U79" i="2"/>
  <c r="AE75" i="2"/>
  <c r="AD75" i="2"/>
  <c r="D56" i="22"/>
  <c r="D54" i="22"/>
  <c r="AE71" i="2"/>
  <c r="AD71" i="2"/>
  <c r="U71" i="2"/>
  <c r="AE69" i="2"/>
  <c r="AD69" i="2"/>
  <c r="U69" i="2" s="1"/>
  <c r="AE67" i="2"/>
  <c r="AD67" i="2"/>
  <c r="U67" i="2"/>
  <c r="U65" i="2"/>
  <c r="D60" i="14"/>
  <c r="D58" i="14"/>
  <c r="AE65" i="2"/>
  <c r="AD65" i="2"/>
  <c r="D216" i="9"/>
  <c r="AE59" i="2"/>
  <c r="AD59" i="2"/>
  <c r="AE57" i="2"/>
  <c r="AD57" i="2"/>
  <c r="D147" i="10"/>
  <c r="D154" i="1"/>
  <c r="AE55" i="2"/>
  <c r="AD55" i="2"/>
  <c r="AE51" i="2"/>
  <c r="AD51" i="2"/>
  <c r="AE49" i="2"/>
  <c r="AD49" i="2"/>
  <c r="AE47" i="2"/>
  <c r="AD47" i="2"/>
  <c r="AE63" i="2"/>
  <c r="L51" i="2"/>
  <c r="AD63" i="2"/>
  <c r="AD99" i="2"/>
  <c r="AE99" i="2"/>
  <c r="L116" i="2"/>
  <c r="L75" i="2" l="1"/>
  <c r="U75" i="2" s="1"/>
  <c r="U56" i="2"/>
  <c r="U91" i="2"/>
  <c r="U93" i="2"/>
  <c r="P97" i="2"/>
  <c r="U97" i="2"/>
  <c r="R97" i="2"/>
  <c r="U89" i="2"/>
  <c r="U51" i="2"/>
  <c r="AD103" i="2"/>
  <c r="F114" i="5" l="1"/>
  <c r="F112" i="5"/>
  <c r="F125" i="5"/>
  <c r="F123" i="5"/>
  <c r="F121" i="5"/>
  <c r="C301" i="2" l="1"/>
  <c r="C300" i="2"/>
  <c r="C299" i="2"/>
  <c r="D65" i="38"/>
  <c r="D42" i="8"/>
  <c r="AC24" i="33" l="1"/>
  <c r="D130" i="12"/>
  <c r="F48" i="38"/>
  <c r="N230" i="4"/>
  <c r="Q249" i="4" s="1"/>
  <c r="AC28" i="33"/>
  <c r="X24" i="33"/>
  <c r="D73" i="38"/>
  <c r="B73" i="38" s="1"/>
  <c r="B75" i="38"/>
  <c r="B77" i="38"/>
  <c r="D81" i="38"/>
  <c r="B81" i="38" s="1"/>
  <c r="B83" i="38"/>
  <c r="B85" i="38"/>
  <c r="L46" i="38"/>
  <c r="L41" i="38"/>
  <c r="F61" i="38"/>
  <c r="L29" i="38"/>
  <c r="J29" i="38" s="1"/>
  <c r="O15" i="38"/>
  <c r="B69" i="38"/>
  <c r="B67" i="38"/>
  <c r="E208" i="38"/>
  <c r="E207" i="38"/>
  <c r="E206" i="38"/>
  <c r="E205" i="38"/>
  <c r="D208" i="38"/>
  <c r="D207" i="38"/>
  <c r="D206" i="38"/>
  <c r="D205" i="38"/>
  <c r="E197" i="38"/>
  <c r="E196" i="38"/>
  <c r="E195" i="38"/>
  <c r="E194" i="38"/>
  <c r="D197" i="38"/>
  <c r="D196" i="38"/>
  <c r="D195" i="38"/>
  <c r="D194" i="38"/>
  <c r="E186" i="38"/>
  <c r="E185" i="38"/>
  <c r="E184" i="38"/>
  <c r="E183" i="38"/>
  <c r="D186" i="38"/>
  <c r="D185" i="38"/>
  <c r="D184" i="38"/>
  <c r="D183" i="38"/>
  <c r="L69" i="38" l="1"/>
  <c r="L73" i="38"/>
  <c r="J73" i="38" s="1"/>
  <c r="L65" i="38"/>
  <c r="L67" i="38"/>
  <c r="O73" i="38"/>
  <c r="O81" i="38"/>
  <c r="L81" i="38"/>
  <c r="J81" i="38" s="1"/>
  <c r="L39" i="38"/>
  <c r="J39" i="38" s="1"/>
  <c r="L33" i="38"/>
  <c r="J33" i="38" s="1"/>
  <c r="L35" i="38"/>
  <c r="J35" i="38" s="1"/>
  <c r="L37" i="38"/>
  <c r="J37" i="38" s="1"/>
  <c r="D198" i="38"/>
  <c r="D199" i="38"/>
  <c r="E198" i="38"/>
  <c r="E199" i="38"/>
  <c r="E209" i="38"/>
  <c r="E210" i="38"/>
  <c r="D210" i="38"/>
  <c r="D209" i="38"/>
  <c r="B17" i="38"/>
  <c r="J65" i="38" l="1"/>
  <c r="L31" i="38"/>
  <c r="J31" i="38" s="1"/>
  <c r="C59" i="38"/>
  <c r="L59" i="38" s="1"/>
  <c r="X26" i="33"/>
  <c r="AC26" i="33"/>
  <c r="L75" i="38"/>
  <c r="J75" i="38" s="1"/>
  <c r="L77" i="38"/>
  <c r="J77" i="38" s="1"/>
  <c r="L83" i="38"/>
  <c r="J83" i="38" s="1"/>
  <c r="L85" i="38"/>
  <c r="J85" i="38" s="1"/>
  <c r="O17" i="38"/>
  <c r="C53" i="38"/>
  <c r="C57" i="38"/>
  <c r="C55" i="38"/>
  <c r="J69" i="38" l="1"/>
  <c r="L55" i="38"/>
  <c r="J55" i="38" s="1"/>
  <c r="L57" i="38"/>
  <c r="J57" i="38" s="1"/>
  <c r="J59" i="38"/>
  <c r="J25" i="38" l="1"/>
  <c r="J19" i="38"/>
  <c r="O46" i="38"/>
  <c r="J46" i="38"/>
  <c r="F51" i="8"/>
  <c r="J31" i="8"/>
  <c r="J27" i="8"/>
  <c r="AC95" i="2"/>
  <c r="AC93" i="2"/>
  <c r="AC91" i="2"/>
  <c r="AC87" i="2"/>
  <c r="AC79" i="2"/>
  <c r="AC77" i="2"/>
  <c r="AC71" i="2"/>
  <c r="AC69" i="2"/>
  <c r="AC67" i="2"/>
  <c r="AC65" i="2"/>
  <c r="AA97" i="2" l="1"/>
  <c r="AC97" i="2"/>
  <c r="Z97" i="2"/>
  <c r="D192" i="12"/>
  <c r="D99" i="38"/>
  <c r="D90" i="38"/>
  <c r="O44" i="38"/>
  <c r="L44" i="38"/>
  <c r="J44" i="38" s="1"/>
  <c r="J41" i="38"/>
  <c r="D92" i="38" s="1"/>
  <c r="J23" i="38"/>
  <c r="J21" i="38"/>
  <c r="J15" i="38"/>
  <c r="D11" i="38"/>
  <c r="D7" i="38"/>
  <c r="D5" i="38"/>
  <c r="A1" i="2"/>
  <c r="AA21" i="2"/>
  <c r="AA19" i="2"/>
  <c r="AA17" i="2"/>
  <c r="AA15" i="2"/>
  <c r="Z21" i="2"/>
  <c r="AB21" i="2" s="1"/>
  <c r="Z19" i="2"/>
  <c r="AB19" i="2" s="1"/>
  <c r="Z17" i="2"/>
  <c r="Z15" i="2"/>
  <c r="C285" i="2"/>
  <c r="C310" i="2"/>
  <c r="C213" i="2" s="1"/>
  <c r="H97" i="38" l="1"/>
  <c r="X83" i="2"/>
  <c r="AB17" i="2"/>
  <c r="AB97" i="2"/>
  <c r="AB15" i="2"/>
  <c r="C246" i="2"/>
  <c r="J153" i="9"/>
  <c r="J151" i="9"/>
  <c r="J149" i="9"/>
  <c r="J147" i="9"/>
  <c r="M153" i="9" s="1"/>
  <c r="F147" i="9"/>
  <c r="AA24" i="33"/>
  <c r="M23" i="6"/>
  <c r="M21" i="6"/>
  <c r="M19" i="6"/>
  <c r="M17" i="6"/>
  <c r="O41" i="12"/>
  <c r="O15" i="12"/>
  <c r="AA26" i="33"/>
  <c r="F8" i="33"/>
  <c r="F7" i="33"/>
  <c r="O39" i="6"/>
  <c r="O31" i="6"/>
  <c r="N28" i="6"/>
  <c r="O136" i="1"/>
  <c r="O126" i="1"/>
  <c r="O114" i="1"/>
  <c r="O104" i="1"/>
  <c r="O94" i="1"/>
  <c r="O84" i="1"/>
  <c r="O76" i="1"/>
  <c r="O68" i="1"/>
  <c r="J21" i="9"/>
  <c r="N120" i="6"/>
  <c r="F200" i="9"/>
  <c r="F198" i="9"/>
  <c r="F196" i="9"/>
  <c r="F192" i="9"/>
  <c r="F188" i="9"/>
  <c r="F186" i="9"/>
  <c r="F184" i="9"/>
  <c r="F182" i="9"/>
  <c r="J163" i="9"/>
  <c r="J161" i="9"/>
  <c r="J159" i="9"/>
  <c r="F163" i="9"/>
  <c r="F161" i="9"/>
  <c r="F159" i="9"/>
  <c r="F153" i="9"/>
  <c r="F151" i="9"/>
  <c r="F149" i="9"/>
  <c r="F139" i="9"/>
  <c r="F136" i="9"/>
  <c r="F134" i="9"/>
  <c r="F124" i="9"/>
  <c r="F111" i="9"/>
  <c r="F105" i="9"/>
  <c r="F96" i="9"/>
  <c r="F89" i="9"/>
  <c r="F85" i="9"/>
  <c r="F78" i="9"/>
  <c r="F70" i="9"/>
  <c r="F66" i="9"/>
  <c r="F63" i="9"/>
  <c r="F59" i="9"/>
  <c r="F55" i="9"/>
  <c r="F51" i="9"/>
  <c r="F47" i="9"/>
  <c r="F43" i="9"/>
  <c r="H43" i="9" s="1"/>
  <c r="J119" i="6"/>
  <c r="J117" i="6"/>
  <c r="J115" i="6"/>
  <c r="J113" i="6"/>
  <c r="J111" i="6"/>
  <c r="J109" i="6"/>
  <c r="F119" i="6"/>
  <c r="F117" i="6"/>
  <c r="F115" i="6"/>
  <c r="F113" i="6"/>
  <c r="F111" i="6"/>
  <c r="F109" i="6"/>
  <c r="J105" i="6"/>
  <c r="J103" i="6"/>
  <c r="J101" i="6"/>
  <c r="J99" i="6"/>
  <c r="F105" i="6"/>
  <c r="F103" i="6"/>
  <c r="F101" i="6"/>
  <c r="F99" i="6"/>
  <c r="J91" i="6"/>
  <c r="J87" i="6"/>
  <c r="J85" i="6"/>
  <c r="F95" i="6"/>
  <c r="F89" i="6"/>
  <c r="J75" i="6"/>
  <c r="J69" i="6"/>
  <c r="F73" i="6"/>
  <c r="F71" i="6"/>
  <c r="J65" i="6"/>
  <c r="J63" i="6"/>
  <c r="J61" i="6"/>
  <c r="F65" i="6"/>
  <c r="F63" i="6"/>
  <c r="F61" i="6"/>
  <c r="F256" i="5"/>
  <c r="F254" i="5"/>
  <c r="F252" i="5"/>
  <c r="F237" i="5"/>
  <c r="F235" i="5"/>
  <c r="F233" i="5"/>
  <c r="H233" i="5" s="1"/>
  <c r="F231" i="5"/>
  <c r="F224" i="5"/>
  <c r="F222" i="5"/>
  <c r="F220" i="5"/>
  <c r="H220" i="5" s="1"/>
  <c r="F215" i="5"/>
  <c r="F213" i="5"/>
  <c r="F211" i="5"/>
  <c r="F209" i="5"/>
  <c r="H209" i="5" s="1"/>
  <c r="F96" i="5"/>
  <c r="H96" i="5" s="1"/>
  <c r="H94" i="5"/>
  <c r="H92" i="5"/>
  <c r="F203" i="5"/>
  <c r="F201" i="5"/>
  <c r="F199" i="5"/>
  <c r="F194" i="5"/>
  <c r="H194" i="5" s="1"/>
  <c r="F192" i="5"/>
  <c r="H192" i="5" s="1"/>
  <c r="F190" i="5"/>
  <c r="H190" i="5" s="1"/>
  <c r="F188" i="5"/>
  <c r="H188" i="5" s="1"/>
  <c r="F182" i="5"/>
  <c r="F180" i="5"/>
  <c r="F178" i="5"/>
  <c r="J173" i="5"/>
  <c r="J171" i="5"/>
  <c r="F173" i="5"/>
  <c r="F171" i="5"/>
  <c r="F169" i="5"/>
  <c r="J165" i="5"/>
  <c r="J163" i="5"/>
  <c r="F161" i="5"/>
  <c r="F165" i="5"/>
  <c r="F163" i="5"/>
  <c r="F154" i="5"/>
  <c r="F152" i="5"/>
  <c r="F150" i="5"/>
  <c r="F148" i="5"/>
  <c r="F146" i="5"/>
  <c r="F144" i="5"/>
  <c r="F142" i="5"/>
  <c r="F138" i="5"/>
  <c r="F136" i="5"/>
  <c r="F134" i="5"/>
  <c r="F132" i="5"/>
  <c r="L132" i="10"/>
  <c r="L130" i="10"/>
  <c r="L127" i="10"/>
  <c r="H125" i="10"/>
  <c r="H132" i="10"/>
  <c r="H130" i="10"/>
  <c r="H127" i="10"/>
  <c r="L121" i="10"/>
  <c r="L119" i="10"/>
  <c r="L117" i="10"/>
  <c r="H121" i="10"/>
  <c r="H119" i="10"/>
  <c r="H117" i="10"/>
  <c r="H115" i="10"/>
  <c r="L111" i="10"/>
  <c r="L109" i="10"/>
  <c r="H107" i="10"/>
  <c r="H111" i="10"/>
  <c r="H109" i="10"/>
  <c r="L102" i="10"/>
  <c r="L100" i="10"/>
  <c r="H102" i="10"/>
  <c r="H100" i="10"/>
  <c r="H98" i="10"/>
  <c r="L93" i="10"/>
  <c r="L91" i="10"/>
  <c r="H93" i="10"/>
  <c r="H91" i="10"/>
  <c r="H89" i="10"/>
  <c r="H81" i="10"/>
  <c r="L85" i="10"/>
  <c r="L83" i="10"/>
  <c r="H85" i="10"/>
  <c r="H83" i="10"/>
  <c r="L75" i="10"/>
  <c r="L77" i="10"/>
  <c r="H73" i="10"/>
  <c r="H77" i="10"/>
  <c r="H75" i="10"/>
  <c r="H58" i="10"/>
  <c r="H68" i="10"/>
  <c r="H66" i="10"/>
  <c r="H64" i="10"/>
  <c r="H62" i="10"/>
  <c r="H60" i="10"/>
  <c r="L54" i="10"/>
  <c r="L52" i="10"/>
  <c r="L50" i="10"/>
  <c r="H54" i="10"/>
  <c r="H52" i="10"/>
  <c r="H50" i="10"/>
  <c r="H48" i="10"/>
  <c r="L44" i="10"/>
  <c r="L42" i="10"/>
  <c r="H44" i="10"/>
  <c r="H42" i="10"/>
  <c r="H116" i="4"/>
  <c r="F108" i="36"/>
  <c r="F103" i="36"/>
  <c r="F101" i="36"/>
  <c r="F99" i="36"/>
  <c r="F97" i="36"/>
  <c r="F95" i="36"/>
  <c r="F93" i="36"/>
  <c r="F91" i="36"/>
  <c r="F89" i="36"/>
  <c r="F81" i="36"/>
  <c r="F79" i="36"/>
  <c r="F77" i="36"/>
  <c r="F71" i="36"/>
  <c r="F61" i="36"/>
  <c r="F59" i="36"/>
  <c r="F57" i="36"/>
  <c r="F55" i="36"/>
  <c r="F53" i="36"/>
  <c r="F49" i="36"/>
  <c r="F45" i="36"/>
  <c r="F43" i="36"/>
  <c r="F41" i="36"/>
  <c r="F39" i="36"/>
  <c r="F37" i="36"/>
  <c r="L142" i="1"/>
  <c r="L140" i="1"/>
  <c r="L138" i="1"/>
  <c r="H142" i="1"/>
  <c r="H140" i="1"/>
  <c r="H138" i="1"/>
  <c r="L134" i="1"/>
  <c r="L132" i="1"/>
  <c r="L130" i="1"/>
  <c r="H134" i="1"/>
  <c r="H132" i="1"/>
  <c r="H130" i="1"/>
  <c r="H128" i="1"/>
  <c r="L122" i="1"/>
  <c r="L120" i="1"/>
  <c r="L118" i="1"/>
  <c r="H122" i="1"/>
  <c r="H120" i="1"/>
  <c r="H118" i="1"/>
  <c r="H110" i="1"/>
  <c r="H108" i="1"/>
  <c r="H106" i="1"/>
  <c r="H116" i="1"/>
  <c r="L110" i="1"/>
  <c r="L108" i="1"/>
  <c r="L98" i="1"/>
  <c r="H96" i="1"/>
  <c r="L100" i="1"/>
  <c r="H100" i="1"/>
  <c r="H98" i="1"/>
  <c r="L90" i="1"/>
  <c r="L88" i="1"/>
  <c r="H90" i="1"/>
  <c r="H88" i="1"/>
  <c r="H86" i="1"/>
  <c r="L82" i="1"/>
  <c r="L80" i="1"/>
  <c r="H82" i="1"/>
  <c r="H80" i="1"/>
  <c r="H78" i="1"/>
  <c r="L74" i="1"/>
  <c r="L72" i="1"/>
  <c r="H74" i="1"/>
  <c r="H72" i="1"/>
  <c r="H70" i="1"/>
  <c r="L66" i="1"/>
  <c r="L60" i="1"/>
  <c r="L58" i="1"/>
  <c r="H66" i="1"/>
  <c r="H64" i="1"/>
  <c r="H62" i="1"/>
  <c r="H60" i="1"/>
  <c r="H58" i="1"/>
  <c r="H56" i="1"/>
  <c r="L52" i="1"/>
  <c r="L50" i="1"/>
  <c r="L48" i="1"/>
  <c r="H50" i="1"/>
  <c r="H44" i="1"/>
  <c r="H52" i="1"/>
  <c r="H48" i="1"/>
  <c r="H46" i="1"/>
  <c r="L40" i="1"/>
  <c r="L38" i="1"/>
  <c r="H38" i="1"/>
  <c r="H40" i="1"/>
  <c r="AE143" i="2"/>
  <c r="AE142" i="2"/>
  <c r="AE141" i="2"/>
  <c r="AE140" i="2"/>
  <c r="AE139" i="2"/>
  <c r="AE138" i="2"/>
  <c r="AE137" i="2"/>
  <c r="AE135" i="2"/>
  <c r="AE134" i="2"/>
  <c r="AE133" i="2"/>
  <c r="AE132" i="2"/>
  <c r="AE131" i="2"/>
  <c r="AE129" i="2"/>
  <c r="AE128" i="2"/>
  <c r="AE127" i="2"/>
  <c r="AE126" i="2"/>
  <c r="AE125" i="2"/>
  <c r="AE124" i="2"/>
  <c r="AE123" i="2"/>
  <c r="AE122" i="2"/>
  <c r="J182" i="9"/>
  <c r="M182" i="9" s="1"/>
  <c r="J184" i="9"/>
  <c r="M184" i="9" s="1"/>
  <c r="J186" i="9"/>
  <c r="J188" i="9"/>
  <c r="M105" i="36"/>
  <c r="AF131" i="2" l="1"/>
  <c r="A122" i="2" s="1"/>
  <c r="AF122" i="2"/>
  <c r="AB13" i="2"/>
  <c r="Y24" i="33" s="1"/>
  <c r="M147" i="9"/>
  <c r="M149" i="9"/>
  <c r="M151" i="9"/>
  <c r="L47" i="2"/>
  <c r="Z68" i="2"/>
  <c r="AA68" i="2"/>
  <c r="AB68" i="2"/>
  <c r="Z69" i="2"/>
  <c r="Z70" i="2"/>
  <c r="AA70" i="2"/>
  <c r="AB70" i="2"/>
  <c r="Z50" i="2"/>
  <c r="AA50" i="2"/>
  <c r="AB50" i="2"/>
  <c r="L51" i="38" l="1"/>
  <c r="J51" i="38" s="1"/>
  <c r="AC47" i="2"/>
  <c r="AB26" i="33"/>
  <c r="N26" i="6"/>
  <c r="AB24" i="33"/>
  <c r="A190" i="12"/>
  <c r="B28" i="6"/>
  <c r="N23" i="14"/>
  <c r="F6" i="33"/>
  <c r="E111" i="2"/>
  <c r="R35" i="2"/>
  <c r="B71" i="8"/>
  <c r="D97" i="38" l="1"/>
  <c r="D73" i="39"/>
  <c r="B23" i="12"/>
  <c r="D77" i="8"/>
  <c r="B79" i="8" s="1"/>
  <c r="F42" i="8"/>
  <c r="H42" i="8" s="1"/>
  <c r="F40" i="8"/>
  <c r="H40" i="8" s="1"/>
  <c r="J47" i="8"/>
  <c r="F49" i="8"/>
  <c r="F31" i="8"/>
  <c r="F27" i="8"/>
  <c r="J59" i="8"/>
  <c r="H65" i="8"/>
  <c r="J57" i="8"/>
  <c r="J29" i="8"/>
  <c r="D67" i="8"/>
  <c r="D112" i="36"/>
  <c r="H110" i="36"/>
  <c r="H108" i="36"/>
  <c r="H103" i="36"/>
  <c r="H101" i="36"/>
  <c r="H99" i="36"/>
  <c r="H97" i="36"/>
  <c r="H95" i="36"/>
  <c r="H93" i="36"/>
  <c r="H91" i="36"/>
  <c r="H89" i="36"/>
  <c r="H83" i="36"/>
  <c r="H81" i="36"/>
  <c r="H79" i="36"/>
  <c r="H77" i="36"/>
  <c r="H71" i="36"/>
  <c r="H61" i="36"/>
  <c r="H59" i="36"/>
  <c r="H57" i="36"/>
  <c r="H55" i="36"/>
  <c r="H53" i="36"/>
  <c r="H49" i="36"/>
  <c r="H45" i="36"/>
  <c r="H43" i="36"/>
  <c r="H41" i="36"/>
  <c r="H37" i="36"/>
  <c r="H21" i="36"/>
  <c r="D118" i="36"/>
  <c r="X51" i="2" s="1"/>
  <c r="H29" i="36"/>
  <c r="M110" i="36"/>
  <c r="M108" i="36"/>
  <c r="P110" i="36"/>
  <c r="D108" i="36"/>
  <c r="Q84" i="8" l="1"/>
  <c r="L27" i="12"/>
  <c r="J27" i="12" s="1"/>
  <c r="F105" i="12"/>
  <c r="L107" i="12" s="1"/>
  <c r="O23" i="12"/>
  <c r="D69" i="8"/>
  <c r="Q85" i="8" s="1"/>
  <c r="H47" i="8"/>
  <c r="N30" i="33" l="1"/>
  <c r="AB30" i="33"/>
  <c r="D84" i="8"/>
  <c r="Y30" i="33" s="1"/>
  <c r="H15" i="2"/>
  <c r="L57" i="2"/>
  <c r="L55" i="2"/>
  <c r="L49" i="2"/>
  <c r="U49" i="2" s="1"/>
  <c r="AC51" i="2"/>
  <c r="Y26" i="33"/>
  <c r="Z26" i="33"/>
  <c r="D34" i="33"/>
  <c r="Z28" i="33"/>
  <c r="Y28" i="33"/>
  <c r="AA28" i="33"/>
  <c r="AB28" i="33"/>
  <c r="AC30" i="33" l="1"/>
  <c r="Z30" i="33"/>
  <c r="AA30" i="33"/>
  <c r="AC57" i="2"/>
  <c r="U57" i="2"/>
  <c r="AC55" i="2"/>
  <c r="U55" i="2"/>
  <c r="AC49" i="2"/>
  <c r="Z51" i="2"/>
  <c r="R51" i="2"/>
  <c r="AB51" i="2" s="1"/>
  <c r="R37" i="2"/>
  <c r="AC75" i="2" l="1"/>
  <c r="D35" i="36"/>
  <c r="Q218" i="36"/>
  <c r="Q214" i="36"/>
  <c r="Q210" i="36"/>
  <c r="Q206" i="36"/>
  <c r="N199" i="36"/>
  <c r="N198" i="36"/>
  <c r="N197" i="36"/>
  <c r="N195" i="36"/>
  <c r="N194" i="36"/>
  <c r="N193" i="36"/>
  <c r="N188" i="36"/>
  <c r="N187" i="36"/>
  <c r="Q216" i="36" s="1"/>
  <c r="N186" i="36"/>
  <c r="N185" i="36"/>
  <c r="Q204" i="36" s="1"/>
  <c r="D127" i="36"/>
  <c r="F125" i="36"/>
  <c r="H39" i="36"/>
  <c r="D122" i="36" s="1"/>
  <c r="H25" i="36"/>
  <c r="H23" i="36"/>
  <c r="S21" i="36"/>
  <c r="H19" i="36"/>
  <c r="H17" i="36"/>
  <c r="H15" i="36"/>
  <c r="D120" i="36" s="1"/>
  <c r="D11" i="36"/>
  <c r="D7" i="36"/>
  <c r="D5" i="36"/>
  <c r="P51" i="2" l="1"/>
  <c r="AA51" i="2" s="1"/>
  <c r="Q208" i="36"/>
  <c r="Q212" i="36"/>
  <c r="D170" i="9" l="1"/>
  <c r="D182" i="9" s="1"/>
  <c r="M55" i="9"/>
  <c r="M51" i="9" a="1"/>
  <c r="M51" i="9" s="1"/>
  <c r="H147" i="9"/>
  <c r="D7" i="9"/>
  <c r="D32" i="3" l="1"/>
  <c r="D116" i="9" l="1"/>
  <c r="D118" i="9" s="1"/>
  <c r="D120" i="9" s="1"/>
  <c r="J78" i="9"/>
  <c r="H78" i="9" s="1"/>
  <c r="F10" i="33"/>
  <c r="A54" i="33"/>
  <c r="F216" i="9"/>
  <c r="D102" i="9"/>
  <c r="H15" i="9"/>
  <c r="H15" i="8"/>
  <c r="H15" i="6"/>
  <c r="H15" i="5"/>
  <c r="J19" i="10"/>
  <c r="J15" i="1"/>
  <c r="H15" i="4"/>
  <c r="H15" i="3"/>
  <c r="H29" i="4"/>
  <c r="D125" i="36"/>
  <c r="M47" i="6"/>
  <c r="D63" i="9"/>
  <c r="D61" i="9"/>
  <c r="D68" i="9"/>
  <c r="J31" i="9"/>
  <c r="J27" i="9"/>
  <c r="J139" i="9"/>
  <c r="M139" i="9" s="1"/>
  <c r="D109" i="9"/>
  <c r="J23" i="9"/>
  <c r="H23" i="9" s="1"/>
  <c r="J124" i="9"/>
  <c r="H124" i="9" s="1"/>
  <c r="M31" i="9"/>
  <c r="J200" i="9"/>
  <c r="M200" i="9" s="1"/>
  <c r="J198" i="9"/>
  <c r="M198" i="9" s="1"/>
  <c r="J196" i="9"/>
  <c r="M196" i="9" s="1"/>
  <c r="J29" i="9"/>
  <c r="J192" i="9"/>
  <c r="H192" i="9" s="1"/>
  <c r="M188" i="9"/>
  <c r="M186" i="9"/>
  <c r="M21" i="9"/>
  <c r="D188" i="9"/>
  <c r="D176" i="9"/>
  <c r="D174" i="9"/>
  <c r="D172" i="9"/>
  <c r="D72" i="9"/>
  <c r="D81" i="9"/>
  <c r="H59" i="9"/>
  <c r="M27" i="9"/>
  <c r="M126" i="9"/>
  <c r="M23" i="9"/>
  <c r="M70" i="9"/>
  <c r="M53" i="9"/>
  <c r="H21" i="9"/>
  <c r="M59" i="9"/>
  <c r="M85" i="9" l="1"/>
  <c r="M25" i="9"/>
  <c r="J85" i="9"/>
  <c r="H85" i="9" s="1"/>
  <c r="J89" i="9"/>
  <c r="H89" i="9" s="1"/>
  <c r="M192" i="9"/>
  <c r="J25" i="9"/>
  <c r="H25" i="9" s="1"/>
  <c r="J111" i="9"/>
  <c r="H111" i="9" s="1"/>
  <c r="J105" i="9"/>
  <c r="D184" i="9"/>
  <c r="D186" i="9"/>
  <c r="H200" i="9"/>
  <c r="H198" i="9"/>
  <c r="H196" i="9"/>
  <c r="H31" i="9"/>
  <c r="H29" i="9"/>
  <c r="H188" i="9"/>
  <c r="H186" i="9"/>
  <c r="H184" i="9"/>
  <c r="H182" i="9"/>
  <c r="H163" i="9"/>
  <c r="H161" i="9"/>
  <c r="H159" i="9"/>
  <c r="H153" i="9"/>
  <c r="H151" i="9"/>
  <c r="H149" i="9"/>
  <c r="H139" i="9"/>
  <c r="H136" i="9" s="1"/>
  <c r="H134" i="9"/>
  <c r="H27" i="9"/>
  <c r="H96" i="9"/>
  <c r="H70" i="9"/>
  <c r="H66" i="9"/>
  <c r="H63" i="9"/>
  <c r="H55" i="9"/>
  <c r="H51" i="9"/>
  <c r="H47" i="9"/>
  <c r="N243" i="4"/>
  <c r="N232" i="4"/>
  <c r="N233" i="4"/>
  <c r="Q263" i="4" s="1"/>
  <c r="F53" i="33" s="1"/>
  <c r="N240" i="4"/>
  <c r="N244" i="4"/>
  <c r="N242" i="4"/>
  <c r="N239" i="4"/>
  <c r="N238" i="4"/>
  <c r="N231" i="4"/>
  <c r="D218" i="9" l="1"/>
  <c r="Q253" i="4"/>
  <c r="F43" i="33" s="1"/>
  <c r="Q261" i="4"/>
  <c r="F51" i="33" s="1"/>
  <c r="F39" i="33"/>
  <c r="Q251" i="4"/>
  <c r="F41" i="33" s="1"/>
  <c r="Q259" i="4"/>
  <c r="F49" i="33" s="1"/>
  <c r="Q255" i="4"/>
  <c r="F45" i="33" s="1"/>
  <c r="H105" i="9"/>
  <c r="Q257" i="4"/>
  <c r="F47" i="33" s="1"/>
  <c r="F9" i="33"/>
  <c r="H182" i="5" l="1"/>
  <c r="H178" i="5"/>
  <c r="H165" i="5"/>
  <c r="H163" i="5"/>
  <c r="H161" i="5"/>
  <c r="D34" i="3"/>
  <c r="H180" i="5" l="1"/>
  <c r="H138" i="5" l="1"/>
  <c r="H142" i="5"/>
  <c r="H171" i="5"/>
  <c r="H169" i="5"/>
  <c r="H173" i="5"/>
  <c r="J72" i="1"/>
  <c r="J74" i="1"/>
  <c r="J39" i="2"/>
  <c r="D60" i="1"/>
  <c r="O60" i="1"/>
  <c r="F72" i="1" l="1"/>
  <c r="O59" i="1"/>
  <c r="F80" i="1"/>
  <c r="O58" i="1"/>
  <c r="M34" i="3"/>
  <c r="J38" i="1"/>
  <c r="J40" i="1"/>
  <c r="H17" i="5" l="1"/>
  <c r="H19" i="5"/>
  <c r="H21" i="5"/>
  <c r="H23" i="5"/>
  <c r="H25" i="5"/>
  <c r="H27" i="5"/>
  <c r="H29" i="5"/>
  <c r="H31" i="5"/>
  <c r="D270" i="5" l="1"/>
  <c r="H104" i="5"/>
  <c r="H118" i="4" l="1"/>
  <c r="V15" i="2" l="1"/>
  <c r="Z95" i="2" l="1"/>
  <c r="F134" i="6" l="1"/>
  <c r="D61" i="19" l="1"/>
  <c r="D11" i="27" l="1"/>
  <c r="D7" i="27"/>
  <c r="D5" i="27"/>
  <c r="D11" i="22"/>
  <c r="D7" i="22"/>
  <c r="D5" i="22"/>
  <c r="D11" i="21"/>
  <c r="D7" i="21"/>
  <c r="D5" i="21"/>
  <c r="D11" i="20"/>
  <c r="D7" i="20"/>
  <c r="D5" i="20"/>
  <c r="D11" i="19"/>
  <c r="D7" i="19"/>
  <c r="D5" i="19"/>
  <c r="D11" i="18"/>
  <c r="D7" i="18"/>
  <c r="D5" i="18"/>
  <c r="D11" i="17"/>
  <c r="D7" i="17"/>
  <c r="D5" i="17"/>
  <c r="D11" i="12"/>
  <c r="D7" i="12"/>
  <c r="D5" i="12"/>
  <c r="D11" i="16"/>
  <c r="D7" i="16"/>
  <c r="D5" i="16"/>
  <c r="D11" i="15"/>
  <c r="D7" i="15"/>
  <c r="D5" i="15"/>
  <c r="D11" i="14"/>
  <c r="D7" i="14"/>
  <c r="D5" i="14"/>
  <c r="D11" i="9"/>
  <c r="D5" i="9"/>
  <c r="D11" i="8"/>
  <c r="D7" i="8"/>
  <c r="D5" i="8"/>
  <c r="D11" i="6"/>
  <c r="D7" i="6"/>
  <c r="D5" i="6"/>
  <c r="D11" i="5"/>
  <c r="D7" i="5"/>
  <c r="D5" i="5"/>
  <c r="D11" i="10"/>
  <c r="D7" i="10"/>
  <c r="D5" i="10"/>
  <c r="D11" i="1"/>
  <c r="D7" i="1"/>
  <c r="D5" i="1"/>
  <c r="D11" i="4"/>
  <c r="D7" i="4"/>
  <c r="D5" i="4"/>
  <c r="D11" i="3"/>
  <c r="D7" i="3"/>
  <c r="D5" i="3"/>
  <c r="C307" i="2"/>
  <c r="C306" i="2"/>
  <c r="C305" i="2"/>
  <c r="J15" i="12"/>
  <c r="L29" i="12" l="1"/>
  <c r="J29" i="12" s="1"/>
  <c r="F49" i="12"/>
  <c r="F43" i="12"/>
  <c r="L45" i="12" s="1"/>
  <c r="J45" i="12" s="1"/>
  <c r="F65" i="12"/>
  <c r="F89" i="12"/>
  <c r="F71" i="12"/>
  <c r="F97" i="12"/>
  <c r="F77" i="12"/>
  <c r="F111" i="12"/>
  <c r="F57" i="12"/>
  <c r="F83" i="12"/>
  <c r="L39" i="12"/>
  <c r="J39" i="12" s="1"/>
  <c r="L41" i="12"/>
  <c r="J41" i="12" s="1"/>
  <c r="L43" i="2"/>
  <c r="L83" i="2" s="1"/>
  <c r="Z83" i="2" s="1"/>
  <c r="B25" i="27"/>
  <c r="B25" i="16"/>
  <c r="B25" i="15"/>
  <c r="B25" i="14"/>
  <c r="AC43" i="2" l="1"/>
  <c r="Z43" i="2"/>
  <c r="R43" i="2"/>
  <c r="AB43" i="2" s="1"/>
  <c r="L63" i="2"/>
  <c r="P43" i="2"/>
  <c r="AA43" i="2" s="1"/>
  <c r="U83" i="2"/>
  <c r="L87" i="12"/>
  <c r="L85" i="12"/>
  <c r="L37" i="12"/>
  <c r="J37" i="12" s="1"/>
  <c r="L35" i="12"/>
  <c r="J35" i="12" s="1"/>
  <c r="L33" i="12"/>
  <c r="J33" i="12" s="1"/>
  <c r="L31" i="12"/>
  <c r="J31" i="12" s="1"/>
  <c r="D74" i="5"/>
  <c r="D132" i="12" l="1"/>
  <c r="P83" i="2" s="1"/>
  <c r="AC63" i="2"/>
  <c r="U63" i="2"/>
  <c r="AC83" i="2"/>
  <c r="H80" i="5"/>
  <c r="H78" i="5"/>
  <c r="H76" i="5"/>
  <c r="H74" i="5"/>
  <c r="A39" i="2"/>
  <c r="D38" i="3" l="1"/>
  <c r="AA77" i="2"/>
  <c r="S23" i="27"/>
  <c r="F58" i="15"/>
  <c r="S23" i="16"/>
  <c r="S23" i="15"/>
  <c r="F58" i="14"/>
  <c r="S33" i="9"/>
  <c r="B40" i="4"/>
  <c r="H40" i="4" s="1"/>
  <c r="C294" i="2"/>
  <c r="C291" i="2"/>
  <c r="C292" i="2"/>
  <c r="C293" i="2"/>
  <c r="C290" i="2"/>
  <c r="C281" i="2"/>
  <c r="C280" i="2"/>
  <c r="C279" i="2"/>
  <c r="C278" i="2"/>
  <c r="P95" i="2" l="1"/>
  <c r="AA95" i="2" s="1"/>
  <c r="P93" i="2"/>
  <c r="AA93" i="2" s="1"/>
  <c r="P91" i="2"/>
  <c r="AA91" i="2" s="1"/>
  <c r="R89" i="2"/>
  <c r="P87" i="2"/>
  <c r="AA87" i="2" s="1"/>
  <c r="P71" i="2"/>
  <c r="P69" i="2"/>
  <c r="AA69" i="2" s="1"/>
  <c r="R95" i="2"/>
  <c r="R93" i="2"/>
  <c r="R91" i="2"/>
  <c r="R87" i="2"/>
  <c r="R71" i="2"/>
  <c r="J17" i="12"/>
  <c r="D65" i="27"/>
  <c r="D64" i="27"/>
  <c r="D56" i="27"/>
  <c r="X97" i="2" s="1"/>
  <c r="D61" i="22"/>
  <c r="D60" i="22"/>
  <c r="D52" i="22"/>
  <c r="X71" i="2" s="1"/>
  <c r="D61" i="21"/>
  <c r="D60" i="21"/>
  <c r="D52" i="21"/>
  <c r="D61" i="20"/>
  <c r="D60" i="20"/>
  <c r="D52" i="20"/>
  <c r="P48" i="20"/>
  <c r="D52" i="19"/>
  <c r="D61" i="18"/>
  <c r="D60" i="18"/>
  <c r="D52" i="18"/>
  <c r="D61" i="17"/>
  <c r="D52" i="17"/>
  <c r="D139" i="12"/>
  <c r="D65" i="16"/>
  <c r="D56" i="16"/>
  <c r="X87" i="2" s="1"/>
  <c r="P52" i="16"/>
  <c r="D65" i="15"/>
  <c r="D56" i="15"/>
  <c r="X79" i="2" s="1"/>
  <c r="P52" i="15"/>
  <c r="D65" i="14"/>
  <c r="D64" i="14"/>
  <c r="D56" i="14"/>
  <c r="X67" i="2" s="1"/>
  <c r="P52" i="14"/>
  <c r="D214" i="9"/>
  <c r="X65" i="2" s="1"/>
  <c r="D223" i="9"/>
  <c r="B70" i="4"/>
  <c r="B60" i="4"/>
  <c r="H36" i="4"/>
  <c r="R31" i="2"/>
  <c r="J29" i="1"/>
  <c r="J31" i="10"/>
  <c r="X95" i="2" l="1"/>
  <c r="AA71" i="2"/>
  <c r="F59" i="17"/>
  <c r="X89" i="2"/>
  <c r="F63" i="15"/>
  <c r="F59" i="19"/>
  <c r="F59" i="20"/>
  <c r="F63" i="14"/>
  <c r="F59" i="22"/>
  <c r="H98" i="4"/>
  <c r="H70" i="4"/>
  <c r="H72" i="4"/>
  <c r="H76" i="4"/>
  <c r="H102" i="4"/>
  <c r="H74" i="4"/>
  <c r="H100" i="4"/>
  <c r="H96" i="4"/>
  <c r="H64" i="4"/>
  <c r="H94" i="4"/>
  <c r="H62" i="4"/>
  <c r="H66" i="4"/>
  <c r="H92" i="4"/>
  <c r="H60" i="4"/>
  <c r="F59" i="21"/>
  <c r="F59" i="18"/>
  <c r="F63" i="16"/>
  <c r="F221" i="9"/>
  <c r="F63" i="27"/>
  <c r="H137" i="12"/>
  <c r="D100" i="8"/>
  <c r="D91" i="8"/>
  <c r="X75" i="2" s="1"/>
  <c r="D132" i="6"/>
  <c r="D141" i="6"/>
  <c r="D277" i="5"/>
  <c r="D276" i="5"/>
  <c r="D268" i="5"/>
  <c r="X59" i="2" s="1"/>
  <c r="P264" i="5"/>
  <c r="D154" i="10"/>
  <c r="D145" i="10"/>
  <c r="X57" i="2" s="1"/>
  <c r="D161" i="1"/>
  <c r="D152" i="1"/>
  <c r="X55" i="2" s="1"/>
  <c r="D172" i="4"/>
  <c r="D163" i="4"/>
  <c r="X49" i="2" s="1"/>
  <c r="D75" i="3"/>
  <c r="D66" i="3"/>
  <c r="X47" i="2" s="1"/>
  <c r="D58" i="1"/>
  <c r="F60" i="10"/>
  <c r="F62" i="10" s="1"/>
  <c r="H252" i="5"/>
  <c r="H40" i="5"/>
  <c r="D33" i="8"/>
  <c r="D35" i="8" s="1"/>
  <c r="H44" i="27"/>
  <c r="H21" i="27"/>
  <c r="S19" i="27"/>
  <c r="H19" i="27"/>
  <c r="H17" i="27"/>
  <c r="H15" i="27"/>
  <c r="D54" i="5"/>
  <c r="F98" i="8" l="1"/>
  <c r="X63" i="2"/>
  <c r="F139" i="6"/>
  <c r="F88" i="1"/>
  <c r="H60" i="5"/>
  <c r="H58" i="5"/>
  <c r="H56" i="5"/>
  <c r="H54" i="5"/>
  <c r="H159" i="1"/>
  <c r="F77" i="10"/>
  <c r="F75" i="10"/>
  <c r="F170" i="4"/>
  <c r="H152" i="10"/>
  <c r="F275" i="5"/>
  <c r="F73" i="3"/>
  <c r="B50" i="4"/>
  <c r="H124" i="4"/>
  <c r="H86" i="4" l="1"/>
  <c r="H50" i="4"/>
  <c r="H90" i="4"/>
  <c r="H88" i="4"/>
  <c r="H52" i="4"/>
  <c r="H56" i="4"/>
  <c r="H54" i="4"/>
  <c r="H108" i="4" l="1"/>
  <c r="S21" i="3" l="1"/>
  <c r="S21" i="4"/>
  <c r="S21" i="1"/>
  <c r="S21" i="10"/>
  <c r="S26" i="6"/>
  <c r="T21" i="8"/>
  <c r="S21" i="9"/>
  <c r="S19" i="14"/>
  <c r="S19" i="15"/>
  <c r="S19" i="16"/>
  <c r="S19" i="17"/>
  <c r="S19" i="18"/>
  <c r="S19" i="19"/>
  <c r="S19" i="20"/>
  <c r="S19" i="21"/>
  <c r="S19" i="22"/>
  <c r="N38" i="3" l="1"/>
  <c r="D50" i="3"/>
  <c r="D56" i="3" l="1"/>
  <c r="D58" i="3"/>
  <c r="H152" i="4"/>
  <c r="H156" i="5" l="1"/>
  <c r="H154" i="5"/>
  <c r="H152" i="5"/>
  <c r="H150" i="5"/>
  <c r="H148" i="5"/>
  <c r="H146" i="5"/>
  <c r="H144" i="5"/>
  <c r="H132" i="5"/>
  <c r="L53" i="12" l="1"/>
  <c r="J21" i="12"/>
  <c r="J19" i="12"/>
  <c r="J115" i="10" l="1"/>
  <c r="J93" i="10"/>
  <c r="J89" i="10"/>
  <c r="J91" i="10"/>
  <c r="J77" i="10"/>
  <c r="J85" i="10"/>
  <c r="D44" i="5" l="1"/>
  <c r="H44" i="5" s="1"/>
  <c r="J50" i="10"/>
  <c r="J125" i="10"/>
  <c r="J127" i="10"/>
  <c r="J130" i="10"/>
  <c r="J132" i="10"/>
  <c r="J117" i="10"/>
  <c r="J119" i="10"/>
  <c r="J121" i="10"/>
  <c r="J107" i="10"/>
  <c r="J109" i="10"/>
  <c r="J111" i="10"/>
  <c r="J98" i="10"/>
  <c r="J100" i="10"/>
  <c r="J102" i="10"/>
  <c r="J81" i="10"/>
  <c r="J83" i="10"/>
  <c r="J73" i="10"/>
  <c r="J75" i="10"/>
  <c r="J142" i="1"/>
  <c r="J140" i="1"/>
  <c r="J138" i="1"/>
  <c r="J134" i="1"/>
  <c r="J132" i="1"/>
  <c r="J130" i="1"/>
  <c r="J128" i="1"/>
  <c r="J122" i="1"/>
  <c r="J120" i="1"/>
  <c r="J118" i="1"/>
  <c r="J116" i="1"/>
  <c r="J110" i="1"/>
  <c r="J108" i="1"/>
  <c r="J106" i="1"/>
  <c r="J100" i="1"/>
  <c r="J98" i="1"/>
  <c r="J96" i="1"/>
  <c r="J90" i="1"/>
  <c r="J88" i="1"/>
  <c r="J86" i="1"/>
  <c r="J82" i="1"/>
  <c r="J80" i="1"/>
  <c r="J78" i="1"/>
  <c r="J70" i="1"/>
  <c r="AC59" i="2" l="1"/>
  <c r="U59" i="2"/>
  <c r="AC103" i="2" l="1"/>
  <c r="A30" i="33" s="1"/>
  <c r="AA83" i="2"/>
  <c r="N50" i="4"/>
  <c r="H256" i="5"/>
  <c r="H254" i="5"/>
  <c r="H248" i="5"/>
  <c r="H246" i="5"/>
  <c r="H244" i="5"/>
  <c r="H242" i="5"/>
  <c r="H237" i="5"/>
  <c r="H235" i="5"/>
  <c r="H231" i="5"/>
  <c r="H226" i="5"/>
  <c r="H224" i="5"/>
  <c r="H222" i="5"/>
  <c r="H215" i="5"/>
  <c r="H211" i="5"/>
  <c r="H203" i="5"/>
  <c r="H201" i="5"/>
  <c r="H199" i="5"/>
  <c r="H136" i="5"/>
  <c r="H134" i="5"/>
  <c r="F28" i="33" l="1"/>
  <c r="A22" i="33"/>
  <c r="A32" i="33"/>
  <c r="F30" i="33"/>
  <c r="A28" i="33"/>
  <c r="F26" i="33"/>
  <c r="A26" i="33"/>
  <c r="F24" i="33"/>
  <c r="F22" i="33"/>
  <c r="A24" i="33"/>
  <c r="J87" i="12"/>
  <c r="H29" i="8"/>
  <c r="H127" i="5"/>
  <c r="H116" i="5"/>
  <c r="J52" i="1"/>
  <c r="H31" i="4"/>
  <c r="H27" i="4"/>
  <c r="H28" i="3"/>
  <c r="H69" i="6" l="1"/>
  <c r="H30" i="3" l="1"/>
  <c r="H26" i="3"/>
  <c r="H17" i="3"/>
  <c r="J46" i="1"/>
  <c r="J48" i="1"/>
  <c r="J50" i="1"/>
  <c r="J17" i="1"/>
  <c r="J19" i="1"/>
  <c r="J21" i="1"/>
  <c r="J23" i="1"/>
  <c r="J25" i="1"/>
  <c r="J27" i="1"/>
  <c r="J32" i="1"/>
  <c r="J34" i="1"/>
  <c r="J56" i="1"/>
  <c r="J58" i="1"/>
  <c r="J60" i="1"/>
  <c r="J62" i="1"/>
  <c r="J64" i="1"/>
  <c r="J66" i="1"/>
  <c r="J54" i="10"/>
  <c r="J52" i="10"/>
  <c r="P15" i="10"/>
  <c r="J21" i="10"/>
  <c r="J23" i="10"/>
  <c r="J25" i="10"/>
  <c r="J27" i="10"/>
  <c r="J29" i="10"/>
  <c r="J36" i="10"/>
  <c r="J38" i="10"/>
  <c r="J42" i="10"/>
  <c r="J44" i="10"/>
  <c r="J58" i="10"/>
  <c r="J60" i="10"/>
  <c r="J62" i="10"/>
  <c r="J64" i="10"/>
  <c r="J66" i="10"/>
  <c r="J68" i="10"/>
  <c r="H150" i="4"/>
  <c r="H17" i="4"/>
  <c r="D165" i="4" s="1"/>
  <c r="H148" i="4"/>
  <c r="H60" i="3"/>
  <c r="H15" i="22"/>
  <c r="AB71" i="2"/>
  <c r="H17" i="22"/>
  <c r="H19" i="22"/>
  <c r="H21" i="22"/>
  <c r="H40" i="22"/>
  <c r="H40" i="21"/>
  <c r="H17" i="21"/>
  <c r="H15" i="21"/>
  <c r="H19" i="21"/>
  <c r="H21" i="21"/>
  <c r="H15" i="20"/>
  <c r="AB95" i="2"/>
  <c r="H17" i="20"/>
  <c r="H19" i="20"/>
  <c r="H21" i="20"/>
  <c r="H40" i="20"/>
  <c r="H40" i="19"/>
  <c r="H15" i="19"/>
  <c r="AB93" i="2"/>
  <c r="H17" i="19"/>
  <c r="H19" i="19"/>
  <c r="H21" i="19"/>
  <c r="H40" i="18"/>
  <c r="H15" i="18"/>
  <c r="AB91" i="2"/>
  <c r="H17" i="18"/>
  <c r="H19" i="18"/>
  <c r="H21" i="18"/>
  <c r="H40" i="17"/>
  <c r="H15" i="17"/>
  <c r="H17" i="17"/>
  <c r="H19" i="17"/>
  <c r="H21" i="17"/>
  <c r="H44" i="16"/>
  <c r="H15" i="16"/>
  <c r="AB87" i="2"/>
  <c r="H17" i="16"/>
  <c r="H19" i="16"/>
  <c r="H21" i="16"/>
  <c r="H15" i="15"/>
  <c r="D58" i="15" s="1"/>
  <c r="P79" i="2" s="1"/>
  <c r="AA79" i="2" s="1"/>
  <c r="H17" i="15"/>
  <c r="H19" i="15"/>
  <c r="H21" i="15"/>
  <c r="H44" i="15"/>
  <c r="H15" i="14"/>
  <c r="H17" i="14"/>
  <c r="H19" i="14"/>
  <c r="H21" i="14"/>
  <c r="H44" i="14"/>
  <c r="L113" i="12"/>
  <c r="J113" i="12" s="1"/>
  <c r="J107" i="12"/>
  <c r="L109" i="12"/>
  <c r="J109" i="12" s="1"/>
  <c r="L115" i="12"/>
  <c r="J115" i="12" s="1"/>
  <c r="Z47" i="2"/>
  <c r="H19" i="3"/>
  <c r="H21" i="3"/>
  <c r="H23" i="3"/>
  <c r="Z49" i="2"/>
  <c r="H85" i="6"/>
  <c r="H87" i="6"/>
  <c r="H89" i="6"/>
  <c r="H91" i="6"/>
  <c r="H93" i="6"/>
  <c r="H95" i="6"/>
  <c r="H99" i="6"/>
  <c r="H101" i="6"/>
  <c r="H103" i="6"/>
  <c r="H105" i="6"/>
  <c r="H109" i="6"/>
  <c r="H111" i="6"/>
  <c r="H113" i="6"/>
  <c r="H115" i="6"/>
  <c r="H117" i="6"/>
  <c r="H119" i="6"/>
  <c r="H77" i="8"/>
  <c r="H19" i="8"/>
  <c r="H17" i="8"/>
  <c r="D93" i="8" s="1"/>
  <c r="P75" i="2" s="1"/>
  <c r="H50" i="5"/>
  <c r="D64" i="5"/>
  <c r="H34" i="5"/>
  <c r="H36" i="5"/>
  <c r="H38" i="5"/>
  <c r="H84" i="5"/>
  <c r="H86" i="5"/>
  <c r="H100" i="5"/>
  <c r="H102" i="5"/>
  <c r="H110" i="5"/>
  <c r="H112" i="5"/>
  <c r="H114" i="5"/>
  <c r="H121" i="5"/>
  <c r="H123" i="5"/>
  <c r="H125" i="5"/>
  <c r="H213" i="5"/>
  <c r="Z67" i="2"/>
  <c r="Z79" i="2"/>
  <c r="Z87" i="2"/>
  <c r="Z91" i="2"/>
  <c r="Z93" i="2"/>
  <c r="Z71" i="2"/>
  <c r="L59" i="12"/>
  <c r="J59" i="12" s="1"/>
  <c r="L61" i="12"/>
  <c r="J61" i="12" s="1"/>
  <c r="L63" i="12"/>
  <c r="J63" i="12" s="1"/>
  <c r="L47" i="12"/>
  <c r="J47" i="12" s="1"/>
  <c r="L103" i="12"/>
  <c r="J103" i="12" s="1"/>
  <c r="L101" i="12"/>
  <c r="J101" i="12" s="1"/>
  <c r="L99" i="12"/>
  <c r="J99" i="12" s="1"/>
  <c r="L95" i="12"/>
  <c r="J95" i="12" s="1"/>
  <c r="L93" i="12"/>
  <c r="J93" i="12" s="1"/>
  <c r="L91" i="12"/>
  <c r="J91" i="12" s="1"/>
  <c r="J85" i="12"/>
  <c r="L69" i="12"/>
  <c r="J69" i="12" s="1"/>
  <c r="L81" i="12"/>
  <c r="J81" i="12" s="1"/>
  <c r="L79" i="12"/>
  <c r="J79" i="12" s="1"/>
  <c r="L75" i="12"/>
  <c r="J75" i="12" s="1"/>
  <c r="L73" i="12"/>
  <c r="J73" i="12" s="1"/>
  <c r="L67" i="12"/>
  <c r="J67" i="12" s="1"/>
  <c r="L55" i="12"/>
  <c r="J55" i="12" s="1"/>
  <c r="J53" i="12"/>
  <c r="L51" i="12"/>
  <c r="J51" i="12" s="1"/>
  <c r="H49" i="6"/>
  <c r="H39" i="6"/>
  <c r="H58" i="3"/>
  <c r="H46" i="3"/>
  <c r="H44" i="3"/>
  <c r="H42" i="3"/>
  <c r="H40" i="3"/>
  <c r="H19" i="4"/>
  <c r="H21" i="4"/>
  <c r="H23" i="4"/>
  <c r="H25" i="4"/>
  <c r="H34" i="4"/>
  <c r="H106" i="4"/>
  <c r="H110" i="4"/>
  <c r="H112" i="4"/>
  <c r="H114" i="4"/>
  <c r="H21" i="8"/>
  <c r="H23" i="8"/>
  <c r="H27" i="8"/>
  <c r="H31" i="8"/>
  <c r="H49" i="8"/>
  <c r="H51" i="8"/>
  <c r="H57" i="8"/>
  <c r="H59" i="8"/>
  <c r="H17" i="9"/>
  <c r="Z65" i="2"/>
  <c r="AB77" i="2"/>
  <c r="Z77" i="2"/>
  <c r="J15" i="10"/>
  <c r="H75" i="6"/>
  <c r="H73" i="6"/>
  <c r="H71" i="6"/>
  <c r="H65" i="6"/>
  <c r="H63" i="6"/>
  <c r="H61" i="6"/>
  <c r="H57" i="6"/>
  <c r="H55" i="6"/>
  <c r="H53" i="6"/>
  <c r="H51" i="6"/>
  <c r="H37" i="6"/>
  <c r="H31" i="6"/>
  <c r="M31" i="6" s="1"/>
  <c r="H23" i="6"/>
  <c r="H21" i="6"/>
  <c r="H144" i="4"/>
  <c r="H142" i="4"/>
  <c r="H140" i="4"/>
  <c r="H138" i="4"/>
  <c r="H136" i="4"/>
  <c r="H134" i="4"/>
  <c r="H132" i="4"/>
  <c r="H130" i="4"/>
  <c r="H128" i="4"/>
  <c r="H126" i="4"/>
  <c r="H122" i="4"/>
  <c r="H120" i="4"/>
  <c r="H19" i="6"/>
  <c r="D118" i="6"/>
  <c r="D110" i="6"/>
  <c r="D104" i="6"/>
  <c r="D100" i="6"/>
  <c r="D94" i="6"/>
  <c r="D86" i="6"/>
  <c r="D76" i="6"/>
  <c r="H17" i="6"/>
  <c r="D149" i="10" l="1"/>
  <c r="D156" i="1"/>
  <c r="D136" i="6"/>
  <c r="D134" i="6"/>
  <c r="P63" i="2" s="1"/>
  <c r="D95" i="8"/>
  <c r="R75" i="2" s="1"/>
  <c r="D134" i="12"/>
  <c r="P49" i="2"/>
  <c r="AA49" i="2" s="1"/>
  <c r="M43" i="6"/>
  <c r="M41" i="6"/>
  <c r="M45" i="6"/>
  <c r="M39" i="6"/>
  <c r="M35" i="6"/>
  <c r="M33" i="6"/>
  <c r="M17" i="8"/>
  <c r="M17" i="3"/>
  <c r="P47" i="2"/>
  <c r="R69" i="2"/>
  <c r="H70" i="5"/>
  <c r="H64" i="5"/>
  <c r="H68" i="5"/>
  <c r="H66" i="5"/>
  <c r="R47" i="2"/>
  <c r="U47" i="2" s="1"/>
  <c r="R57" i="2"/>
  <c r="R67" i="2"/>
  <c r="AB67" i="2" s="1"/>
  <c r="P67" i="2"/>
  <c r="P59" i="2"/>
  <c r="AA59" i="2" s="1"/>
  <c r="R79" i="2"/>
  <c r="AB79" i="2" s="1"/>
  <c r="P55" i="2"/>
  <c r="AA55" i="2" s="1"/>
  <c r="P57" i="2"/>
  <c r="AA57" i="2" s="1"/>
  <c r="Z75" i="2"/>
  <c r="F120" i="1"/>
  <c r="Z59" i="2"/>
  <c r="H84" i="4"/>
  <c r="H80" i="4"/>
  <c r="H46" i="4"/>
  <c r="D60" i="3"/>
  <c r="Z57" i="2"/>
  <c r="H48" i="5"/>
  <c r="N61" i="3"/>
  <c r="Z55" i="2"/>
  <c r="H46" i="5"/>
  <c r="H82" i="4"/>
  <c r="H44" i="4"/>
  <c r="H42" i="4"/>
  <c r="D272" i="5" l="1"/>
  <c r="R59" i="2" s="1"/>
  <c r="D167" i="4"/>
  <c r="R49" i="2" s="1"/>
  <c r="AB69" i="2"/>
  <c r="AA67" i="2"/>
  <c r="R33" i="2"/>
  <c r="R55" i="2"/>
  <c r="AA47" i="2"/>
  <c r="AA75" i="2"/>
  <c r="AB57" i="2"/>
  <c r="AB75" i="2"/>
  <c r="D54" i="3"/>
  <c r="N54" i="3" s="1"/>
  <c r="F83" i="10"/>
  <c r="F93" i="10"/>
  <c r="F121" i="10"/>
  <c r="F130" i="10"/>
  <c r="F100" i="10"/>
  <c r="F111" i="10"/>
  <c r="F132" i="10"/>
  <c r="F91" i="10"/>
  <c r="F119" i="10"/>
  <c r="F102" i="10"/>
  <c r="F85" i="10"/>
  <c r="F109" i="10"/>
  <c r="D52" i="3"/>
  <c r="N52" i="3" s="1"/>
  <c r="N56" i="3"/>
  <c r="AB47" i="2"/>
  <c r="AB55" i="2" l="1"/>
  <c r="R63" i="2"/>
  <c r="Z63" i="2"/>
  <c r="Z103" i="2" s="1"/>
  <c r="E103" i="2" s="1"/>
  <c r="AB49" i="2"/>
  <c r="AB59" i="2"/>
  <c r="AB63" i="2" l="1"/>
  <c r="AA63" i="2"/>
  <c r="D98" i="8" l="1"/>
  <c r="D63" i="14"/>
  <c r="D139" i="6"/>
  <c r="D59" i="19"/>
  <c r="D63" i="16"/>
  <c r="D170" i="4"/>
  <c r="D152" i="10"/>
  <c r="D59" i="22"/>
  <c r="D159" i="1"/>
  <c r="D59" i="21"/>
  <c r="D221" i="9"/>
  <c r="D73" i="3"/>
  <c r="D275" i="5"/>
  <c r="D63" i="27"/>
  <c r="D137" i="12"/>
  <c r="D59" i="17"/>
  <c r="D63" i="15"/>
  <c r="D59" i="18"/>
  <c r="D59" i="20"/>
  <c r="P65" i="2" l="1"/>
  <c r="R65" i="2"/>
  <c r="AB65" i="2" s="1"/>
  <c r="AA65" i="2" l="1"/>
  <c r="AA103" i="2" s="1"/>
  <c r="E105" i="2" l="1"/>
  <c r="B65" i="38" l="1"/>
  <c r="D187" i="38" s="1"/>
  <c r="E187" i="38" l="1"/>
  <c r="O65" i="38"/>
  <c r="D188" i="38"/>
  <c r="E188" i="38"/>
  <c r="J67" i="38"/>
  <c r="D94" i="38" s="1"/>
  <c r="R83" i="2" s="1"/>
  <c r="AB83" i="2" s="1"/>
  <c r="AB103" i="2" s="1"/>
  <c r="E107" i="2" s="1"/>
  <c r="K71" i="33" l="1"/>
  <c r="L71" i="33" s="1"/>
  <c r="K70" i="33"/>
  <c r="K69" i="33"/>
  <c r="K68" i="33" l="1"/>
  <c r="L68" i="33" s="1"/>
  <c r="L70" i="33"/>
  <c r="AA32" i="33"/>
  <c r="Z32" i="33"/>
  <c r="Y32" i="33"/>
  <c r="AB32" i="33"/>
  <c r="AC32" i="33"/>
  <c r="U98" i="2"/>
  <c r="F32" i="33" l="1"/>
  <c r="L69" i="33"/>
  <c r="F16"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Steffen Chris</author>
    <author>Chris Steffen</author>
  </authors>
  <commentList>
    <comment ref="E39" authorId="0" shapeId="0" xr:uid="{039E547C-F540-49F7-9A4E-952C10D434B3}">
      <text>
        <r>
          <rPr>
            <b/>
            <sz val="9"/>
            <color indexed="81"/>
            <rFont val="Segoe UI"/>
            <family val="2"/>
          </rPr>
          <t>Steffen Chris:</t>
        </r>
        <r>
          <rPr>
            <sz val="9"/>
            <color indexed="81"/>
            <rFont val="Segoe UI"/>
            <family val="2"/>
          </rPr>
          <t xml:space="preserve">
Entspricht der Art der technischen Installation, die im Gebäude für die Heizung 
der Räume genutzt wird</t>
        </r>
      </text>
    </comment>
    <comment ref="E41" authorId="0" shapeId="0" xr:uid="{319A4088-4A64-465A-B51F-6D1D2F009E85}">
      <text>
        <r>
          <rPr>
            <b/>
            <sz val="9"/>
            <color indexed="81"/>
            <rFont val="Segoe UI"/>
            <family val="2"/>
          </rPr>
          <t>Steffen Chris:</t>
        </r>
        <r>
          <rPr>
            <sz val="9"/>
            <color indexed="81"/>
            <rFont val="Segoe UI"/>
            <family val="2"/>
          </rPr>
          <t xml:space="preserve">
Entspricht, wenn vorhanden, der Art der zweiten technischen Installation, die im Gebäude für die Heizung der Räume genutzt wird.</t>
        </r>
      </text>
    </comment>
    <comment ref="E43" authorId="0" shapeId="0" xr:uid="{9AE51920-5BE5-47BD-8B2A-EE3C203934E8}">
      <text>
        <r>
          <rPr>
            <b/>
            <sz val="9"/>
            <color indexed="81"/>
            <rFont val="Segoe UI"/>
            <family val="2"/>
          </rPr>
          <t>Steffen Chris:</t>
        </r>
        <r>
          <rPr>
            <sz val="9"/>
            <color indexed="81"/>
            <rFont val="Segoe UI"/>
            <family val="2"/>
          </rPr>
          <t xml:space="preserve">
Gibt die vom ersten Wärmeerzeuger genutzte Hauptenergiequelle an</t>
        </r>
      </text>
    </comment>
    <comment ref="E45" authorId="0" shapeId="0" xr:uid="{CD650C8D-4108-4C1A-8F21-5F71CBE19548}">
      <text>
        <r>
          <rPr>
            <b/>
            <sz val="9"/>
            <color indexed="81"/>
            <rFont val="Segoe UI"/>
            <family val="2"/>
          </rPr>
          <t>Steffen Chris:</t>
        </r>
        <r>
          <rPr>
            <sz val="9"/>
            <color indexed="81"/>
            <rFont val="Segoe UI"/>
            <family val="2"/>
          </rPr>
          <t xml:space="preserve">
Gibt, wenn vorhanden, die vom zweiten 
Wärmeerzeuger genutzte Hauptenergiequelle an.</t>
        </r>
      </text>
    </comment>
    <comment ref="E47" authorId="0" shapeId="0" xr:uid="{9F65E3F1-CB2B-4DED-A1BB-AA549C456B49}">
      <text>
        <r>
          <rPr>
            <b/>
            <sz val="9"/>
            <color indexed="81"/>
            <rFont val="Segoe UI"/>
            <family val="2"/>
          </rPr>
          <t>Steffen Chris:</t>
        </r>
        <r>
          <rPr>
            <sz val="9"/>
            <color indexed="81"/>
            <rFont val="Segoe UI"/>
            <family val="2"/>
          </rPr>
          <t xml:space="preserve">
Entspricht der Art der technischen Installation, die im Gebäude für das Aufbereiten von Brauchwarmwasser genutzt wird.</t>
        </r>
      </text>
    </comment>
    <comment ref="E49" authorId="0" shapeId="0" xr:uid="{BBBD5D14-FF07-4565-88FE-97A93A51F9E0}">
      <text>
        <r>
          <rPr>
            <b/>
            <sz val="9"/>
            <color indexed="81"/>
            <rFont val="Segoe UI"/>
            <family val="2"/>
          </rPr>
          <t>Steffen Chris:</t>
        </r>
        <r>
          <rPr>
            <sz val="9"/>
            <color indexed="81"/>
            <rFont val="Segoe UI"/>
            <family val="2"/>
          </rPr>
          <t xml:space="preserve">
Entspricht der Art der technischen Installation, die im Gebäude für das Aufbereiten von Brauchwarmwasser genutzt wird.</t>
        </r>
      </text>
    </comment>
    <comment ref="E51" authorId="0" shapeId="0" xr:uid="{7B55D2E8-01A3-4722-95F5-26B41690AF5C}">
      <text>
        <r>
          <rPr>
            <b/>
            <sz val="9"/>
            <color indexed="81"/>
            <rFont val="Segoe UI"/>
            <family val="2"/>
          </rPr>
          <t>Steffen Chris:</t>
        </r>
        <r>
          <rPr>
            <sz val="9"/>
            <color indexed="81"/>
            <rFont val="Segoe UI"/>
            <family val="2"/>
          </rPr>
          <t xml:space="preserve">
Gibt die vom ersten Wärmeerzeuger genutzte Hauptenergiequelle an.</t>
        </r>
      </text>
    </comment>
    <comment ref="E53" authorId="0" shapeId="0" xr:uid="{B828068D-5571-44B7-B7D0-2C54436F4163}">
      <text>
        <r>
          <rPr>
            <b/>
            <sz val="9"/>
            <color indexed="81"/>
            <rFont val="Segoe UI"/>
            <family val="2"/>
          </rPr>
          <t>Steffen Chris:</t>
        </r>
        <r>
          <rPr>
            <sz val="9"/>
            <color indexed="81"/>
            <rFont val="Segoe UI"/>
            <family val="2"/>
          </rPr>
          <t xml:space="preserve">
Gibt, wenn vorhanden, die vom zweiten Wärmeerzeuger genutzte Hauptenergiequelle an.</t>
        </r>
      </text>
    </comment>
    <comment ref="N54" authorId="1" shapeId="0" xr:uid="{804CA694-325A-43CC-AE1C-1B5499347742}">
      <text>
        <r>
          <rPr>
            <b/>
            <sz val="9"/>
            <color indexed="81"/>
            <rFont val="Segoe UI"/>
            <family val="2"/>
          </rPr>
          <t>Chris Steffen:</t>
        </r>
        <r>
          <rPr>
            <sz val="9"/>
            <color indexed="81"/>
            <rFont val="Segoe UI"/>
            <family val="2"/>
          </rPr>
          <t xml:space="preserve">
Die Zellen oberhalb können für diesen Fall überschrieben werden. Bitte die Eingaben manuell gemäss dem GWR-Merkmalskatalog 4.1 ergänzen. Nur falls eine sorgfältige Ergänzung vorgenommen wurde, kann hier "Angepasst" gewählt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 Chris</author>
    <author>Chris Steffen</author>
  </authors>
  <commentList>
    <comment ref="P5" authorId="0" shapeId="0" xr:uid="{B75B0983-79D2-4138-A73C-864D328DC26A}">
      <text>
        <r>
          <rPr>
            <b/>
            <sz val="9"/>
            <color indexed="81"/>
            <rFont val="Segoe UI"/>
            <family val="2"/>
          </rPr>
          <t>Steffen Chris:</t>
        </r>
        <r>
          <rPr>
            <sz val="9"/>
            <color indexed="81"/>
            <rFont val="Segoe UI"/>
            <family val="2"/>
          </rPr>
          <t xml:space="preserve">
Der Hauptverfasser des Nachweises ist einzutragen. In der Regel kann der Nachweisverfasser des EN-101 und EN-102 als Hauptverfasser angegeben werden.</t>
        </r>
      </text>
    </comment>
    <comment ref="P41" authorId="1" shapeId="0" xr:uid="{E4A27C6A-DA5F-4B45-84D4-7C6803E65E47}">
      <text>
        <r>
          <rPr>
            <b/>
            <sz val="9"/>
            <color indexed="81"/>
            <rFont val="Segoe UI"/>
            <family val="2"/>
          </rPr>
          <t>Chris Steffen:</t>
        </r>
        <r>
          <rPr>
            <sz val="9"/>
            <color indexed="81"/>
            <rFont val="Segoe UI"/>
            <family val="2"/>
          </rPr>
          <t xml:space="preserve">
Die Notwendigen Beilagen für die Kontrolle der einzelnen EN-Formulare sind in den nachfolgenden Register jeweils im Kapitel "Vollständigkeit der Beilagen" aufgeführt. Verwenden Sie diese zur Eingangskontrolle.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 Steffen</author>
  </authors>
  <commentList>
    <comment ref="B29" authorId="0" shapeId="0" xr:uid="{DCFEFC68-D75A-4C51-BE0D-54074FDA2BF2}">
      <text>
        <r>
          <rPr>
            <b/>
            <sz val="9"/>
            <color indexed="81"/>
            <rFont val="Segoe UI"/>
            <family val="2"/>
          </rPr>
          <t>Chris Steffen:</t>
        </r>
        <r>
          <rPr>
            <sz val="9"/>
            <color indexed="81"/>
            <rFont val="Segoe UI"/>
            <family val="2"/>
          </rPr>
          <t xml:space="preserve">
Erforderlich wenn die Lüftungsanlage NICHT den Kriterien einer Kleinanlage mit Standardwerten gem. Vollzugshilfe EN 101b Kapitel 2.4 entspricht:
- Wohnnutzung EFH und MFH (Kategorie I und II) ab einer Grösse von 2‘000 m2 EBF pro Zone. 
- Kategorie Verwaltung und Schulen ab einer Grösse von 1‘000 m2 EBF.
- Alle übrigen Gebäudekategorien.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 Steffen</author>
    <author>Steffen Chris</author>
  </authors>
  <commentList>
    <comment ref="C61" authorId="0" shapeId="0" xr:uid="{7A6FD4CF-2A57-4B08-BE24-2AEBFF4AE1A8}">
      <text>
        <r>
          <rPr>
            <b/>
            <sz val="9"/>
            <color indexed="81"/>
            <rFont val="Segoe UI"/>
            <family val="2"/>
          </rPr>
          <t>Chris Steffen:</t>
        </r>
        <r>
          <rPr>
            <sz val="9"/>
            <color indexed="81"/>
            <rFont val="Segoe UI"/>
            <family val="2"/>
          </rPr>
          <t xml:space="preserve">
Diese Angabe kann als Hilfestellung zur Plausibilisierung der Angegebenen belüfteten Fläche verwendet werden. Je nach Erneuerungsvariante  kan die EBFneu stark von der belüfteten Fläche abweichen.</t>
        </r>
      </text>
    </comment>
    <comment ref="C109" authorId="0" shapeId="0" xr:uid="{C81E5E56-355B-4EA7-A23F-A978AD502601}">
      <text>
        <r>
          <rPr>
            <b/>
            <sz val="9"/>
            <color indexed="81"/>
            <rFont val="Segoe UI"/>
            <family val="2"/>
          </rPr>
          <t>Chris Steffen:</t>
        </r>
        <r>
          <rPr>
            <sz val="9"/>
            <color indexed="81"/>
            <rFont val="Segoe UI"/>
            <family val="2"/>
          </rPr>
          <t xml:space="preserve">
Der Monobloc beschreibt die zentrale  Baueinheit, welche die technischen Komponenten der Luftaufbereitung wie Filter, WRG, Ventilator, Lufterhitzer etc. zusammenfasst. Bei Kleinlüftungsanlagen wird diese Einheit auch "Kompaktlüftungsgerät" bezeichnet. </t>
        </r>
      </text>
    </comment>
    <comment ref="D109" authorId="0" shapeId="0" xr:uid="{602681B8-9D1F-4696-862A-F02FFC913FB1}">
      <text>
        <r>
          <rPr>
            <b/>
            <sz val="9"/>
            <color indexed="81"/>
            <rFont val="Segoe UI"/>
            <family val="2"/>
          </rPr>
          <t>Chris Steffen:</t>
        </r>
        <r>
          <rPr>
            <sz val="9"/>
            <color indexed="81"/>
            <rFont val="Segoe UI"/>
            <family val="2"/>
          </rPr>
          <t xml:space="preserve">
Die Anforderungen an die Geschwindigkeit in Apparaten kann vereinfacht plausibilisiert werden. Aus der angegebenen max. Luftgeschwindigkeit kann die Netto-Querschnittsfläche des Monoblocs abgeschätzt werden, welche MINDESTENS erforderlich ist, damit die Anforderungen von 2 m/s unterschritten wird. 
Überprüfen Sie vereinfacht, ob die angegebene Querschnittsfläche des Monoblocs gemäss den Dimensionen der Herstellerdaten plausibel ist. </t>
        </r>
      </text>
    </comment>
    <comment ref="D116" authorId="0" shapeId="0" xr:uid="{65CAC44F-8DF8-4B2F-A21A-EDDAA36D0A30}">
      <text>
        <r>
          <rPr>
            <b/>
            <sz val="9"/>
            <color indexed="81"/>
            <rFont val="Segoe UI"/>
            <family val="2"/>
          </rPr>
          <t>Chris Steffen:</t>
        </r>
        <r>
          <rPr>
            <sz val="9"/>
            <color indexed="81"/>
            <rFont val="Segoe UI"/>
            <family val="2"/>
          </rPr>
          <t xml:space="preserve">
Dieses Feld kann manuell überschrieben werden. Der Maximale Luftvolumenstrom kann von Strang zu Strang variieren und nimmt grundsätzlich vom Hauptstrang bis zu den einzelnen Verteilsträngen ab. </t>
        </r>
      </text>
    </comment>
    <comment ref="D159" authorId="0" shapeId="0" xr:uid="{9F402891-39A1-4F60-8EFE-B0EA2C948C4C}">
      <text>
        <r>
          <rPr>
            <b/>
            <sz val="9"/>
            <color indexed="81"/>
            <rFont val="Segoe UI"/>
            <family val="2"/>
          </rPr>
          <t>Chris Steffen:</t>
        </r>
        <r>
          <rPr>
            <sz val="9"/>
            <color indexed="81"/>
            <rFont val="Segoe UI"/>
            <family val="2"/>
          </rPr>
          <t xml:space="preserve">
Lufttechnische Anlagen für Räume oder Raumgruppen mit wesentlich abweichenden Nutzungen oder Betriebszeiten sind mit Einrichtungen auszurüsten, die einen individuellen Betrieb ermöglichen.</t>
        </r>
      </text>
    </comment>
    <comment ref="D170" authorId="1" shapeId="0" xr:uid="{5F839E25-714B-4832-ABFA-4B8127EBE504}">
      <text>
        <r>
          <rPr>
            <b/>
            <sz val="9"/>
            <color indexed="81"/>
            <rFont val="Segoe UI"/>
            <family val="2"/>
          </rPr>
          <t>Steffen Chris:</t>
        </r>
        <r>
          <rPr>
            <sz val="9"/>
            <color indexed="81"/>
            <rFont val="Segoe UI"/>
            <family val="2"/>
          </rPr>
          <t xml:space="preserve">
Diese Eingabe hat im Register EN-Kt. Zu erfolgen. </t>
        </r>
      </text>
    </comment>
    <comment ref="D182" authorId="0" shapeId="0" xr:uid="{C94A51FE-68B1-4F52-AF7C-86CDB15014FD}">
      <text>
        <r>
          <rPr>
            <b/>
            <sz val="9"/>
            <color indexed="81"/>
            <rFont val="Segoe UI"/>
            <family val="2"/>
          </rPr>
          <t>Chris Steffen:</t>
        </r>
        <r>
          <rPr>
            <sz val="9"/>
            <color indexed="81"/>
            <rFont val="Segoe UI"/>
            <family val="2"/>
          </rPr>
          <t xml:space="preserve">
Damit hier ein Richtwert erscheint, muss auf dem EN-Kt. die entsprechende Gebäudekategorie definiert werden.</t>
        </r>
      </text>
    </comment>
    <comment ref="D218" authorId="1" shapeId="0" xr:uid="{6CF8D5BF-F180-48BB-A93E-DE4ADF663667}">
      <text>
        <r>
          <rPr>
            <b/>
            <sz val="9"/>
            <color indexed="81"/>
            <rFont val="Segoe UI"/>
            <family val="2"/>
          </rPr>
          <t>Steffen Chris:</t>
        </r>
        <r>
          <rPr>
            <sz val="9"/>
            <color indexed="81"/>
            <rFont val="Segoe UI"/>
            <family val="2"/>
          </rPr>
          <t xml:space="preserve">
nicht erfüllt obwohl alle angaben Überprüft und als "erfüllt" angekreuzt wurden? Suchen Sie oben in der mittlere Spalte "nicht erfüllt" ein X um die fehlerhafte Zeile zu identifizieren. 
Im Zweifelsfall kann hier rechts das Kreuz "Freigabe trotz einzelnen Abweichungen" gesetzt werden. In disem Fall ist eine entsprechende Erläuterung im Bemerkungsfeld vorzunehmen.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575BA12-0A53-451B-AD40-D56BB99C1784}" keepAlive="1" name="Abfrage - Tabelle1" description="Verbindung mit der Abfrage 'Tabelle1' in der Arbeitsmappe." type="5" refreshedVersion="0" background="1">
    <dbPr connection="Provider=Microsoft.Mashup.OleDb.1;Data Source=$Workbook$;Location=Tabelle1;Extended Properties=&quot;&quot;" command="SELECT * FROM [Tabelle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<sst xmlns="http://schemas.openxmlformats.org/spreadsheetml/2006/main" count="3238" uniqueCount="1079">
  <si>
    <t>Grundlagen</t>
  </si>
  <si>
    <t>Raumlufthygiene</t>
  </si>
  <si>
    <t>Sommerlicher Wärmeschutz</t>
  </si>
  <si>
    <t>Bauteile und Anforderungen</t>
  </si>
  <si>
    <t>Alle beheizten Räume innerhalb des Wärmedämmperimeters</t>
  </si>
  <si>
    <t>Dach/Decke</t>
  </si>
  <si>
    <t>Wand</t>
  </si>
  <si>
    <t>Boden</t>
  </si>
  <si>
    <t>Tore</t>
  </si>
  <si>
    <t>Wärmebrücken</t>
  </si>
  <si>
    <t>Zuordnung der Dämmwerte</t>
  </si>
  <si>
    <t>Planunterlagen mit Wärmedämmperimeter</t>
  </si>
  <si>
    <t>Berechnung der Dämmwerte</t>
  </si>
  <si>
    <t>Dokumentation/Planunterlagen Raumlufthygiene</t>
  </si>
  <si>
    <t>Dokumentation sommerlicher Wärmeschutz</t>
  </si>
  <si>
    <t>Kontrolle  EN-102a</t>
  </si>
  <si>
    <t>Bemerkungen</t>
  </si>
  <si>
    <t>Art des Vorhabens korrekt festgelegt</t>
  </si>
  <si>
    <t xml:space="preserve">Zulässigkeit Einzelbauteilnachweis </t>
  </si>
  <si>
    <t>nicht erford.</t>
  </si>
  <si>
    <t>erfüllt</t>
  </si>
  <si>
    <t>nicht erfüllt</t>
  </si>
  <si>
    <t>Lüftungskonzept korrekt festgelegt</t>
  </si>
  <si>
    <t>Lüftungskonzept für alle Räume eingehalten</t>
  </si>
  <si>
    <t>Sonnenschutz für alle aussenliegenden Räume</t>
  </si>
  <si>
    <t>Nachweis g-Wert (Verglasung und Sonnenschutz)</t>
  </si>
  <si>
    <t>Automatische Steuerung Sonnenschutz</t>
  </si>
  <si>
    <t>Abnahme</t>
  </si>
  <si>
    <t>Nutzung korrekt?</t>
  </si>
  <si>
    <t>Wärmedämmperimeter geschlossen, eindeutig</t>
  </si>
  <si>
    <t>Wärmebrückencheckliste/-berechnung</t>
  </si>
  <si>
    <t>Sind alle Bauteile im Nachweis enthalten?</t>
  </si>
  <si>
    <t>Türen</t>
  </si>
  <si>
    <t>Storenkasten</t>
  </si>
  <si>
    <t>Sind alle Wärmebrücken nachgewiesen?</t>
  </si>
  <si>
    <t>Wärmebrückencheckliste vorliegend?</t>
  </si>
  <si>
    <t>Rechnerische Nachweise korrekt?</t>
  </si>
  <si>
    <t>Heizsystem</t>
  </si>
  <si>
    <t>Kontrolle</t>
  </si>
  <si>
    <t>Name:</t>
  </si>
  <si>
    <t>Datum:</t>
  </si>
  <si>
    <t>Unterschrift:</t>
  </si>
  <si>
    <t>x</t>
  </si>
  <si>
    <t>-</t>
  </si>
  <si>
    <t>A – WP Erdsonde oder Wasser</t>
  </si>
  <si>
    <t>B – autom. Holzfeuerung</t>
  </si>
  <si>
    <t>C – Fernwärme erneuerbar</t>
  </si>
  <si>
    <t>D – WP Aussenluft</t>
  </si>
  <si>
    <t>E – Stückholzfeuerung</t>
  </si>
  <si>
    <t>F – Gasbetriebene WP</t>
  </si>
  <si>
    <t>G – fossile Wärmeerzeugung</t>
  </si>
  <si>
    <t>III – Verwaltung</t>
  </si>
  <si>
    <t>IV – Schule</t>
  </si>
  <si>
    <t>V – Verkauf</t>
  </si>
  <si>
    <t>VI – Restaurant</t>
  </si>
  <si>
    <t>VII – Versammlungslokal</t>
  </si>
  <si>
    <t>VIII – Spital</t>
  </si>
  <si>
    <t>IX – Industrie</t>
  </si>
  <si>
    <t>X – Lager</t>
  </si>
  <si>
    <t>XI – Sportbaute</t>
  </si>
  <si>
    <t>XII – Hallenbad</t>
  </si>
  <si>
    <t>Objektangaben</t>
  </si>
  <si>
    <t>Gemeinde</t>
  </si>
  <si>
    <t>Bauvorhaben/Objekt</t>
  </si>
  <si>
    <t>Verfasser Nachweis</t>
  </si>
  <si>
    <t>Kontrollbeauftragter</t>
  </si>
  <si>
    <t>Art des Vorhabens</t>
  </si>
  <si>
    <t>Neubau</t>
  </si>
  <si>
    <t>Ersatz Wärmeerzeugung</t>
  </si>
  <si>
    <t>.</t>
  </si>
  <si>
    <t>Angaben zum Projekt</t>
  </si>
  <si>
    <t>Nachweis Wärmedämmung</t>
  </si>
  <si>
    <t>Nachweis Deckung Wärmebedarf</t>
  </si>
  <si>
    <t>Geplante Wärmeerzeugung</t>
  </si>
  <si>
    <t>rechnerischer Nachweis</t>
  </si>
  <si>
    <t>Standardlösungskombination</t>
  </si>
  <si>
    <t>Minergie-Zertifikat</t>
  </si>
  <si>
    <t>Nachweisverfahren auswählen</t>
  </si>
  <si>
    <t>Systemnachweis</t>
  </si>
  <si>
    <t>provisorisches Minergie-Zertifikat</t>
  </si>
  <si>
    <t>vorhanden</t>
  </si>
  <si>
    <t>Kontrolle  EN-101a</t>
  </si>
  <si>
    <t>EBF bestehend</t>
  </si>
  <si>
    <t>Anteil</t>
  </si>
  <si>
    <t xml:space="preserve">Befreiung </t>
  </si>
  <si>
    <t>Planunterlagen mit Berechnung EBF neu/bestehend</t>
  </si>
  <si>
    <t>Warmwasser mit Heizsystem ganzjährig oder solarthermisch</t>
  </si>
  <si>
    <t>Grundanforderung</t>
  </si>
  <si>
    <t>thermische Solaranlage</t>
  </si>
  <si>
    <t>kontrollierte Wohnungslüftung</t>
  </si>
  <si>
    <t>Grundanforderung auswählen</t>
  </si>
  <si>
    <t>1 – Systemnachweis + KWL</t>
  </si>
  <si>
    <t>2 – Systemnachweis + WW solar</t>
  </si>
  <si>
    <t>Dokumentation Wärmeerzeugung</t>
  </si>
  <si>
    <t>Dokumentation Wärmeerzeugung; Warmwasser</t>
  </si>
  <si>
    <t>Dokumentation Kontrollierte Wohnungslüftung (KWL)</t>
  </si>
  <si>
    <t>Energienachweis Energiebedarf Standardlösungskombination</t>
  </si>
  <si>
    <t>Kontrolle  EN-101b</t>
  </si>
  <si>
    <t>Energienachweis Energiebedarf rechnerische Lösung</t>
  </si>
  <si>
    <t>Gebäudedaten</t>
  </si>
  <si>
    <t>Klimastation</t>
  </si>
  <si>
    <t>Zone 1</t>
  </si>
  <si>
    <t>Gebäudekategorie</t>
  </si>
  <si>
    <t xml:space="preserve">Warmwasser enthalten </t>
  </si>
  <si>
    <t>Neubau / bestehendes Gebäude</t>
  </si>
  <si>
    <t>Berechnung EBF</t>
  </si>
  <si>
    <t>Zone 2</t>
  </si>
  <si>
    <t>Klimastation auswählen</t>
  </si>
  <si>
    <t>Luzern</t>
  </si>
  <si>
    <t>Lüftung-Klima-Kälteanlagen</t>
  </si>
  <si>
    <r>
      <t>Systemnachweis (380/1 mit EBF, A</t>
    </r>
    <r>
      <rPr>
        <vertAlign val="subscript"/>
        <sz val="11"/>
        <color theme="1"/>
        <rFont val="Arial"/>
        <family val="2"/>
      </rPr>
      <t>th</t>
    </r>
    <r>
      <rPr>
        <sz val="10.5"/>
        <color theme="1"/>
        <rFont val="Arial"/>
        <family val="2"/>
      </rPr>
      <t>)</t>
    </r>
  </si>
  <si>
    <t xml:space="preserve">Angaben bei Standard-Lüftungsanlagen </t>
  </si>
  <si>
    <t>eff. Heizwärmebedarf mit Lüftungsanlage</t>
  </si>
  <si>
    <t>Wärmeerzeugung</t>
  </si>
  <si>
    <t>Wärmeerzeugung A</t>
  </si>
  <si>
    <t>Berechnung Deckungsgrad</t>
  </si>
  <si>
    <t>Berechnung Nutzungsgrad / JAZ</t>
  </si>
  <si>
    <t>Absorberfläche Solar</t>
  </si>
  <si>
    <t>Vollständigkeit der Wärmeerzeuger</t>
  </si>
  <si>
    <t>Ölfeuerung</t>
  </si>
  <si>
    <t>Ölfeuerung kondensierend nur Heizung</t>
  </si>
  <si>
    <t>Gasfeuerung</t>
  </si>
  <si>
    <t>Gasfeuerung kondensierend nur Heizung</t>
  </si>
  <si>
    <t>Gas - Wassererwärmer</t>
  </si>
  <si>
    <t>Holzfeuerung</t>
  </si>
  <si>
    <t>Pelletfeuerung</t>
  </si>
  <si>
    <t>Elektrospeicher-Zentralheizung</t>
  </si>
  <si>
    <t>Elektro direkt</t>
  </si>
  <si>
    <t>Elektro-Wassererwärmer</t>
  </si>
  <si>
    <t>WKK (fossil) - thermischer + elektrischer Anteil</t>
  </si>
  <si>
    <t>WKK (Holz) - thermischer + elektrischer Anteil</t>
  </si>
  <si>
    <t>Wärmepumpe Aussenluft, nur Heizung</t>
  </si>
  <si>
    <t>Wärmepumpe, Erdwärmesonde, nur Heizung</t>
  </si>
  <si>
    <t>Wärmepumpe, Grundwasser, direkt, nur Warmwasser</t>
  </si>
  <si>
    <t>Wärmepumpe, Erdwärmesonde, nur Warmwasser</t>
  </si>
  <si>
    <t>Wärmepumpe, Abwasser, nur Heizung</t>
  </si>
  <si>
    <t>Wärmepumpe, Abwasser, nur Warmwasser</t>
  </si>
  <si>
    <t>Wasser-Wärmepumpe, nur Heizung</t>
  </si>
  <si>
    <t>Wasser-Wärmepumpe, nur Warmwasser</t>
  </si>
  <si>
    <t>Wärmepumpe, Grundwasser, direkt, nur Heizung</t>
  </si>
  <si>
    <t>Wärmepumpe, Grundwasser, indirekt, nur Heizung</t>
  </si>
  <si>
    <t>Wärmepumpe, Grundwasser, indirekt, nur Warmwaser</t>
  </si>
  <si>
    <t>Wärmepumpe Erdregister, nur Heizung</t>
  </si>
  <si>
    <t>Wärmepumpe Erdregister, nur Warmwasser</t>
  </si>
  <si>
    <t>Lüftungsgerät mit Abluft / Zuluft - Wärmepumpe plus WRG</t>
  </si>
  <si>
    <t>Lüftungsgerät mit Abluft / Zuluft - Wärmepumpe ohne WRG</t>
  </si>
  <si>
    <t>Kompakt-WP mit Zu- &amp; Abluft / WW ohne WRG (nur WW)</t>
  </si>
  <si>
    <t>Lüftungsgerät mit Abluft-Wärmepumpe (keine Zuluft)</t>
  </si>
  <si>
    <t>Kompakt-WP mit Zu- &amp; Abluft / WW plus WRG</t>
  </si>
  <si>
    <t>Kompakt-WP mit Zu- &amp; Abluft / WW ohne WRG (nur Heizung)</t>
  </si>
  <si>
    <t>Solarenergie thermisch, nur Heizung</t>
  </si>
  <si>
    <t>Solarenergie thermisch, nur Warmwasser</t>
  </si>
  <si>
    <t>Solarenergie thermisch, Heizung + WW</t>
  </si>
  <si>
    <t>Biomasse, hydraulisch eingebunden</t>
  </si>
  <si>
    <t>Begleitheizbänder</t>
  </si>
  <si>
    <t>Gaswärmepumpe, nur Heizung</t>
  </si>
  <si>
    <t>Gaswärmepumpe, nur Warmwasser</t>
  </si>
  <si>
    <t>Wärmeerzeugung wählen</t>
  </si>
  <si>
    <t>Fernwärme &lt;= 25% nicht erneuerbar</t>
  </si>
  <si>
    <t>Fernwärme &lt;= 50% nicht erneuerbar</t>
  </si>
  <si>
    <t>Fernwärme &lt;= 75% nicht erneuerbar</t>
  </si>
  <si>
    <t>Fernwärme  &gt; 75% nicht erneuerbar</t>
  </si>
  <si>
    <t>Ölfeuerung kondensierend nur WW</t>
  </si>
  <si>
    <t>Gasfeuerung kondensierend nur WW</t>
  </si>
  <si>
    <t>Wärmepumpe, Aussenluft, nur WW</t>
  </si>
  <si>
    <t>Wärmeerzeugung B</t>
  </si>
  <si>
    <t>Absorberfläche Solar / Ertrag pro Fläche</t>
  </si>
  <si>
    <t>Wärmeerzeugung C</t>
  </si>
  <si>
    <t>Wärmeerzeugung D</t>
  </si>
  <si>
    <t xml:space="preserve">Weitere Wärmeerzeugungen </t>
  </si>
  <si>
    <t>Zugeführte Elektrizität (ungewichtet)</t>
  </si>
  <si>
    <t>Zugeführte Energie (ohne Strom, gew.)</t>
  </si>
  <si>
    <t>Erfüllung der Anforderungen</t>
  </si>
  <si>
    <t>Zone 3</t>
  </si>
  <si>
    <t>Zone 4</t>
  </si>
  <si>
    <t>Dokumentation Solaranlage</t>
  </si>
  <si>
    <t>I </t>
  </si>
  <si>
    <t>Wohnen MFH </t>
  </si>
  <si>
    <t>35 </t>
  </si>
  <si>
    <t>II </t>
  </si>
  <si>
    <t>Wohnen EFH </t>
  </si>
  <si>
    <t>III </t>
  </si>
  <si>
    <t>Verwaltung </t>
  </si>
  <si>
    <t>40 </t>
  </si>
  <si>
    <t>IV </t>
  </si>
  <si>
    <t>Schule </t>
  </si>
  <si>
    <t>V </t>
  </si>
  <si>
    <t>Verkauf </t>
  </si>
  <si>
    <t>VI </t>
  </si>
  <si>
    <t>Restaurant </t>
  </si>
  <si>
    <t>45 </t>
  </si>
  <si>
    <t>X </t>
  </si>
  <si>
    <t>VII </t>
  </si>
  <si>
    <t>Versammlungslokal </t>
  </si>
  <si>
    <t>VIII </t>
  </si>
  <si>
    <t>Spital </t>
  </si>
  <si>
    <t>70 </t>
  </si>
  <si>
    <t>IX </t>
  </si>
  <si>
    <t>Industrie </t>
  </si>
  <si>
    <t>20 </t>
  </si>
  <si>
    <t>Lager </t>
  </si>
  <si>
    <t>XI </t>
  </si>
  <si>
    <t>Sportbaute </t>
  </si>
  <si>
    <t>25 </t>
  </si>
  <si>
    <t>XII </t>
  </si>
  <si>
    <t>Hallenbad </t>
  </si>
  <si>
    <r>
      <t>keine Anforder-ung an E</t>
    </r>
    <r>
      <rPr>
        <sz val="7"/>
        <color theme="1"/>
        <rFont val="Arial"/>
        <family val="2"/>
      </rPr>
      <t>HWLK </t>
    </r>
  </si>
  <si>
    <t>Kontrolle  EN-102b</t>
  </si>
  <si>
    <t>Energienachweis Wärmedämmung Systemnachweis</t>
  </si>
  <si>
    <t>Grenzwert eingehalten</t>
  </si>
  <si>
    <t>Berechnungsprogramm zulässig</t>
  </si>
  <si>
    <t>Kontrolle  EN-103</t>
  </si>
  <si>
    <t>Energienachweis Heizungs- und Warmwasseranlagen</t>
  </si>
  <si>
    <t>Zulässigkeit elektrische Notheizung</t>
  </si>
  <si>
    <t>Wärmedämmung Heizungsspeicher</t>
  </si>
  <si>
    <t>Angaben Wärmeerzeugung 1</t>
  </si>
  <si>
    <t>Angaben Wärmeerzeugung 2</t>
  </si>
  <si>
    <t>Dokumentation Wärmeerzeugung, Speicher (Heizung, Warmwasser)</t>
  </si>
  <si>
    <t>Abwärmenutzung</t>
  </si>
  <si>
    <t>Verfügbarkeit von Abwärme</t>
  </si>
  <si>
    <t xml:space="preserve">Nutzung der Abwärme </t>
  </si>
  <si>
    <t>Begründung auf Verzicht Nutzung der Abwärme</t>
  </si>
  <si>
    <t xml:space="preserve">Wärmeverteilung </t>
  </si>
  <si>
    <t>Wärmedämmung Heizungsrohre</t>
  </si>
  <si>
    <t>Wärmedämmung Warmwasserrohre, Zirkulationsleitungen</t>
  </si>
  <si>
    <t>Wärmedämmung erdverlegte Leitungen</t>
  </si>
  <si>
    <t>Wärmedämmung Leitungen für Prozesswärme</t>
  </si>
  <si>
    <t>Dämmung aller Leitungen in unbeheizten Räumen</t>
  </si>
  <si>
    <t>Dämmung von Armaturen</t>
  </si>
  <si>
    <t>Dämmung von Pumpen</t>
  </si>
  <si>
    <t>Wärmeabgabe</t>
  </si>
  <si>
    <t>Dokumentation Heizungsanlage (Verteilung, Abgabe)</t>
  </si>
  <si>
    <t xml:space="preserve">Einhaltung maximale Vorlauftemperatur </t>
  </si>
  <si>
    <t>Thermostatventile/Einzelraumregelung in allen Räumen</t>
  </si>
  <si>
    <t>Räume ohne Themostatventile/Einzelraumregelung zulässig</t>
  </si>
  <si>
    <t>Warmwasser</t>
  </si>
  <si>
    <t>Wärmedämmung Warmwasserspeicher/Kombispeicher</t>
  </si>
  <si>
    <t>Wassererwärmung in Wohnbauten (mit Heizung oder 50% erneuerbar)</t>
  </si>
  <si>
    <t>Warmwassertemperatur &lt;= 60 GradC</t>
  </si>
  <si>
    <t xml:space="preserve">Befreiung Themostatventile/Einzelraumregelung </t>
  </si>
  <si>
    <t>Ausrüstungspflicht bei Neubauten</t>
  </si>
  <si>
    <t>Ausrüstungspflicht bei wesentlichen Erneuerungen</t>
  </si>
  <si>
    <t>Installation Messgeräte</t>
  </si>
  <si>
    <t>Befreiung von der Heizverbrauchsmessung</t>
  </si>
  <si>
    <t>Wärmedämmung bei Flächenheizungen zwischen den Nutzereinheiten</t>
  </si>
  <si>
    <t>Kondensationstechnik (bei fossiler Wärmeerzeugung)</t>
  </si>
  <si>
    <t>Energienachweis Eigenstromerzeugung bei Neubauten</t>
  </si>
  <si>
    <t>Dokumentation Stromerzeugungsanlage (nicht PV), Anlagendatenblatt</t>
  </si>
  <si>
    <t>Eigenstromerzeugung mit Photovoltaikanlage</t>
  </si>
  <si>
    <t>Andere Elektrizitätserzeugungsanlage</t>
  </si>
  <si>
    <t>Ersatzabgabe gemäss kantonalen Vorgaben</t>
  </si>
  <si>
    <t>Ergebnis der Kontrolle</t>
  </si>
  <si>
    <t xml:space="preserve">Deckung des Wärmebedarfes von Neubauten </t>
  </si>
  <si>
    <t xml:space="preserve">Gebäudehülle / Wärmedämmung </t>
  </si>
  <si>
    <t xml:space="preserve">Haustechnische Anlagen </t>
  </si>
  <si>
    <t>erforderlich</t>
  </si>
  <si>
    <t xml:space="preserve">Resultat </t>
  </si>
  <si>
    <t>Eigenstromerzeugung für Neubauten</t>
  </si>
  <si>
    <t>Elektrische Energie / Beleuchtung</t>
  </si>
  <si>
    <t>Spezielle Bauten und Anlagen</t>
  </si>
  <si>
    <t>Erweiterung/Aufstockung</t>
  </si>
  <si>
    <t>Energienachweis Deckblatt / Vollständigkeit</t>
  </si>
  <si>
    <t>Einzelbauteilnachweis</t>
  </si>
  <si>
    <t>Kontrolle  EN-104</t>
  </si>
  <si>
    <t>Kontrolle  EN-105</t>
  </si>
  <si>
    <t>Ergebnis der Überprüfung</t>
  </si>
  <si>
    <t xml:space="preserve">Wärmeerzeugung auswählen </t>
  </si>
  <si>
    <t>rechnerischen Nachweis (Angabe nicht erforderlich)</t>
  </si>
  <si>
    <t>Falls auch Umbau: Zuordnung der Flächen (siehe EN-106)</t>
  </si>
  <si>
    <t>Berechnung der U-Werte?</t>
  </si>
  <si>
    <t>Fenster, Fenstertüren</t>
  </si>
  <si>
    <t>Aussenklima</t>
  </si>
  <si>
    <t>Erdreich/unbeheizt</t>
  </si>
  <si>
    <t>Berechnung U-Werte?</t>
  </si>
  <si>
    <t>ok</t>
  </si>
  <si>
    <t>Umbau/Erneuerung</t>
  </si>
  <si>
    <t>Raumtemperatur aufgrund Nutzung</t>
  </si>
  <si>
    <t>Falls auch Neubau Zuordnung der Flächen (siehe EN-106)</t>
  </si>
  <si>
    <t>Energienachweis Wärmedämmung Einzelbauteilnachweis Umbau</t>
  </si>
  <si>
    <t>Energienachweis Wärmedämmung Einzelbauteilnachweis Neubau</t>
  </si>
  <si>
    <t>II – Wohnen EFH</t>
  </si>
  <si>
    <t>I – Wohnen MFH</t>
  </si>
  <si>
    <t>Grundanforderung (Gebäudehülle)</t>
  </si>
  <si>
    <t>Berechnung Wärmeerzeugung (z.B. Wpesti)</t>
  </si>
  <si>
    <t>Dokumentation/Pläne PV-Anlage, Datenblatt Module/Wechselrichter</t>
  </si>
  <si>
    <t>Energienachweis Lüftungstechnische Anlagen</t>
  </si>
  <si>
    <t>Zone im Systemnachweis enthalten</t>
  </si>
  <si>
    <t>Nachweis einer zweiten Zone</t>
  </si>
  <si>
    <r>
      <t>Berechnungsunterlagen nach SIA 380/1 (Ausgabe 2016) mit EBF, A</t>
    </r>
    <r>
      <rPr>
        <vertAlign val="subscript"/>
        <sz val="11"/>
        <color theme="1"/>
        <rFont val="Arial"/>
        <family val="2"/>
      </rPr>
      <t>th</t>
    </r>
  </si>
  <si>
    <t>Dächer</t>
  </si>
  <si>
    <t>Berechnung EBF, Definition Perimeter</t>
  </si>
  <si>
    <t>Bauweise, Regelungsart</t>
  </si>
  <si>
    <t>Neubau/Umbau</t>
  </si>
  <si>
    <t>Bauteile vollständig erfasst</t>
  </si>
  <si>
    <t>Ausmasse der Bauteile korrekt</t>
  </si>
  <si>
    <t>Allgemeine Anforderungen</t>
  </si>
  <si>
    <t>Bauteile gegen Aussenklima</t>
  </si>
  <si>
    <t>Wände</t>
  </si>
  <si>
    <t>Fenster</t>
  </si>
  <si>
    <t>Fenster vollständig erfasst</t>
  </si>
  <si>
    <t>Zusammenstellung der Fenster (Fenstertool der EnFK)</t>
  </si>
  <si>
    <t xml:space="preserve">Verschattung Überhang  </t>
  </si>
  <si>
    <t>Verschattung Seitenblende</t>
  </si>
  <si>
    <t xml:space="preserve">Heizkörper vor der Verglasung </t>
  </si>
  <si>
    <t>Böden</t>
  </si>
  <si>
    <t>Türen, Tore</t>
  </si>
  <si>
    <t>Lineare Wärmebrücken</t>
  </si>
  <si>
    <t>Wärmebrücken vollständig erfasst</t>
  </si>
  <si>
    <t>Ausmasse der Wärmebrücken korrekt</t>
  </si>
  <si>
    <t>Punktförmige Wärmebrücken</t>
  </si>
  <si>
    <t>Berechnung der Chi-Werte</t>
  </si>
  <si>
    <t>Vollständigkeit der Nachweise</t>
  </si>
  <si>
    <t xml:space="preserve">Minergie-Zertifikat </t>
  </si>
  <si>
    <t>Standardlösung 1: thermische Solaranlage</t>
  </si>
  <si>
    <t>Berechnung Energiebezugsfläche</t>
  </si>
  <si>
    <t>gewählt</t>
  </si>
  <si>
    <t>Standardlösung 2: Holzfeuerung als Hauptwärmeerzeuger</t>
  </si>
  <si>
    <t>Holzheizung als Hauptheizung konzipiert</t>
  </si>
  <si>
    <t>Wassererwärmung nicht rein elektrisch</t>
  </si>
  <si>
    <t xml:space="preserve">maximale Leistung einer Notheizung </t>
  </si>
  <si>
    <t>Typ:</t>
  </si>
  <si>
    <t>Standardlösung 3: Elektrische Wärmepumpe</t>
  </si>
  <si>
    <t>Standardlösung 4: mit Erdgas angetriebene Wärmepumpe</t>
  </si>
  <si>
    <t>Standardlösung 5: Fernwärmeanschluss</t>
  </si>
  <si>
    <t>Vertrag vorliegend, Wärmeerzeugung mit erneuerbarer Energie</t>
  </si>
  <si>
    <t>Anlage:</t>
  </si>
  <si>
    <t>Standardlösung 6: Wärmekraftkopplung</t>
  </si>
  <si>
    <t>Standardlösung 7: Warmwasserwärmepumpe mit PV</t>
  </si>
  <si>
    <t>Standardlösung 9: W'dämmung von Fassade und/oder Dach</t>
  </si>
  <si>
    <t>Standardlösung 10: Grundlast erneuerbar / Spitzenlast fossil</t>
  </si>
  <si>
    <t>Zulässigkeit Grundlastwärmeerzeugung</t>
  </si>
  <si>
    <t>Erneuerbare Wärme beim Wärmeerzeugerersatz</t>
  </si>
  <si>
    <t>Kontrolle  EN-120</t>
  </si>
  <si>
    <t>Kontrolle  EN-110</t>
  </si>
  <si>
    <t>Kühlen, Be- und Entfeuchten</t>
  </si>
  <si>
    <t>Kontrolle  EN-111</t>
  </si>
  <si>
    <t>Kontrolle  EN-112</t>
  </si>
  <si>
    <t>Kühlräume</t>
  </si>
  <si>
    <t>Kontrolle  EN-130</t>
  </si>
  <si>
    <t>Ferienhäuser/zeitweise belegte Häuser</t>
  </si>
  <si>
    <t>Kontrolle  EN-131</t>
  </si>
  <si>
    <t>Beheizte Gewächshäuser</t>
  </si>
  <si>
    <t>Beheizte Traglufthallen</t>
  </si>
  <si>
    <t>Kontrolle  EN-132</t>
  </si>
  <si>
    <t>Wärmenutzung bei Elektrizitätserzeugungsanlagen</t>
  </si>
  <si>
    <t>Kontrolle  EN-133</t>
  </si>
  <si>
    <t>Kontrolle  EN-134</t>
  </si>
  <si>
    <t>Heizungen im Freien</t>
  </si>
  <si>
    <t>Beheizte Freiluftbäder</t>
  </si>
  <si>
    <t>Kontrolle  EN-135</t>
  </si>
  <si>
    <t>rechnerischen Nachweis</t>
  </si>
  <si>
    <t>Klimatisierung (externe Berechnung)</t>
  </si>
  <si>
    <t>Planunterlagen Lüftungsanlagen (Schema)</t>
  </si>
  <si>
    <t>Planunterlagen Wärmeerzeugung (Schema)</t>
  </si>
  <si>
    <t>Deckungsgrad = 100%</t>
  </si>
  <si>
    <t>Grenzwert gewichtete Energiekennzahl</t>
  </si>
  <si>
    <t>Befreiung sommerlicher Wärmeschutz</t>
  </si>
  <si>
    <t>Wärmeliefervertrag Fernwärme</t>
  </si>
  <si>
    <t>Begründung höhere Vorlauftemperaturen</t>
  </si>
  <si>
    <t>Vorlauftemperatur korrekt</t>
  </si>
  <si>
    <t>Anteil erneuerbare Energie an der Fernwärme ≥ 50 %</t>
  </si>
  <si>
    <t xml:space="preserve">U-Wert opake Bauteile </t>
  </si>
  <si>
    <t>U-Wert Fenster</t>
  </si>
  <si>
    <t>EBF neu ohne Volumenvergr.</t>
  </si>
  <si>
    <t>EBF neu mit Volumenvergr.</t>
  </si>
  <si>
    <t>EBF neu ohne Volumenvergrös.</t>
  </si>
  <si>
    <t>EBF neu mit Volumenvergrös.</t>
  </si>
  <si>
    <t>Geschosshöhenkorrektur</t>
  </si>
  <si>
    <t>Planunterlagen mit Verlauf therm. Gebäudehülle</t>
  </si>
  <si>
    <t>Berechnung der U-Werte</t>
  </si>
  <si>
    <t>Nachweis gem. SIA 180:2014 Verfahren I - III</t>
  </si>
  <si>
    <t>unbeheizt</t>
  </si>
  <si>
    <t>Korrektur Grenzwerte (5% pro 1 Kelvin)</t>
  </si>
  <si>
    <t>g-Wert Verglasung</t>
  </si>
  <si>
    <t>Berechnung der Psi-Werte</t>
  </si>
  <si>
    <t>Berechnung der U-Werte, Reduktionsfaktor</t>
  </si>
  <si>
    <t>Berechnungn Lüftungsanlagen</t>
  </si>
  <si>
    <t>Bauteilheizung deklariert</t>
  </si>
  <si>
    <t>Bauteile gegen unbeheizte Räume, mehr als 2m im Erdreich und andere Zonen</t>
  </si>
  <si>
    <t>Reduktionsfaktoren (b-Werte) korrekt</t>
  </si>
  <si>
    <t>Orientierung der Fenster korrekt vermerkt</t>
  </si>
  <si>
    <t>Wassererwärmung nicht rein elektrisch erzeugt</t>
  </si>
  <si>
    <t xml:space="preserve">Monovalent oder Anteil Wärmepumpe ≥ 25% </t>
  </si>
  <si>
    <t>Gesamtnutzungsgrad WP ≥ 120%</t>
  </si>
  <si>
    <t>Monovalente Anlage oder Anteil WP ≥ 50%</t>
  </si>
  <si>
    <t>Elektr. Wirkungsgrad ≥ 25%</t>
  </si>
  <si>
    <t>Deckung Wärmebedarf (Heizung + Warmwasser) ≥ 60%</t>
  </si>
  <si>
    <t>Ersatz ≥ 90% aller Fenster</t>
  </si>
  <si>
    <r>
      <t>U-Wert Fenster vor Ersatz ≥ 2.0 W/m</t>
    </r>
    <r>
      <rPr>
        <vertAlign val="superscript"/>
        <sz val="11"/>
        <color theme="1"/>
        <rFont val="Arial"/>
        <family val="2"/>
      </rPr>
      <t>2</t>
    </r>
    <r>
      <rPr>
        <sz val="10.5"/>
        <color theme="1"/>
        <rFont val="Arial"/>
        <family val="2"/>
      </rPr>
      <t>K</t>
    </r>
  </si>
  <si>
    <t>Standardlösung 8: Fensterersatz entlang ther. Gebäudehülle</t>
  </si>
  <si>
    <r>
      <t>U-Wert (Glas) neue Fenster ≤ 0.7 W/m</t>
    </r>
    <r>
      <rPr>
        <vertAlign val="superscript"/>
        <sz val="11"/>
        <color theme="1"/>
        <rFont val="Arial"/>
        <family val="2"/>
      </rPr>
      <t>2</t>
    </r>
    <r>
      <rPr>
        <sz val="10.5"/>
        <color theme="1"/>
        <rFont val="Arial"/>
        <family val="2"/>
      </rPr>
      <t>K</t>
    </r>
  </si>
  <si>
    <r>
      <t>U-Wert neue Bauteile ≤ 0.2 W/m</t>
    </r>
    <r>
      <rPr>
        <vertAlign val="superscript"/>
        <sz val="11"/>
        <color theme="1"/>
        <rFont val="Arial"/>
        <family val="2"/>
      </rPr>
      <t>2</t>
    </r>
    <r>
      <rPr>
        <sz val="10.5"/>
        <color theme="1"/>
        <rFont val="Arial"/>
        <family val="2"/>
      </rPr>
      <t>K</t>
    </r>
  </si>
  <si>
    <t>Gedämmte Fläche (gegen Aussenluft) ≥ 50% der EBF</t>
  </si>
  <si>
    <r>
      <t>U-Wert Bauteile vor Erneuerung ≥ 0.6 W/m</t>
    </r>
    <r>
      <rPr>
        <vertAlign val="superscript"/>
        <sz val="11"/>
        <color theme="1"/>
        <rFont val="Arial"/>
        <family val="2"/>
      </rPr>
      <t>2</t>
    </r>
    <r>
      <rPr>
        <sz val="10.5"/>
        <color theme="1"/>
        <rFont val="Arial"/>
        <family val="2"/>
      </rPr>
      <t>K</t>
    </r>
  </si>
  <si>
    <t xml:space="preserve">Anteil Wärmeleistung Grundlast ≥ 25% </t>
  </si>
  <si>
    <t>Wirkungsgrad der WRG  ≥70%</t>
  </si>
  <si>
    <t>Standardlösung 11: Kontrollierte Wohnungslüftung (KWL)</t>
  </si>
  <si>
    <t>Komfortlüftung mit Zuluft, Abluft und WRG</t>
  </si>
  <si>
    <t>Wärmepumpenboiler ausserhalb ther. Gebäudehülle</t>
  </si>
  <si>
    <t>Wärmepumpe, Erdsonde/Wasser</t>
  </si>
  <si>
    <t>Wärmepumpe, Erdsonde/Wasser mit el. Notheizung</t>
  </si>
  <si>
    <t>Wärmepumpe, Luft/Wasser innen aufgestellt</t>
  </si>
  <si>
    <t>Wärmepumpe, Luft/Wasser mit el. Notheizung</t>
  </si>
  <si>
    <t>Wärmepumpe, Luft/Wasser aussen aufgestellt</t>
  </si>
  <si>
    <t>Wärmepumpe, Luft/Wasser mit el. Notheizung, aussen aufgestellt</t>
  </si>
  <si>
    <t>Wärmepumpe, Wasser/Wasser</t>
  </si>
  <si>
    <t>Wärmepumpe, Wasser/Wasser mit el. Notheizung</t>
  </si>
  <si>
    <t>Wärmepumpe, Erdregister/Wasser</t>
  </si>
  <si>
    <t>Wärmepumpe, Erdregister/Wasser mit el. Notheizung</t>
  </si>
  <si>
    <t>Wärmepumpe-Wassererwärmer</t>
  </si>
  <si>
    <t>Solarenergie thermisch</t>
  </si>
  <si>
    <t>Gasfeuerung kondensierend</t>
  </si>
  <si>
    <t>Ölfeuerung kondensierend</t>
  </si>
  <si>
    <t>Holzpelletfeuerung</t>
  </si>
  <si>
    <t>Holzpelletfeuerung kondensierend</t>
  </si>
  <si>
    <t>HolzSchnitzelfeuerung</t>
  </si>
  <si>
    <t>HolzSchnitzelfeuerung  kondensierend</t>
  </si>
  <si>
    <t>Stückholzfeuerung</t>
  </si>
  <si>
    <t>Fernwärme (aus ARA, KVA)</t>
  </si>
  <si>
    <t>Abwärme (quelle im Gebäude)</t>
  </si>
  <si>
    <t>Abwärme (von anderen Gebäuden)</t>
  </si>
  <si>
    <t>Wärmekraftkkopplung</t>
  </si>
  <si>
    <t>Elektrische Widerstandsheizung zentral</t>
  </si>
  <si>
    <t>Elektrische Widerstandsheizung dezentral</t>
  </si>
  <si>
    <t>Elektrische Widerstandsheizung infrarot</t>
  </si>
  <si>
    <t>Andere:</t>
  </si>
  <si>
    <t>Gemeinde / Kanton</t>
  </si>
  <si>
    <t>Obwalden</t>
  </si>
  <si>
    <t>Gebäudekategorie wählen</t>
  </si>
  <si>
    <t>Elektrische Energie, Beleuchtung</t>
  </si>
  <si>
    <t>/</t>
  </si>
  <si>
    <t>WW mindestens 20% erneuerbar? (nur für für Gebäude-Kat. VI, XI, XII)</t>
  </si>
  <si>
    <t>Kontrollbeauftragter:</t>
  </si>
  <si>
    <t>Verfasser der Nachweise</t>
  </si>
  <si>
    <t>Verfasser2</t>
  </si>
  <si>
    <t>Verfasser3</t>
  </si>
  <si>
    <t>Befreiung bei Anbauten (Erweiterungen) und Aufstockungen</t>
  </si>
  <si>
    <t>Beilagen</t>
  </si>
  <si>
    <t>Kt. auswählen</t>
  </si>
  <si>
    <t>Vollstängigkeit der Beilagen</t>
  </si>
  <si>
    <t>nicht erfüllte
Nachweise</t>
  </si>
  <si>
    <t>fehlende 
Nachweise</t>
  </si>
  <si>
    <t>fehlende Beilagen</t>
  </si>
  <si>
    <t>Der Kontrollbeauftragte bestätigt mit seiner Unterschrift die Kontrolle der Nachweise und Beilagen entsprechend den nachfolgenden Checklisten vorgenommen zu haben.</t>
  </si>
  <si>
    <t>Vollständigkeit der Beilagen</t>
  </si>
  <si>
    <t>Erforderliche Nachweise und Beilagen</t>
  </si>
  <si>
    <t>Besondere Anforderungen (z.B. aus Gestaltungsplanung)</t>
  </si>
  <si>
    <t>Gebäudekategorien korrekt und vollständig?</t>
  </si>
  <si>
    <t>Vollständigkeit Beilagen</t>
  </si>
  <si>
    <t>Freigabe trotz einzelnen Abweichungen.</t>
  </si>
  <si>
    <t>Freigabe trotz  fehlenden Beilagen und ohne Kontrolle</t>
  </si>
  <si>
    <t>Freigabe trotz fehlenden Unterlagen und ohne Kontrolle.</t>
  </si>
  <si>
    <t>Zuordnung der Dämmwerte (U-Werte)</t>
  </si>
  <si>
    <t>Berechnung der Dämmwerte (U-Werte)</t>
  </si>
  <si>
    <t>Nebennutzung</t>
  </si>
  <si>
    <t>Nachweisverfahren</t>
  </si>
  <si>
    <t>Bes. Anforderungen (z.B. aus Gestaltungplan)</t>
  </si>
  <si>
    <t>Vollständigkeit der Gebäudekategorien nach SIA?</t>
  </si>
  <si>
    <t>Kontrolle BA</t>
  </si>
  <si>
    <t>Vorhaben zuweisen</t>
  </si>
  <si>
    <t>Erforderliche Absorberfläche min. 2% EBF</t>
  </si>
  <si>
    <t>Installierte Leistung der PV-Anlage min. 5 Wp / m² EBF</t>
  </si>
  <si>
    <t>Therm. Gebäudehülle korrekt?</t>
  </si>
  <si>
    <t>Therm. Gebäudehülle geschlossen, eindeutig</t>
  </si>
  <si>
    <t>Art des Nachweises oder Befreiung</t>
  </si>
  <si>
    <t>Befreiung (z.B. Mischnutzung mit EBFwohnen &lt; 150 m²)</t>
  </si>
  <si>
    <t>Hinweise</t>
  </si>
  <si>
    <r>
      <t>Berechnung Q</t>
    </r>
    <r>
      <rPr>
        <sz val="8"/>
        <color theme="1"/>
        <rFont val="Arial"/>
        <family val="2"/>
      </rPr>
      <t>H, eff., korr.</t>
    </r>
  </si>
  <si>
    <t>Planunterlagen mit Berechnung EBF</t>
  </si>
  <si>
    <t>Dokumentation des Wärmeerzeugers</t>
  </si>
  <si>
    <t>Dokumentation der Solaranlage</t>
  </si>
  <si>
    <t>Dokumentation Fensterersatz (U-Werte)</t>
  </si>
  <si>
    <t>Dokumentation Wärmedämmung (U-Werte)</t>
  </si>
  <si>
    <t>Dokumentation der Kontrollierten Wohnungslüftung</t>
  </si>
  <si>
    <t>Standardlösung wählen</t>
  </si>
  <si>
    <t>SL 1 - Thermische Solaranlage</t>
  </si>
  <si>
    <t>SL 2 - Holzfeuerung als Hauptwärmeerzeuger</t>
  </si>
  <si>
    <t>SL 3 - Elektrische Wärmepumpe</t>
  </si>
  <si>
    <t>SL 4 - Mit Erdgas angetriebene Wärmepumpe</t>
  </si>
  <si>
    <t>SL 5 - Fernwärmeanschluss</t>
  </si>
  <si>
    <t>SL 6 - Wärmekraftkopplung</t>
  </si>
  <si>
    <t>SL 7 - Warmwasserwärmepumpe mit PV</t>
  </si>
  <si>
    <t>SL 8 - Fensterersatz entlag therm. Gebäudehülle</t>
  </si>
  <si>
    <t>SL 9 - W'dämmung von Fassade und/oder Dach</t>
  </si>
  <si>
    <r>
      <t>1 – 0.17/1.0 W/m</t>
    </r>
    <r>
      <rPr>
        <vertAlign val="superscript"/>
        <sz val="10.5"/>
        <rFont val="Arial"/>
        <family val="2"/>
      </rPr>
      <t>2</t>
    </r>
    <r>
      <rPr>
        <sz val="10.5"/>
        <rFont val="Arial"/>
        <family val="2"/>
      </rPr>
      <t>K + KWL</t>
    </r>
  </si>
  <si>
    <r>
      <t>2 – 0.17/1.0 W/m</t>
    </r>
    <r>
      <rPr>
        <vertAlign val="superscript"/>
        <sz val="10.5"/>
        <rFont val="Arial"/>
        <family val="2"/>
      </rPr>
      <t>2</t>
    </r>
    <r>
      <rPr>
        <sz val="10.5"/>
        <rFont val="Arial"/>
        <family val="2"/>
      </rPr>
      <t>K + WW solar</t>
    </r>
  </si>
  <si>
    <r>
      <t>3 – 0.15/1.0 W/m</t>
    </r>
    <r>
      <rPr>
        <vertAlign val="superscript"/>
        <sz val="10.5"/>
        <rFont val="Arial"/>
        <family val="2"/>
      </rPr>
      <t>2</t>
    </r>
    <r>
      <rPr>
        <sz val="10.5"/>
        <rFont val="Arial"/>
        <family val="2"/>
      </rPr>
      <t>K</t>
    </r>
  </si>
  <si>
    <r>
      <t>4 – 0.15/0.8 W/m</t>
    </r>
    <r>
      <rPr>
        <vertAlign val="superscript"/>
        <sz val="10.5"/>
        <rFont val="Arial"/>
        <family val="2"/>
      </rPr>
      <t>2</t>
    </r>
    <r>
      <rPr>
        <sz val="10.5"/>
        <rFont val="Arial"/>
        <family val="2"/>
      </rPr>
      <t>K</t>
    </r>
  </si>
  <si>
    <r>
      <t>5 – 0.15/1.0 W/m</t>
    </r>
    <r>
      <rPr>
        <vertAlign val="superscript"/>
        <sz val="10.5"/>
        <rFont val="Arial"/>
        <family val="2"/>
      </rPr>
      <t>2</t>
    </r>
    <r>
      <rPr>
        <sz val="10.5"/>
        <rFont val="Arial"/>
        <family val="2"/>
      </rPr>
      <t>K + KWL + WW solar</t>
    </r>
  </si>
  <si>
    <r>
      <t>6 – 0.15/0.8 W/m</t>
    </r>
    <r>
      <rPr>
        <vertAlign val="superscript"/>
        <sz val="10.5"/>
        <rFont val="Arial"/>
        <family val="2"/>
      </rPr>
      <t>2</t>
    </r>
    <r>
      <rPr>
        <sz val="10.5"/>
        <rFont val="Arial"/>
        <family val="2"/>
      </rPr>
      <t>K + KWL + H/WW solar</t>
    </r>
  </si>
  <si>
    <t>&lt;- Hier ein X rein, um alle Blätter aktiv zu schalten</t>
  </si>
  <si>
    <t>Verfasser auswählen</t>
  </si>
  <si>
    <t>Lüftungskonzept für alle Räume</t>
  </si>
  <si>
    <t>Nicht erforderlich: Bagatellerweiterung</t>
  </si>
  <si>
    <t>Fenster vollständig erfasst, Orientierung korrekt</t>
  </si>
  <si>
    <t>g-Wert Verglasung und Glasanteil</t>
  </si>
  <si>
    <t>Berechnung der U-Werte (Uw-Wert, Uf-Wert, psi-Wert, Af, Ar)</t>
  </si>
  <si>
    <t>Verschattung Horizont (Fh</t>
  </si>
  <si>
    <t>Vereinfachung Treppenhäuser und Aufzugsschächte</t>
  </si>
  <si>
    <t>(SIA 380/1:2016 Anhang C)</t>
  </si>
  <si>
    <t>Storenkasten / Rahmenverbr.</t>
  </si>
  <si>
    <t>Berechnung der Heizlast nach SIA 384.201</t>
  </si>
  <si>
    <t>§</t>
  </si>
  <si>
    <t>Zur Vollzugshilfe</t>
  </si>
  <si>
    <t>Zu den Vollzugshilfen</t>
  </si>
  <si>
    <t>Farb- und Symbollegende</t>
  </si>
  <si>
    <t>Pflichtenfeld - Eingabe Erforderlich</t>
  </si>
  <si>
    <t>Optionales Feld - Eingabe bei Bedarf</t>
  </si>
  <si>
    <t>Wertübernahme - Schreibgeschützt</t>
  </si>
  <si>
    <t>Begleitschreiben</t>
  </si>
  <si>
    <t>Umgang mit der EN-Checkliste für Kontrollbeauftragte</t>
  </si>
  <si>
    <t>Gemeinde:</t>
  </si>
  <si>
    <t>Bauvorhaben/Objekt:</t>
  </si>
  <si>
    <t>Erforderlich</t>
  </si>
  <si>
    <t>www.uwe.lu.ch/themen/energie/Energienachweis_ab_2019</t>
  </si>
  <si>
    <t>(Rechts unter "Ablaufdiagramme")</t>
  </si>
  <si>
    <t>GWAERZH1</t>
  </si>
  <si>
    <t xml:space="preserve">GWAERZH2 </t>
  </si>
  <si>
    <t xml:space="preserve">GENH1 </t>
  </si>
  <si>
    <t xml:space="preserve">GENH2 </t>
  </si>
  <si>
    <t xml:space="preserve">GWAERZW1 </t>
  </si>
  <si>
    <t>GWAERZW2</t>
  </si>
  <si>
    <t xml:space="preserve">GENW1 </t>
  </si>
  <si>
    <t xml:space="preserve">GENW2 </t>
  </si>
  <si>
    <t>Wärmeerzeuger Heizung 1</t>
  </si>
  <si>
    <t xml:space="preserve">Wärmeerzeuger Heizung 2 </t>
  </si>
  <si>
    <t xml:space="preserve">Energie-/Wärmequelle Heizung 1 </t>
  </si>
  <si>
    <t>Energie-/Wärmequelle Heizung 2</t>
  </si>
  <si>
    <t>Wärmeerzeuger Warmwasser 1</t>
  </si>
  <si>
    <t>Wärmeerzeuger Warmwasser 2</t>
  </si>
  <si>
    <t xml:space="preserve">Energie/Wärmequelle Warmwasser1 </t>
  </si>
  <si>
    <t xml:space="preserve">Energie/Wärmequelle 
Warmwasser2 </t>
  </si>
  <si>
    <t>Mit der Einführung des GWR-Merkmalskatalogs 4.1 wurde die Erfassung der Wärmeerzeugung umfangreicher und aus der bisherigen Energiemeldung wurde nicht in jedem Fall klar, welche GWR-Merkmale bei der Wärmeerzeugung einzutragen sind. Aus diesem Grund wurde die Meldeplattform an den neuen GWR-Merkmalskatalog angepasst. Insbesondere wird neu der allfällig vorhandene zweite Wärmeerzeuger abgefragt. Die nachfolgende Liste soll als Hilfestellung für das Ausfüllen des GWR dienen.</t>
  </si>
  <si>
    <t>Bei Gesuchen vom kantonalen Energiegesetz zuhanden der Dienststelle Umwelt und Energie (uwe) besteht die Möglichkeit, vor dem Verfassen eines schriftlichen Ausnahmegesuchs eine kostenlose Erstbeurteilung vornehmen zu lassen. Damit kann abgeschätzt werden, ob es sich lohnt den Gesuchsprozess zu starten, welcher mit einem kostenpflichtigen Entscheid abgeschlossen wird. Bei Gesuchen an die Dienststelle Umwelt und Energie ist zwingend das «Deckblatt für Ausnahmegesuche zum Kantonalen Energiegesetz» beizulegen. Die häufigsten Fälle und das entsprechende Vorgehen wurde vom uwe im Ablaufdiagramm festgehalten. Die entsprechenden Unterlagen finden Sie unter folgendem Link:</t>
  </si>
  <si>
    <t>Rechnungsstellung Ersatzabgabe Eigenstromerzeugungsanlage:</t>
  </si>
  <si>
    <t>2. AUFLAGEN</t>
  </si>
  <si>
    <t>1. PRÜFRESULTAT</t>
  </si>
  <si>
    <t>3. GWR EINTRAG</t>
  </si>
  <si>
    <t>Ergebnistext 1:</t>
  </si>
  <si>
    <t>Ergebnistext 2:</t>
  </si>
  <si>
    <t>Ergebnistext 3:</t>
  </si>
  <si>
    <t xml:space="preserve">Die Kontrolle des Energienachweis ist abgeschlossen und liegt zur weiteren Bearbeitung der Gemeinde vor. Die nachfolgenden Punkte zeigen die weitreren Bearbeitungspunkte auf. </t>
  </si>
  <si>
    <t>Auflagen für die Baufreigabe</t>
  </si>
  <si>
    <t>Ergebnistext 4:</t>
  </si>
  <si>
    <t>Die Prüfung des EN-Dossier des oben genannten Objektes hat folgendes Resultat ergeben:</t>
  </si>
  <si>
    <t>Energienachweis genehmigt, keine Einwände</t>
  </si>
  <si>
    <t>Zweck</t>
  </si>
  <si>
    <t>Heizung (H)</t>
  </si>
  <si>
    <t>Prozesse (Proz.)</t>
  </si>
  <si>
    <t>Zweck gem. Angaben EN-103 eintragen</t>
  </si>
  <si>
    <t>Warmwasser (WW)</t>
  </si>
  <si>
    <t>Heizung (H) + Warmwasser (WW)</t>
  </si>
  <si>
    <t>Heizung (H) + Prozesse (Proz.)</t>
  </si>
  <si>
    <t>Warmwasser (WW) + Prozesse (Proz.)</t>
  </si>
  <si>
    <t>Heizung (H) + Warmwasser (WW) + Prozesse (Proz.)</t>
  </si>
  <si>
    <t>Wärmeerzeuger</t>
  </si>
  <si>
    <t>Wärmepumpe</t>
  </si>
  <si>
    <t>Angabe Nutzungseinheiten</t>
  </si>
  <si>
    <t>Thermische Solaranlage</t>
  </si>
  <si>
    <t>Heizkessel kondensierend</t>
  </si>
  <si>
    <t>Heizkessel nicht kondensierend</t>
  </si>
  <si>
    <t>Wärmetauscher</t>
  </si>
  <si>
    <t>Wärmekraftkopplungsanlage</t>
  </si>
  <si>
    <t>Ofen</t>
  </si>
  <si>
    <t>Andere</t>
  </si>
  <si>
    <t>Energiequelle</t>
  </si>
  <si>
    <t>Erdwärmesonde</t>
  </si>
  <si>
    <t>Luft</t>
  </si>
  <si>
    <t>Wasser</t>
  </si>
  <si>
    <t>Erdregister</t>
  </si>
  <si>
    <t>Sonne (thermisch)</t>
  </si>
  <si>
    <t>Gas</t>
  </si>
  <si>
    <t>Heizöl</t>
  </si>
  <si>
    <t>Holz (Pellets)</t>
  </si>
  <si>
    <t>Holz (Schnitzel)</t>
  </si>
  <si>
    <t>Holz (Stückholz)</t>
  </si>
  <si>
    <t>Fernwärme (generisch)</t>
  </si>
  <si>
    <t>Abwärme (innerhalb des Gebäudes)</t>
  </si>
  <si>
    <t>Unbestimmt</t>
  </si>
  <si>
    <t>Elektrizität</t>
  </si>
  <si>
    <t>Versorgungsperimeter</t>
  </si>
  <si>
    <t>für ein Gebäude</t>
  </si>
  <si>
    <t>für mehrere Gebäude</t>
  </si>
  <si>
    <t>WZ1</t>
  </si>
  <si>
    <t>WZ2</t>
  </si>
  <si>
    <t>EQ1</t>
  </si>
  <si>
    <t>EQ2</t>
  </si>
  <si>
    <t>Versorgtes Gebiet</t>
  </si>
  <si>
    <t>EN-Formulare und Vollzugshilfen</t>
  </si>
  <si>
    <t>Diese EN-Checkliste wird stetig aktualisiert und verbessert. Um mögliche Fehlfunktionen zu vermeiden muss die Checkliste vor jeder Verwendung erneut heruntergeladen werden. Die aktuellste Version der Checkliste finden Sie unter folgendem Link:</t>
  </si>
  <si>
    <t>Download aktuelle Version EN-Checkliste</t>
  </si>
  <si>
    <t>Die Farbgebung in den Excel-Tabellen hat folgende Bedeutung:</t>
  </si>
  <si>
    <r>
      <rPr>
        <b/>
        <sz val="10.5"/>
        <color theme="1"/>
        <rFont val="Arial"/>
        <family val="2"/>
      </rPr>
      <t>§</t>
    </r>
    <r>
      <rPr>
        <sz val="10.5"/>
        <color theme="1"/>
        <rFont val="Arial"/>
        <family val="2"/>
      </rPr>
      <t xml:space="preserve"> - Verlinkte Seiten im Excel</t>
    </r>
  </si>
  <si>
    <t>Verwendung der aktuellsten Checklistenversion</t>
  </si>
  <si>
    <t>Anlage</t>
  </si>
  <si>
    <t>Formular EN-110 "Kühlung/Befeuchtung"</t>
  </si>
  <si>
    <t>Anlageart/-typ wählen</t>
  </si>
  <si>
    <t>Einfache Zuluftanlage</t>
  </si>
  <si>
    <t>Zuluftanlage mit Lufterwärmung</t>
  </si>
  <si>
    <t>Einfache Abluftanlage</t>
  </si>
  <si>
    <t>Abluftanlage mit Abwärmenutzung</t>
  </si>
  <si>
    <t>Einfache Lüftungsanlage</t>
  </si>
  <si>
    <t>Lüftungsanlge mit Lufterwärmung</t>
  </si>
  <si>
    <t>Lüftungsanlage mit Lufterwärmung und -befeuchtung</t>
  </si>
  <si>
    <t>Einfache Klimaanlage</t>
  </si>
  <si>
    <t>Klimaanlage mit Luftbefeuchtung</t>
  </si>
  <si>
    <t>Klimaanlage mit Luftbefeuchtung und -entfeuchtung</t>
  </si>
  <si>
    <t>bitte wählen</t>
  </si>
  <si>
    <t>Ja</t>
  </si>
  <si>
    <t>Nein</t>
  </si>
  <si>
    <t>Max. Volumenströme</t>
  </si>
  <si>
    <t>Belüftete Fläche</t>
  </si>
  <si>
    <t>Lufterwärmung</t>
  </si>
  <si>
    <t>Kühlung/Befeuchtung</t>
  </si>
  <si>
    <t>Lufterwärmung wählen</t>
  </si>
  <si>
    <t>Ja, Elektrolufterhitzer vorhanden</t>
  </si>
  <si>
    <t>Ja, Elektrolufterhitzer angeschlossen</t>
  </si>
  <si>
    <t>Wärmerückgewinnung (WRG)</t>
  </si>
  <si>
    <t>WRG-Technik wählen</t>
  </si>
  <si>
    <t>Rotations-Wärmetauscher nicht hygroskopisch</t>
  </si>
  <si>
    <t>Rotations-Wärmetauscher hygroskopisch</t>
  </si>
  <si>
    <t>Kreuz-/Gegenstrom-Wärmetauscher</t>
  </si>
  <si>
    <t>Gegenstrom-Wärmetauscher</t>
  </si>
  <si>
    <t>Kreuzstrom-Wärmetauscher</t>
  </si>
  <si>
    <t>Kreislaufverbundsystem</t>
  </si>
  <si>
    <t>Spez. Luftvolumenstrom</t>
  </si>
  <si>
    <t>Betrieb höchstens 500h/a</t>
  </si>
  <si>
    <t>Reine Umluftanlage</t>
  </si>
  <si>
    <t>Fachgerechte Energieverbrauchsrechnung</t>
  </si>
  <si>
    <t>Lüftung hauptsächlich zum Free-Cooling</t>
  </si>
  <si>
    <t>Geregelte Abluftanlage (CO2 / Feuchte) in Wohnbauten</t>
  </si>
  <si>
    <t>Abluft aus Räumen mit Abwärme</t>
  </si>
  <si>
    <t>Kleine Abluftanlagen in Wohnbauten (z.B. Abzug Küche, Bad)</t>
  </si>
  <si>
    <t>Abluft aus unbeheizten Räumen (z.B. Garage)</t>
  </si>
  <si>
    <t>Andere Nutzung der Wärme der Abluft</t>
  </si>
  <si>
    <t>Luftgeschwindigkeiten</t>
  </si>
  <si>
    <t>Jahresbetriebsstunden wählen</t>
  </si>
  <si>
    <t>≥ 1000 h</t>
  </si>
  <si>
    <t>&lt; 1000 h</t>
  </si>
  <si>
    <t>Max. Luftvolumenstrom</t>
  </si>
  <si>
    <t>EBF Neu gem EN-101a</t>
  </si>
  <si>
    <t>Anforderungen Luftgeschwindigkeiten</t>
  </si>
  <si>
    <t>Fortluftkamin bei Garagenabluft</t>
  </si>
  <si>
    <t>Kanalängpässe (kurz und unvermeidbar)</t>
  </si>
  <si>
    <t>keine Verbrauchserhöhung (rechnerisch nachgewiesen)</t>
  </si>
  <si>
    <t>Grenzwerte Spezifische Ventilatorenleistung</t>
  </si>
  <si>
    <t>ZUL</t>
  </si>
  <si>
    <t>ABL</t>
  </si>
  <si>
    <t>Grund für Abweichung</t>
  </si>
  <si>
    <t>Grund für Abweichung wählen</t>
  </si>
  <si>
    <t>Leitung ausserhalb der thermischen Gebäudehülle</t>
  </si>
  <si>
    <t>Leitung in offenen Raum oder im Freien</t>
  </si>
  <si>
    <t>Wärmedämmung von lüftungstechnischen Anlagen</t>
  </si>
  <si>
    <t>wenig benutztes Kanalstück mit Klappen</t>
  </si>
  <si>
    <t>Jahresbetriebszeit &lt; 500h/a</t>
  </si>
  <si>
    <t>kleine Anlagen mit &lt; 6m Leitung</t>
  </si>
  <si>
    <t>Technik</t>
  </si>
  <si>
    <t>Ort</t>
  </si>
  <si>
    <t>Leistung</t>
  </si>
  <si>
    <t>Produktion max</t>
  </si>
  <si>
    <t>Individueller Betrieb für Räume oder Raumgruppen</t>
  </si>
  <si>
    <t>Regelungsart plausibel</t>
  </si>
  <si>
    <t>Anzahl Zonen</t>
  </si>
  <si>
    <t>Anzahl Zonen mit Planunterlagen übereinstimmend</t>
  </si>
  <si>
    <t>rel. Feuchte Winter</t>
  </si>
  <si>
    <t>Min. Temp. Winter</t>
  </si>
  <si>
    <t>Max. Temp. Sommer</t>
  </si>
  <si>
    <t>rel. Feuchte Sommer</t>
  </si>
  <si>
    <t>Raumnutzung Wählen</t>
  </si>
  <si>
    <t>Wohnraum, Schlafzimer</t>
  </si>
  <si>
    <t>Feine Wohnräu</t>
  </si>
  <si>
    <t>g-Wert Berechnung Sonnenschutz</t>
  </si>
  <si>
    <t>Interne Wärmelast</t>
  </si>
  <si>
    <t>Plausibilisierung</t>
  </si>
  <si>
    <t>Sonnenschutz</t>
  </si>
  <si>
    <t>aussenliegender Sonnenschutz</t>
  </si>
  <si>
    <t>innenliegender Sonnenschutz</t>
  </si>
  <si>
    <t>rechnerischer Nachweis des g-Wertes</t>
  </si>
  <si>
    <t>g-Wert Nachweismethode angeben</t>
  </si>
  <si>
    <t>Überschreitung, Begründung plausibel</t>
  </si>
  <si>
    <t>Windsicherheitskriterien gem. SIA 382/1 2.1.3.9 erfüllt</t>
  </si>
  <si>
    <t>Anforderung an automatische Steuerung erfüllt</t>
  </si>
  <si>
    <t>g-Wert Nachweis</t>
  </si>
  <si>
    <t>Anlagebezeichnung eindeutig inkl. Raumart/Nutzung</t>
  </si>
  <si>
    <t>Umluft vorhanden</t>
  </si>
  <si>
    <t>Richtwerte für Wohn- und Bürobauten in SIA382-1 Tabelle 17</t>
  </si>
  <si>
    <t>Umluft: Abluft, welche wieder der Luftbehandlung zugeführt wird. (VH-EN105 S.1)</t>
  </si>
  <si>
    <t>Definition des Anlagetyps mit den Funktionalitäten in der SIA382-1 Tabelle 3</t>
  </si>
  <si>
    <t>Abluftvolumenstrom höchstens 1'000 m3/h</t>
  </si>
  <si>
    <t>Anlagetyp mit Dokumentation übereinstimmend? Plausibel für Gebäudekategorie?</t>
  </si>
  <si>
    <t>Prüfung der WRG Pflicht</t>
  </si>
  <si>
    <t>Bitte auswählen</t>
  </si>
  <si>
    <t>Detailierte Erläuterungen in VH-EN105</t>
  </si>
  <si>
    <t>WRG vorhanden und dokumentiert?</t>
  </si>
  <si>
    <t>Anforderung WRG Tempertur Änderungsgrad oder Jahresnutzungsgrad erfüllt</t>
  </si>
  <si>
    <t>Anforderung an die Geschwindigkeit in Apparaten</t>
  </si>
  <si>
    <t>Anforderung an Geschwindigkeit in Kanälen</t>
  </si>
  <si>
    <t>Anforderung SIA382-1</t>
  </si>
  <si>
    <t>geringe Betriebszeiten (&lt; 1'000 h)</t>
  </si>
  <si>
    <t>Keine der genannten Fälle</t>
  </si>
  <si>
    <t>Resultat</t>
  </si>
  <si>
    <t>Prüfung der Anforderung an die Luftgeschwindigkeiten</t>
  </si>
  <si>
    <t>&lt; 1000 h entspricht einer Jahresbetriebszeit von weniger als 12%</t>
  </si>
  <si>
    <t>Grund für die teilweise Nichteinhaltung der Mindestgeschwindigkeiten</t>
  </si>
  <si>
    <t xml:space="preserve"> Monoblocs eingehalten</t>
  </si>
  <si>
    <t>§ Rohrdimensionsrechner</t>
  </si>
  <si>
    <t>Min. Kanalquerschnitt</t>
  </si>
  <si>
    <t>Auslegungskriterien gem. SIA 382/1, Tabelle 27 plausibel</t>
  </si>
  <si>
    <t>Ts</t>
  </si>
  <si>
    <t>Tw</t>
  </si>
  <si>
    <t>RHs</t>
  </si>
  <si>
    <t>RHw</t>
  </si>
  <si>
    <t>Hauptnutzung gem. EN-Kt.</t>
  </si>
  <si>
    <t>Nebennutzung gem. EN-Kt.</t>
  </si>
  <si>
    <t>Die Auslegungskriterien sind von der Nutzung der einzelnen Räume abhängig und können wie folgt approximiert werden:</t>
  </si>
  <si>
    <t>Grundlagen für Kühlung/Be- und Entfeuchtung</t>
  </si>
  <si>
    <t>Beiliegende Berechnung plausibel</t>
  </si>
  <si>
    <t>Berechnung Interne Wärmelast Kühlen / Befeuchten</t>
  </si>
  <si>
    <t xml:space="preserve">Die Notwendigkeit der folgenden Unterlagen ist abhängig von Lüftungstyp. Die Erforderlichkeit wird automatisch durch die Eingaben ab Zeile 44  evaluiert. Erfordert die Kontrolle eine zusätzliche Beilage, werden Sie im Feld "Bemerkungen" darauf aufmerksam gemacht. </t>
  </si>
  <si>
    <t>Befeuchtung</t>
  </si>
  <si>
    <t>Angaben zur Befeuchtung vollständig</t>
  </si>
  <si>
    <t>Vorgaben an individuellen Betrieb gem. VH EN-105 Kap. 6 eingehalten</t>
  </si>
  <si>
    <t xml:space="preserve">Angegebene Temperaturdifferenzen zwischen Medium und </t>
  </si>
  <si>
    <t>Umgebungraum aufgrund der Nutzung der Räume plausibel?</t>
  </si>
  <si>
    <t>Erforderliche Dämmstärken eingehalten?</t>
  </si>
  <si>
    <t xml:space="preserve"> </t>
  </si>
  <si>
    <t>041 412 32 32</t>
  </si>
  <si>
    <t>Die nachfolgenden Abbildungen dienen zur Hilfestellung und Plausibilisierung der Nachweiskontrolle. Es handelt sich um Auszüge aus der Norm SIA382/1 "Lüftungs- und Klimaanlagen - Allgemeine Grundlagen und Anforderungen" und der Vollzugshilfe EN-105. Mitarbeitende der Kantone haben unentgeltlich bei der Erarbeitung dieser Normen mitgewirkt.</t>
  </si>
  <si>
    <t>(Rechte Spalte auf Webpage)</t>
  </si>
  <si>
    <t>Hinweise zum Energievollzug für Gemeinden</t>
  </si>
  <si>
    <t>Enthält das Gebäude mehr als 2 Wärmeerzeuger?</t>
  </si>
  <si>
    <t>Bitte wählen</t>
  </si>
  <si>
    <t>Die nachfolgenden Angaben werden benötigt, um die Anforderungen an die (1) WRG-Pflicht, (2) maximale Luftgeschwindigkeiten und die (3) Wärmedämmung der Luftkanäle zu überprüfen. Die Plausibilität der Angaben auf dem EN-105 sind gemässs den eingereichten Dokumentationen und Planunterlagen zu überprüfen. Diese Checkliste gibt die entsprechenden Hilfestellungen und verweist auf die entsprechenden Grafiken. Klicken Sie auf das §-Zeichen, um direkt zur entsprechenden Hilfestellung zu gelangen. Wurden mehr als ein EN-105 Formular eingereicht, finden Sie Duplikate dieser Checkliste in den hintersten Register dieses Excel-Files</t>
  </si>
  <si>
    <t>SVK Merkblatt Abwärmenutzung</t>
  </si>
  <si>
    <t xml:space="preserve">Zurück zm EN-Kt. </t>
  </si>
  <si>
    <t>EN-101d "Bedarfsberechnung Lüftung" (zu EN-101b)</t>
  </si>
  <si>
    <t>Kontaktdaten und Unterschrift des Nachweisverfassers vorhanden</t>
  </si>
  <si>
    <t>Datenblatt Lüftungsanlage inkl. WRG Wirkungsgrad</t>
  </si>
  <si>
    <t>Prinzipschema Umluft</t>
  </si>
  <si>
    <t>Gerne können Sie sich bei technischen oder inhaltlichen Fragen zu dieser Checkliste an die nachfolgenden Hotline wenden. Bitte nennen Sie beim Anruf das Stichwort "Energienachweis-Checkliste" und den Kanton, damit Ihre Anfrage korrekt eingeordnet werden kann.</t>
  </si>
  <si>
    <t xml:space="preserve">Kanton Luzern: </t>
  </si>
  <si>
    <t xml:space="preserve">Kanton Obwalden: </t>
  </si>
  <si>
    <t xml:space="preserve">Kanton Nidwalden: </t>
  </si>
  <si>
    <t>Das Begleitschreiben dient als Hilfestellung und Kommunikationsmittel für die Gemeinden. Es enthält die wichtigsten Erkenntnisse und Resultate aus der Nachweiskontrolle und bigt die notwendigen nächsten Schritte für die Gemeinden vor. Das Schreiben wird automatisiert aufgrund der Eingaben in den Formularen EN-Kt. bis EN-105 erstellt. Die Angaben im Begleitschreiben sind durch den EN-Kontrolleur zu kontrollieren und deren Richtigkeit mit der Unterschrift zu bezeugen..</t>
  </si>
  <si>
    <t>Ausnahmebewilligungen vom kantonalen Energiegesetz Kanton Luzern</t>
  </si>
  <si>
    <t>Kanton Schwyz:</t>
  </si>
  <si>
    <t>Hilfsmittel und Unterlagen</t>
  </si>
  <si>
    <t>Kanton Luzern</t>
  </si>
  <si>
    <t>Kanton Schwyz</t>
  </si>
  <si>
    <t>Ablaufdiagram Energienachweise</t>
  </si>
  <si>
    <t>Ablaufdiagram Ausnahmegesuche</t>
  </si>
  <si>
    <t>MINERGIE®-Zertifikat:</t>
  </si>
  <si>
    <t>Baukosten &lt; CHF 250'000.-</t>
  </si>
  <si>
    <t>Nidwalden</t>
  </si>
  <si>
    <t>Schwyz</t>
  </si>
  <si>
    <t>041 819 20 35</t>
  </si>
  <si>
    <t>U-Wert-Berechnungen</t>
  </si>
  <si>
    <t>Wärmebrückencheckliste</t>
  </si>
  <si>
    <t>Fenster-Daten</t>
  </si>
  <si>
    <t>Angaben zur Eigenstromerzeugung</t>
  </si>
  <si>
    <t>Grunddaten Gebäude</t>
  </si>
  <si>
    <t>Kanton</t>
  </si>
  <si>
    <t>Höhenlage des Gebäudes</t>
  </si>
  <si>
    <t>Planunterlagen / Flächenzusammenstellung (Ae, Ath)</t>
  </si>
  <si>
    <t>Energiebezugsfläche Ae</t>
  </si>
  <si>
    <t>Thermische Gebäudehüllfläche Ath</t>
  </si>
  <si>
    <t>(eff. Gebäudeflächen gegen aussen, unbeheizt &amp; Erdreich)</t>
  </si>
  <si>
    <t>Gebäudehüllzahl bzw. Kompaktheit plausibel</t>
  </si>
  <si>
    <t>Quelle</t>
  </si>
  <si>
    <t>https://www.minergie.ch/media/energieeffizientes_bauen_neubau_web.pdf</t>
  </si>
  <si>
    <t>Spezifische Daten Gebäudehülle</t>
  </si>
  <si>
    <t>Bauweise (Speichermasse) plausibel</t>
  </si>
  <si>
    <t>Hotline für Fragen und Feedbacks zu dieser Checkliste</t>
  </si>
  <si>
    <t>Matrix Resultat</t>
  </si>
  <si>
    <t>Matrix Beschrieb</t>
  </si>
  <si>
    <t>Optional (Gemeindespezifisch)</t>
  </si>
  <si>
    <t>Nicht erforderlich</t>
  </si>
  <si>
    <t>Ersatz Wärmerzeuger:</t>
  </si>
  <si>
    <t>Nach der Bauvollendung gelten für dieses Projekt gemäss den Angaben in dieser Checkliste folgende Auflagen. Die Bauherrschaft ist entsprechend darüber zu informieren. Die Baubewilligungsbehörde hat die Auflagen termingerecht einzufordern.</t>
  </si>
  <si>
    <t xml:space="preserve">Die kontrollbeauftragte Person bestätigt mit seiner Unterschrift, dass die untenstehenden Angaben mit dem Prüfresultat übereinstimmen. </t>
  </si>
  <si>
    <t>EN-LU</t>
  </si>
  <si>
    <t>EN-OW</t>
  </si>
  <si>
    <t>EN-NW</t>
  </si>
  <si>
    <t>EN-SZ</t>
  </si>
  <si>
    <t>?</t>
  </si>
  <si>
    <t>Hier Plausibilitätsprüfung falls EN-Teb im Kanton Luzern eingeführt wrid.</t>
  </si>
  <si>
    <t>Ersatz Wärmeerzeuger</t>
  </si>
  <si>
    <t>Zürich Meteo Schweiz</t>
  </si>
  <si>
    <t>Zulässige Klimastationen</t>
  </si>
  <si>
    <t>form.</t>
  </si>
  <si>
    <t>Engelberg (&gt; 800 m.ü.M.)</t>
  </si>
  <si>
    <t>www.map.geo.admin.ch</t>
  </si>
  <si>
    <t>Kontrolle  EN-101c</t>
  </si>
  <si>
    <t>Energienachweis für einfache Bauten</t>
  </si>
  <si>
    <t>SIA 380/1:2016 Kapitel 3.5.6.1</t>
  </si>
  <si>
    <t>U-Werte Fenster (Prüfen mit beiliegenden Fenster-Daten)</t>
  </si>
  <si>
    <t>g-Werte Fenster (Prüfen mit beiliegenden Fenster-Daten)</t>
  </si>
  <si>
    <t>Fensteranteil (Plausibilitätsprüfung mit Planunterlagen)</t>
  </si>
  <si>
    <t>Lüftungsanlagetyp plausbel</t>
  </si>
  <si>
    <t>Spezifische Daten Gebäudetechnik</t>
  </si>
  <si>
    <t>Grenzwert Energiebedarf erfüllt?</t>
  </si>
  <si>
    <t>Weitere Anforderungen</t>
  </si>
  <si>
    <t>Aussenliegender Sonnenschutz (Ersichtlich in Planunterlagen)</t>
  </si>
  <si>
    <t>Bauteile &gt; 2m im Erdreich und ungeheizt &lt; 0.25 W/m²K</t>
  </si>
  <si>
    <t>Thermische Hülle lückenlos aussen gedämmt</t>
  </si>
  <si>
    <t>Alle beheizten Räume innerhalb thermischen Gebäudehülle</t>
  </si>
  <si>
    <t>Max 10% der opaken Bauteilflächen mit U-Werten grösser als Vorgabe</t>
  </si>
  <si>
    <t>Anforderung Wärmedämmung Heiz-, Lüftungs- und Sanitärleitungen</t>
  </si>
  <si>
    <r>
      <t xml:space="preserve">Wärmebrückennachweis erfüllt (Keine </t>
    </r>
    <r>
      <rPr>
        <sz val="10.5"/>
        <color rgb="FFFF0000"/>
        <rFont val="Arial"/>
        <family val="2"/>
      </rPr>
      <t>roten</t>
    </r>
    <r>
      <rPr>
        <sz val="10.5"/>
        <color theme="1"/>
        <rFont val="Arial"/>
        <family val="2"/>
      </rPr>
      <t xml:space="preserve"> WB in der Checkliste)</t>
    </r>
  </si>
  <si>
    <t>Eigenstromerzeugung</t>
  </si>
  <si>
    <t>oder Ersatzabgabe</t>
  </si>
  <si>
    <t>PV, installierte Leistung (min.)</t>
  </si>
  <si>
    <t>Dropdown Ersatzabgabe</t>
  </si>
  <si>
    <r>
      <t xml:space="preserve">Keine </t>
    </r>
    <r>
      <rPr>
        <sz val="10.5"/>
        <color rgb="FFFF0000"/>
        <rFont val="Arial"/>
        <family val="2"/>
      </rPr>
      <t>roten</t>
    </r>
    <r>
      <rPr>
        <sz val="10.5"/>
        <color theme="1"/>
        <rFont val="Arial"/>
        <family val="2"/>
      </rPr>
      <t xml:space="preserve"> Fehlermeldungen im EN-101c (Falls ja: Rückweisung)</t>
    </r>
  </si>
  <si>
    <t>aa</t>
  </si>
  <si>
    <t>afs</t>
  </si>
  <si>
    <t>$</t>
  </si>
  <si>
    <t>U-Werte Opake Bauteile (Stichprobe min. 2 Bauteile)</t>
  </si>
  <si>
    <t>Heizung (Plausibilität: Typ und Vorlauftemperatur)</t>
  </si>
  <si>
    <t>Warmwasser (Plausibilität: Typ)</t>
  </si>
  <si>
    <t>Solaranlage (Plausibilität: Fläche, optimalerweise aus Planunterlagen)</t>
  </si>
  <si>
    <t>Gebäude wird nicht gekühlt (Achtung bei WP mit aktiver Kühlung)</t>
  </si>
  <si>
    <r>
      <t xml:space="preserve">Der Nachweis EN-101c ist nur für </t>
    </r>
    <r>
      <rPr>
        <u/>
        <sz val="10.5"/>
        <color theme="1"/>
        <rFont val="Arial"/>
        <family val="2"/>
      </rPr>
      <t>Wohnbauten</t>
    </r>
    <r>
      <rPr>
        <sz val="10.5"/>
        <color theme="1"/>
        <rFont val="Arial"/>
        <family val="2"/>
      </rPr>
      <t xml:space="preserve"> zulässig.</t>
    </r>
  </si>
  <si>
    <t>Korrekte Berücksichtigung im EN-101b</t>
  </si>
  <si>
    <t>Formular EN-133 "Nachweis Elektrizitätserzeugungsanlagen"</t>
  </si>
  <si>
    <t>Notwendige Leistung korrekt</t>
  </si>
  <si>
    <t>Vorgaben an Eigenstromerzeugung</t>
  </si>
  <si>
    <t>Kantonale Vorgaben:</t>
  </si>
  <si>
    <t>PV-Module (Leistung gem. Datenblatt; Anzahl Module gem. Anlageplan)</t>
  </si>
  <si>
    <t>Mono-, Polykristalline etc. (Modulfläche gem. Dachaufsicht)</t>
  </si>
  <si>
    <t>Dünnschichtmodule (Modulfläche gem. Dachaufsicht)</t>
  </si>
  <si>
    <t>Erforderliche Leistung</t>
  </si>
  <si>
    <t>EBF neu</t>
  </si>
  <si>
    <t>Text</t>
  </si>
  <si>
    <t>CHF/kWp</t>
  </si>
  <si>
    <t>Ersatzabgabe:*</t>
  </si>
  <si>
    <t>Fehlende Leistung</t>
  </si>
  <si>
    <t>Notwendige Leistung der Elektrizitätserzeugungsanlage</t>
  </si>
  <si>
    <t>Bilanz: Gesamthaft installierte Leistung zur Eigenstromerzeugung</t>
  </si>
  <si>
    <t>Summe der inst. Leistung*</t>
  </si>
  <si>
    <t>Nicht zulässig</t>
  </si>
  <si>
    <t>Ersatz:</t>
  </si>
  <si>
    <t>Die Eigenstromerzeugung kann mit Installation einer Energieerzeugungs- anlage in, auf oder an der Baute oder mit Beteiligung an einer neuen Gemeinschaftsanlage sichergestellt werden. Die Ersatzabgabe beträgt je nicht realisierte kW-Leistung Fr. 1‘000.- (KEnG Art. 19).</t>
  </si>
  <si>
    <t>An Standorten mit einer Globalstrahlung &lt; 1'120 kWh/m²a kann eine Befreiung beantragt werden. Eine Möglichkeit zur Ersatzabgabe besteht nicht. Die Anrechenbarkeit eines Zusammenschlusses zum Eigenverbrauch (ZEV) ist im KEnV §24e geregelt.</t>
  </si>
  <si>
    <t>Ausnahmebewilligung Eigenstromerzeugung:</t>
  </si>
  <si>
    <t>Ausführungsbestätigung:</t>
  </si>
  <si>
    <t>GEAK®-Neubau:</t>
  </si>
  <si>
    <t>Biogaszertifikat:</t>
  </si>
  <si>
    <t>Weitere empfohlene Auflagen:</t>
  </si>
  <si>
    <t>4. Zusammenfassende Bemerkungen vom Prüfexperten (Optional)</t>
  </si>
  <si>
    <t>ACHTUNG: Im Kanton SZ gelten folgende Abweichungen zur MuKEn14 (Gem. KEnV §24): Die spezifische Leistung für Kühlung/Befeuchtung UND die Anforderungen an die Kälteerzeugung (Kaltwassertemperatur und EER der Kältemaschine) gem. SIA 382/1 bzw. EN-110 sind einzuhalten. Kann die Vorgabe an die spezifische
Leistung von 12 W/m² für die Medienförderung und -aufbereitung inkl. allfälliger
Kühlung, Befeuchtung, Entfeuchtung und Wasseraufbereitung der Kältemaschine
nicht eingehalten werden, kann eine PV-Anlage zur Eigenstromerzeugung im gleichen Leistungsumfang installiert werden.</t>
  </si>
  <si>
    <t>ACHTUNG Abweichende Regelung im Kanton NW gem. KEnV §22: Wird der neue oder als Ersatz installierte direkt-elektrische Wassererwärmer mit einer Photovoltaikanlage kombiniert, muss die Leistung der Photovoltaikanlage mindestens das Doppelte der Leistung des Wassererwärmers betragen. Die Leistung der Eigenstromerzeugung gemäss Art. 19a kEnG2 ist nicht anrechenbar.</t>
  </si>
  <si>
    <t>SL SZ - erneuerbare Brennstoffe (z.B. Biogas)</t>
  </si>
  <si>
    <t>SL 10 - Grundlast erneuerbar / Spitzenlast fossil</t>
  </si>
  <si>
    <t>SL 11 - Kontrollierte Wohnungslüftung (KWL)</t>
  </si>
  <si>
    <t>Angaben EBF (z.B. Vergleich mit EN-101a)</t>
  </si>
  <si>
    <t>Freigabe trotz fehlenden Beilagen und ohne Kontrolle (z.B. Meldung)</t>
  </si>
  <si>
    <t>Verwendung einer Standard- oder Kantonalen Lösung</t>
  </si>
  <si>
    <t>Energienachweis genehmigt mit Auflagen gem. Erläuterungen Seite 3</t>
  </si>
  <si>
    <t xml:space="preserve">Verbrauchsabhängige Heiz- und WW-Kostenabrechnung (VHKA) </t>
  </si>
  <si>
    <t>VHKA-Pflicht ist zu prüfen:</t>
  </si>
  <si>
    <t>ACHTUNG verschärfte Anforderung im Kt. SZ gem. KEnV § 26: In Abweichung zur MuKEn 2014 besteht die Ausrüstungsflicht zur Erfassung des individuellen Wärmeverbrauchs für Heizung UND Warmwasser in Bauten mit zentraler Wärmeversorgung für fünf oder mehr Nutzeinheiten. Diese Pflicht kommt bei bestehenden Bauten im Falle einer Totalsanierung des Heizungs- und/oder des Warmwassersystems und bei neuen Bauten zur Anwendung.</t>
  </si>
  <si>
    <t>Auflagen</t>
  </si>
  <si>
    <t>101a</t>
  </si>
  <si>
    <t>101b</t>
  </si>
  <si>
    <t>101c</t>
  </si>
  <si>
    <t>102aN</t>
  </si>
  <si>
    <t>102aU</t>
  </si>
  <si>
    <t>102b</t>
  </si>
  <si>
    <t>BA</t>
  </si>
  <si>
    <t>Hinweis für den Prüfexperten zur individuellen Nachbearbeitung des automatisch übernommenen Textes: Zelleninhalt kopieren und mit der Einfügeoption "Werte einfügen" den Zellinhalt in die gleiche Zelle kopieren. -&gt;</t>
  </si>
  <si>
    <t>Energienachweis mangelhaft, rückweisung. Auflagen auf Seite 3.</t>
  </si>
  <si>
    <t>Energienachweis trotz kleineren Mängel, genehmigt. Siehe Auflagen Seite 3.</t>
  </si>
  <si>
    <t>Bitte Kanton Wählen</t>
  </si>
  <si>
    <t>Spezifische Vollzugshilfsmittel und Infos</t>
  </si>
  <si>
    <t>nicht vorhanden</t>
  </si>
  <si>
    <t>Wurden Nachweise trotz einzelnen Abweichungen oder fehlenden Unterlagen freigegeben, sind nachfolgend die entsprechenden Auflagen für die Baufreigabe zu verfassen. Bei den Auflagen handelt es sich um die vom Prüfexperten empfohlenen Auflagen. Die Baubewilligungsbehörde ist zuständig für den Vollzug und die Kommunikation gegenüber der Bauherrschaft.</t>
  </si>
  <si>
    <t>Zwecksänderung</t>
  </si>
  <si>
    <t>Wärmeabgabe nur in wärmegedämmten Räumen</t>
  </si>
  <si>
    <t>Angabe Heizlast (SIA 384.201)</t>
  </si>
  <si>
    <t>Hauptverfasser</t>
  </si>
  <si>
    <t>Hauptverfasser Nachweis:</t>
  </si>
  <si>
    <t>Plausibilisierungshilfe: Minimal zulässige Kanalquerschnitte eingehalten</t>
  </si>
  <si>
    <t>Plausibilisierungshilfe: Minimal zulässige Netto-Querschnittsfläche des</t>
  </si>
  <si>
    <t>041 618 40 54</t>
  </si>
  <si>
    <t>Kanton Nidwalden</t>
  </si>
  <si>
    <t>GEAK-Gesamtenergieeffizienklasse D oder besser</t>
  </si>
  <si>
    <t>GEAK-Zerfitikat mit Gesamtenergieeffizienz D oder besser</t>
  </si>
  <si>
    <t>GEAK®-Zertifikat:</t>
  </si>
  <si>
    <t>Lüftungsschema (oder Skizzen im Plan)</t>
  </si>
  <si>
    <t xml:space="preserve">Alle Anfragen und Anpassungen der Checkliste werden hier dokumentier und den Kantonen zugewiesen. Ebenfalls werden die Aufwände transparent dokumentiert. </t>
  </si>
  <si>
    <t>Andreas Kempf</t>
  </si>
  <si>
    <t>NW</t>
  </si>
  <si>
    <t>Von</t>
  </si>
  <si>
    <t>Betreff</t>
  </si>
  <si>
    <t>Erhalten</t>
  </si>
  <si>
    <t>Größe</t>
  </si>
  <si>
    <t>Kategorien</t>
  </si>
  <si>
    <t>AW: Schulung EN-Checkliste - Mittwoch 19. Oktober 2022, 8:00 - 9:30 Uhr, Landwirtschafts- und Umweltdirektion, Stansstaderstrasse 59, Stans</t>
  </si>
  <si>
    <t>Mo. 13:56</t>
  </si>
  <si>
    <t>220 KB</t>
  </si>
  <si>
    <t>189 KB</t>
  </si>
  <si>
    <t>Anfragetext</t>
  </si>
  <si>
    <t>Hallo Chris
Besten Dank für deine Erklärung. Das hat soweit geklappt.
Bei der aktuellen Checkliste ist mir aufgefallen, dass Teile dieses Versuchs noch Spuren hinterlassen haben. Soll heissen das Kreuz bei «Freigabe trotz einzelnen Abweichungen» (zu unterst) sowie jenes bei «erfüllt» beim ersten Wärmeerzeuger ist noch angekreuzt. So auch einige Kreuze beim EN-120 sowie die Auswahl «SL 3 – Elektrische Wärmepumpe» (C23) sind bereits als «erfüllt» gegeben.
Könntest du diese wieder neutralisieren?
Bei Fragen oder Unklarheiten stehe ich gerne zur Verfügung.
Besten Dank im Voraus und freundliche Grüsse</t>
  </si>
  <si>
    <t>Erledigt</t>
  </si>
  <si>
    <t>Kommentar Intern</t>
  </si>
  <si>
    <t>Aufwand</t>
  </si>
  <si>
    <t>Wichtig: Dieses Register immer wieder ausblenden und die Arbeitsmappenstruktur schützen.</t>
  </si>
  <si>
    <t>Das Mail kann untenstehend einfach reingezogen werden.</t>
  </si>
  <si>
    <t>Frank Christian</t>
  </si>
  <si>
    <t xml:space="preserve">WG: Formular Excel-Checkliste Energienachweis </t>
  </si>
  <si>
    <t>Fr. 18.11</t>
  </si>
  <si>
    <t>50 KB</t>
  </si>
  <si>
    <t xml:space="preserve">Guten Tag Christian
Ich habe eine Rückmeldung zur Excel-Checkliste «221101_Kontrolle_Nachweise_Checkliste.xlsx», Registerkarte EN-Kt.: 
Es geht um einen Neubau MFH mit einem kleinen Teil Nebennutzung Verkauf im Kanton Schwyz. Das Excel-Formular zeigt sofort an, dass der Einzelbauteilnachweis nicht zulässig ist (weil nicht reine Wohnnutzung). 
Als Nachweisverfahren Wärmedämmung steht als Alternative zum Einzelbauteilnachweis unter anderem «Nachweistool einfache Bauten (ENteb-Tool)» zur Verfügung, ebenso für den Nachweis Deckung Wärmebedarf. Diese Auswahl wird ohne Fehlermeldung akzeptiert, obwohl dieses Verfahren ebenfalls nur für (reine) Wohnbauten gültig ist. 
Ich finde, konsequenterweise müsste hier auch eine Fehlermeldung erscheinen, dass dies nicht zulässig ist. Eine solche Fehlermeldung erscheint z.B., wenn ich als Kanton statt Schwyz Luzern eingebe. 
Was mir sonst noch aufgefallen ist: Der Link rechts oben «Ablaufdiagramm EN» (unterhalb «Zu den Vollzugshilfen») ist ungültig (Site not found), er geht übrigens auf eine Adresse www.uwe.lu/..., die für den Kanton Schwyz wahrscheinlich nicht gültig wäre. 
Besten Dank für die Erledigung oder Weiterleitung. 
Freundliche Grüsse
Verein Energieberater Küssnacht
Iso Wyrsch
Energieberater Küssnacht
Postfach 103
6403 Küssnacht am Rigi
www.energieberater-kuessnacht.ch 
wyrsch technologies
Iso Wyrsch
Hinkel 7
CH - 6416 Steinerberg
Tel   +41  41  850 51 91
iso.wyrsch@wyrschtech.ch 
www.wyrschtech.ch  </t>
  </si>
  <si>
    <t>Reiner Wohnbau</t>
  </si>
  <si>
    <t xml:space="preserve">Formalitäten angepasst. </t>
  </si>
  <si>
    <t>En-Teb Auswahl wird automatisch ausgeblendet; Ablaufdiagramm Verlinkung auf EN-Kt. gelöscht; Verlinkung existiert bei Kanton Luzern im Register Begleitschreibung noch;</t>
  </si>
  <si>
    <t>Kanton LU - GEAK-Nebau-Pflicht</t>
  </si>
  <si>
    <t>GEAK-Pflicht gem. Verordnung</t>
  </si>
  <si>
    <t>GEAK möglich gem. Produktereglement</t>
  </si>
  <si>
    <t>GEAK-Pflicht kummuliert (Mischnutzung)</t>
  </si>
  <si>
    <t>Kanton Zug</t>
  </si>
  <si>
    <t>Zug</t>
  </si>
  <si>
    <t>EN-ZG</t>
  </si>
  <si>
    <t>EN-101a</t>
  </si>
  <si>
    <t>Energiebedarf Standardlösungskombination</t>
  </si>
  <si>
    <t>Erneuerbare Energie beim Wärmeerzeugerersatz</t>
  </si>
  <si>
    <t>EN-101b</t>
  </si>
  <si>
    <t>EN-101c</t>
  </si>
  <si>
    <t>EN-102a</t>
  </si>
  <si>
    <t>EN-102b</t>
  </si>
  <si>
    <t>EN-103</t>
  </si>
  <si>
    <t>EN-105</t>
  </si>
  <si>
    <t>EN-110</t>
  </si>
  <si>
    <t>EN-134</t>
  </si>
  <si>
    <t>EN-135</t>
  </si>
  <si>
    <t>EN-104</t>
  </si>
  <si>
    <t>EN-111</t>
  </si>
  <si>
    <t>EN-112</t>
  </si>
  <si>
    <t>EN-130</t>
  </si>
  <si>
    <t>EN-131</t>
  </si>
  <si>
    <t>EN-132</t>
  </si>
  <si>
    <t>EN-133</t>
  </si>
  <si>
    <t>Energiebedarf rechnerische Lösung</t>
  </si>
  <si>
    <t>Nachweistool für einfache Bauten</t>
  </si>
  <si>
    <t>Wärmedämmung Einzelbauteilnachweis (Neubau)</t>
  </si>
  <si>
    <t>Wärmedämmung Einzelbauteilnachweis (Umbau)</t>
  </si>
  <si>
    <t>Wärmedämmung Systemnachweis</t>
  </si>
  <si>
    <t>Heizungs- und Warmwasseranlagen</t>
  </si>
  <si>
    <t>Lüftungstechnische Anlagen</t>
  </si>
  <si>
    <t>Kühlung und/oder Befeuchtung in best. Bauten</t>
  </si>
  <si>
    <t>Nachweis Heizungen im Freien</t>
  </si>
  <si>
    <t>Beleuchtung</t>
  </si>
  <si>
    <t>Kühlräume</t>
  </si>
  <si>
    <t>Wärmenutzung bei Elektrizitätserzeugungsanlagen</t>
  </si>
  <si>
    <t>Besondere Anforderungen</t>
  </si>
  <si>
    <t>Philipp Schnyder</t>
  </si>
  <si>
    <t>EN-Checkliste / Fehler bei GEAK-Neubau-Pflicht</t>
  </si>
  <si>
    <t>Di. 21.11.23</t>
  </si>
  <si>
    <t>Guten Tag Dani
In der EN-Checkliste wird der GEAK-Neubau bei Nutzungen wie zum Beispiel Industrie angegeben. Bitte prüfe die Gebäudekategorien und passe die Pflicht an.
Meines Wissens haben nur wir Luzerner diese GEAK-Pflicht, korrekt? Oder mit welchen Kantonen muss ich einen Kostenteiler definieren?</t>
  </si>
  <si>
    <t>LU</t>
  </si>
  <si>
    <t>GEAK-Nebau-Pflicht für Kategorien (Einzelnutzungen I-IV resp. Mischnutzungen I-VI) angepasst</t>
  </si>
  <si>
    <t>erforderliche Nachweise</t>
  </si>
  <si>
    <t>Erneuerbares Wärmeerzeugungssystem für Heizung und Warmwasser</t>
  </si>
  <si>
    <t>a) Elektrisch angetriebene Wärmepumpe</t>
  </si>
  <si>
    <t>b) Holzfeuerung</t>
  </si>
  <si>
    <t>c) Fernwärme</t>
  </si>
  <si>
    <t>e) Abwärme</t>
  </si>
  <si>
    <t>f) Kombination aus a) bis e)</t>
  </si>
  <si>
    <t>Erneuerbares Wärmeerzeugungssystem</t>
  </si>
  <si>
    <t>Art des Nachweises</t>
  </si>
  <si>
    <t>Standardlösungskombinationen (V EnG-ZG Anhang 2)</t>
  </si>
  <si>
    <t>Dokumentation des Wärmepumpenboilers</t>
  </si>
  <si>
    <t>Bezugsvereinbarung 40 % Schweizer Biogas über 20 Jahre</t>
  </si>
  <si>
    <t>Elektrisch angetriebene Wärmepumpe</t>
  </si>
  <si>
    <t>Wärmequelle:</t>
  </si>
  <si>
    <t>Holfeuerung</t>
  </si>
  <si>
    <t>Fernwärmebetreiber:</t>
  </si>
  <si>
    <t>Name des Wärmeverbundes:</t>
  </si>
  <si>
    <t>Solarthermie</t>
  </si>
  <si>
    <t>Abwärme</t>
  </si>
  <si>
    <t>Quelle der Abwärme:</t>
  </si>
  <si>
    <t>Kombination aus a) bis e)</t>
  </si>
  <si>
    <t>Fernwärme</t>
  </si>
  <si>
    <t/>
  </si>
  <si>
    <t>Wärmeerzeugersystem:</t>
  </si>
  <si>
    <t>d) Solarthermie</t>
  </si>
  <si>
    <t>Hauptnutzung</t>
  </si>
  <si>
    <t>Massnahme 1</t>
  </si>
  <si>
    <t>Kompletter Fensterersatz</t>
  </si>
  <si>
    <t>Wärmedämmung des Dachs</t>
  </si>
  <si>
    <t>Wärmedämmung der Fassade</t>
  </si>
  <si>
    <t>Kontrollierte Lüftung</t>
  </si>
  <si>
    <t>Wärmepumpenboiler</t>
  </si>
  <si>
    <t>Nebennutzung 1</t>
  </si>
  <si>
    <t>Nebennutzung 2</t>
  </si>
  <si>
    <t>Massnahme 2</t>
  </si>
  <si>
    <t>Massnahme 1 auswählen</t>
  </si>
  <si>
    <t>Massnahme 2 auswählen</t>
  </si>
  <si>
    <t>GEAK-Zerfitikat mit Gesamtenergieeffizienz C oder besser</t>
  </si>
  <si>
    <t xml:space="preserve">Bei einem Wechsel des Energieträgers ist eine erneute Zertifizierung vorzunehmen.  </t>
  </si>
  <si>
    <t xml:space="preserve">Erneuerbares Wärmeerzeugungssystem für Heizung und </t>
  </si>
  <si>
    <t>Kontrolle  EN-120-ZG</t>
  </si>
  <si>
    <t>041 728 53 70</t>
  </si>
  <si>
    <t>Kanton Zug:</t>
  </si>
  <si>
    <t>Martin Theiler</t>
  </si>
  <si>
    <t>2022</t>
  </si>
  <si>
    <t>Einarbeitung Revision Kantonales Energiegesetz Zug</t>
  </si>
  <si>
    <t>ZG</t>
  </si>
  <si>
    <t>Bestätigung Anschluss (z.B. Vertrag) liegt bei:</t>
  </si>
  <si>
    <t>EN-Checkliste</t>
  </si>
  <si>
    <t>16.04.2024</t>
  </si>
  <si>
    <t>Sali Daniel
Wurde im Grundlagenkurs Energievollzug soeben auf folgenden Fehler in der EN-Checkliste hingewiesen worden. Bitte korrigieren. Danke.
LG Christian</t>
  </si>
  <si>
    <t>EN-120-ZG, Anzeigetext bei Nichtwahl korrigiert (Schönheitsfehler)</t>
  </si>
  <si>
    <t>Tobias Ammann</t>
  </si>
  <si>
    <t>15.04.2024</t>
  </si>
  <si>
    <t>Sehr geehrter Herr Wobmann, 
Es scheint, als ob sich auf der EN-Checkliste einen Fehler eingeschlichen hätte. Auf dem Arbeitsblatt «EN-104» wird die notwendige Elektrizitäts-Leistung nicht anerkannt, da die Verlinkung auf den Kanton Zug referenziert ist. Darf ich Sie bitten, Herrn Haas (siehe CC) zu informieren, wenn die Checkliste korrigiert ist?</t>
  </si>
  <si>
    <t>Berechnung notwendige PV-Leistung korrigiert</t>
  </si>
  <si>
    <t>Anstelle dem Bau einer Anlage kann im Kanton Zug auch eine Ersatzabgabe geleistet werden. Die Ersatzabgabe für die Befreiung von den Anforderungen an die Eigenstromerzeugung beträgt Fr. 1'000.– pro nicht realisiertem kW Leistung. (V EnG-ZG § 8)</t>
  </si>
  <si>
    <t>Die Elektrizität ist auf dem, am oder im Neubau selbst zu erzeugen. Für Arealabgrenzungen und Kompensationsmöglichkeiten sind die Hinweise
für die Luzerner Vollzugspraxis zu beachten.Die Ersatzabgabe beträgt 1'000 Franken pro kW nicht realisierter Leistung. (KEnV §14)</t>
  </si>
  <si>
    <t>Anstelle dem Bau einer Anlage kann im Kanton Obwalden auch eine Ersatzabgabe geleistet werden. Die Ersatzabgabe für die Befreiung von den Anforderungen an die Eigenstromerzeugung beträgt Fr. 1'000.– pro nicht realisiertem kW Leistung. (GDB 710.112 Art. 1)</t>
  </si>
  <si>
    <t>WG: Chekclisten EN- Kontrolle und Formular EN-ZG</t>
  </si>
  <si>
    <t>Freitag, 21. Juni 2024 07:50</t>
  </si>
  <si>
    <t>Hallo Daniel
Diese Anmerkung zur EN-Checkliste ist an mich gedrungen worden.
Kannst du prüfen, ob die Anmerkungen korrekt sind und falls ja bitte gerne gleich korrigieren.
Freundliche Grüsse
Martin Theiler
_______________________
Baudirektion des Kantons Zug
Amt für Umwelt
Martin Theiler
Projektleiter Energie
Aabachstrasse 5
Postfach
6301 Zug
Tel. 041 594 14 36  (Mi/Do/Fr)
martin.theiler@zg.ch
info.afu@zg.ch
Von: Edwin Hürlimann (HK&amp;T) &lt;edwin.huerlimann@kannewischer.ch&gt; 
Gesendet: Montag, 17. Juni 2024 15:55
An: Martin Theiler &lt;Martin.Theiler@zg.ch&gt;
Betreff: Chekclisten EN- Kontrolle und Formular EN-ZG
Sehr geehrter Herr Theiler
Es haben sich in der Checkliste EN-Kontrolle Fehler eingeschlichen
EN-101b: Klimastation kann nicht ausgewählt werden
EN-102B: Klimastation kann nicht ausgewählt werden.
Auf dem Formular EN-ZG wird auf der Seite 2 "Energieeffizienz in Bebauungsplänen auf EnG-ZG §13) hingewiesen. Dieser ist aber nicht im EnG-ZG sondern in der V Eng-ZG zu finden.</t>
  </si>
  <si>
    <t>Auswahl Klimastationen für Kt. ZG in Formular EN-101b  &amp; EN102b korrigiert</t>
  </si>
  <si>
    <t>Ergebnistext 2</t>
  </si>
  <si>
    <t>Ergebnistext 3</t>
  </si>
  <si>
    <t>EN-120-ZG</t>
  </si>
  <si>
    <t>EN-120</t>
  </si>
  <si>
    <t>AW: Checkliste EN-Kontrolle</t>
  </si>
  <si>
    <t>Mo 05.08.2024 08:37</t>
  </si>
  <si>
    <t>Sehr geehrter Herr Senn
Besten Dank für die Information. Bitte wenden Sie sich direkt an daniel.wobmann@oekowatt.ch
Freundliche Grüsse
Christian Frank
Christian Frank
Sekretär
Energiefachstellenkonferenz Zentralschweiz
c/o Kanton Luzern
Bau-, Umwelt- und Wirtschaftsdepartement
Umwelt und Energie (uwe)
Libellenrain 15
6002 Luzern
Telefon   041 228 3495
Zentrale  041 228 6060
christian.frank@lu.ch
www.energie-zentralschweiz.ch
Anwesend Di – Fr
Von: Senn Fabian &lt;f.senn@bucher-partnerag.ch&gt; 
Gesendet: Donnerstag, 25. Juli 2024 14:47
An: Frank Christian &lt;Christian.Frank@lu.ch&gt;
Betreff: Checkliste EN-Kontrolle
Sehr geehrter Herr Frank
Beim Anwenden der Checkliste EN-Kontrolle habe ich wohl einen Fehler entdeckt und würde dies gerne melden. Wo kann ich dies am besten machen?
Vielen Dank für einen Kontakt.
P.S. wenn man unter Über uns | Zentralschweiz - Energie Zentralschweiz (energie-zentralschweiz.ch) auf ihre E-Mail-Adresse klickt, wird vor "christian" noch ein Zeichen eingefügt, das verhindert, dass das E-Mail an die richtige Adresse geschickt wird (wird retourniert).
Freundliche Grüsse
Fabian Senn
Chr.-Schnyderstrasse 46 | 6210 Sursee
Telefon +41 41 925 19 19 | Direkt +41 41 925 19 23
f.senn@bucher-partnerag.ch | www.bucher-partnerag.ch</t>
  </si>
  <si>
    <t>ENFK (betrifft alle Kantone LU, OW, NW, SZ, ZG</t>
  </si>
  <si>
    <t>Ausgabe Prüfresultat in Begleitschreiben (Verlinkunge, Verweise und Prüfung); Automatischer Text "Auflagen für Baubewilliug" EN-Kt., Div. Kleinere Bugs</t>
  </si>
  <si>
    <t>EN-204-LU</t>
  </si>
  <si>
    <t>120-ZG</t>
  </si>
  <si>
    <t>204-LU</t>
  </si>
  <si>
    <t>Planunterlagen mit Berechnung nutzbaren/belgbaren Dachflächen</t>
  </si>
  <si>
    <t>Dokumentation/Nachweis Befreiung, Erleichterung, Ausnahme</t>
  </si>
  <si>
    <t>Dachflächen</t>
  </si>
  <si>
    <t>Nutzbare Dachflächen korrekt bestimmt</t>
  </si>
  <si>
    <t>Solaranlage (PV-Anlage, Solarthermieanlage)</t>
  </si>
  <si>
    <t>Sonstige Stromerzeugungsanlage</t>
  </si>
  <si>
    <t>Ersatzabgabe an die Gemeinde</t>
  </si>
  <si>
    <t>Befreiung, Erleichterung, Ausnahme</t>
  </si>
  <si>
    <t>Prüfung Notwendigkeit EN-204-LU bei Umbau Erneuerung</t>
  </si>
  <si>
    <t>"Obwalden"</t>
  </si>
  <si>
    <t>"Nidwalden"</t>
  </si>
  <si>
    <t>"Schwyz"</t>
  </si>
  <si>
    <t>"Zug"</t>
  </si>
  <si>
    <t>Vollzugshandbuch Energie</t>
  </si>
  <si>
    <t>Kanton Obalden</t>
  </si>
  <si>
    <t>041 666 64 24</t>
  </si>
  <si>
    <t>Kontrolle  EN-204-LU</t>
  </si>
  <si>
    <t>* Die Berechnung der Ersatzabgabe ist nicht rechtsverbindlich und muss durch die Baubewilligungsbehörde stets mit dem geltenden Recht abgeglichen werden.</t>
  </si>
  <si>
    <t>* Die Höhe der Ersatzabgabe ist aus dem Formular En-204-LU zu übertragen
Die Berechnung der Ersatzabgabe ist nicht rechtsverbindlich und muss durch die Baubewilligungsbehörde stets mit dem geltenden Recht abgeglichen werden.</t>
  </si>
  <si>
    <t>Fabio Käppeli</t>
  </si>
  <si>
    <t>Anpassung Checkliste EN-Kontrolle aufgrund Teilrevision KEnG</t>
  </si>
  <si>
    <t>04.03.2025</t>
  </si>
  <si>
    <t xml:space="preserve">Ciao Daniel
Am 1. März 2025 ist das neue KEnG in Kraft getreten. Auf der Webseite der EnFK wird auf die «Checkliste EN-Kontrolle» verwiesen. Wäre es möglich, dass du uns eine Offerte für die Überarbeitung dieser «Checkliste EN-Kontrolle» schickst?
Es sollen lediglich die dringend notwendigen Änderungen in der «Checkliste EN-Kontrolle» integriert werden.
-	Register EN-Kt. Mit Eigenstromerzeugung für Bauten Ergänzen (EN-204-LU Eigenstromerzeugung bei Bauten)
-	neues Register mit EN-204-LU
-	Abfrage 1
o	«Vollständigkeit der Beilagen» gemäss Formular EN-204-LU
-	Abfrage 2 
o	Feld E10 des Formulars EN-204-LU: nutzbare Dachfläche wurde richtig bestimmt
-	Abfrage 3
o	Nachweis korrekt?
	Für Solaranlage
	Für Sonstige Stromerzeugungsanlage
	Für Ersatzabgabe an die Gemeinde
	Für Befreiung, Erleichterung, Ausnahme
-	Auflagen für die Baufreigabe (analog EN-104)
-	Kontrolle (analog EN-104)
Vielen Dank!
Liebe Grüsse 
Fabio Käppeli
Energie
KANTON LUZERN 
Bau-, Umwelt- und Wirtschaftsdepartement 
Umwelt und Energie (uwe)
Energie
Libellenrain 15
Postfach 3439
6002 Luzern
Telefon	+41 41 228 8733
Zentrale	+41 41 228 6060
fabio.kaeppeli@lu.chuwe.lu.ch
Bitte beachten Sie beim E-Mail-Verkehr mit der kantonalen Verwaltung die Richtlinien im Disclaimer. </t>
  </si>
  <si>
    <t>Einarbeitung Teilrev. Kantonales Energiegesetz (EN-204-LU), Übeprüfung Verlinkgungen, Div. Kleiner Bugs</t>
  </si>
  <si>
    <t xml:space="preserve">   Die Berechnung der Ersatzabgabe ist nicht rechtsverbindlich und muss durch die</t>
  </si>
  <si>
    <t>Dokumentation/Pläne neuer und/oder bestehender PV-Anlagen</t>
  </si>
  <si>
    <t>Dokumentation/Pläne neuer und/oder bestehender Solarthermieanlagen</t>
  </si>
  <si>
    <t>Dokumentation/Nachweis bereits bezahlte Ersatzabgabe</t>
  </si>
  <si>
    <t>Ergebnis der Überprüfung Nachweiserfüllung</t>
  </si>
  <si>
    <t>Prüfung Kanton Luzern Bauentscheidstatum</t>
  </si>
  <si>
    <r>
      <t xml:space="preserve">Bauentscheid </t>
    </r>
    <r>
      <rPr>
        <b/>
        <sz val="10.5"/>
        <color theme="1"/>
        <rFont val="Arial"/>
        <family val="2"/>
      </rPr>
      <t>vor</t>
    </r>
    <r>
      <rPr>
        <sz val="10.5"/>
        <color theme="1"/>
        <rFont val="Arial"/>
        <family val="2"/>
      </rPr>
      <t xml:space="preserve"> dem 1. März 2025?</t>
    </r>
  </si>
  <si>
    <t xml:space="preserve">   Baubewilligungsbehörde stets mit dem geltenden Recht abgeglichen werden.</t>
  </si>
  <si>
    <t>Energienachweis Eigenstromerzeugung bei Bauten</t>
  </si>
  <si>
    <r>
      <rPr>
        <u/>
        <sz val="10.5"/>
        <color theme="1"/>
        <rFont val="Arial"/>
        <family val="2"/>
      </rPr>
      <t>Kt. LU</t>
    </r>
    <r>
      <rPr>
        <sz val="10.5"/>
        <color theme="1"/>
        <rFont val="Arial"/>
        <family val="2"/>
      </rPr>
      <t>: Dachsanierung projektiert?</t>
    </r>
  </si>
  <si>
    <t>EN-Checkliste: Falsche Fusszeile</t>
  </si>
  <si>
    <t>15.04.2025</t>
  </si>
  <si>
    <t xml:space="preserve">Lieber Dani
Auf der EN-Checkliste hat es noch eine veraltete Fusszeile drauf. Darf ich dich bitten zeitnah die Fusszeile im Excel wie folgt zu ändern und das Dokument wieder hochzuladen:
Energiefachstellenkonferenz Zentralschweiz, Geschäftsstelle
c/o Kanton Luzern, Umwelt und Energie (uwe), Libellenrain 15, 6002 Luzern
www.energie-zentralschweiz.ch
Gruss
Christian
Christian Frank
Sekretär
Energiefachstellenkonferenz Zentralschweiz
c/o Kanton Luzern
Bau-, Umwelt- und Wirtschaftsdepartement
Umwelt und Energie (uwe)
Libellenrain 15
6002 Luzern
Telefon   041 228 3495
Zentrale  041 228 6060
christian.frank@lu.ch
www.energie-zentralschweiz.ch
Anwesend Mo – Do
</t>
  </si>
  <si>
    <t>Korrex Fusszeile, Rücksprache Christian Frank, Hochladen Veranlassen</t>
  </si>
  <si>
    <t>Korrex Prüfung Befreiung Stromerzeugung bei Bauten im Falle von Minergie</t>
  </si>
  <si>
    <t>Änderung EN-Checkliste</t>
  </si>
  <si>
    <t>26.06.2025 11:08</t>
  </si>
  <si>
    <t xml:space="preserve">Hallo Dani
Wir haben eine Änderung zur EN-Checkliste.
Sofern beim Inputparameter Nachweis Wärmedämmung -&gt; Minergie-Zertifikat gewählt wird, entfällt die Pflicht zum Nachweis mit EN-204-LU.
Vielen Dank.
Liebe Grüsse 
Fabio Käppeli
Energie
KANTON LUZERN 
Bau-, Umwelt- und Wirtschaftsdepartement 
Umwelt und Energie (uwe)
Energie
Libellenrain 15
Postfach 3439
6002 Luzern
Telefon	+41 41 228 8733
Zentrale	+41 41 228 6060
fabio.kaeppeli@lu.chuwe.lu.ch
Bitte beachten Sie beim E-Mail-Verkehr mit der kantonalen Verwaltung die Richtlinien im Disclaimer.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</si>
</sst>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00&quot; W/m2K&quot;"/>
    <numFmt numFmtId="165" formatCode="0.0%"/>
    <numFmt numFmtId="166" formatCode="0.00&quot; m2&quot;"/>
    <numFmt numFmtId="167" formatCode="0.00&quot; kW&quot;"/>
    <numFmt numFmtId="168" formatCode="0&quot; GradC&quot;"/>
    <numFmt numFmtId="169" formatCode="[$-807]d/\ mmmm\ yyyy;@"/>
    <numFmt numFmtId="170" formatCode="0&quot; m³/h&quot;"/>
    <numFmt numFmtId="171" formatCode="0&quot; m²&quot;"/>
    <numFmt numFmtId="172" formatCode="0.00&quot; m²&quot;"/>
    <numFmt numFmtId="173" formatCode="0.00&quot; m/s&quot;"/>
    <numFmt numFmtId="174" formatCode="0.00&quot; W/(m³/h)&quot;"/>
    <numFmt numFmtId="175" formatCode="0.00&quot; °C&quot;"/>
    <numFmt numFmtId="176" formatCode="0.00&quot; °C Richtwert gem. Hauptnutzung&quot;"/>
    <numFmt numFmtId="177" formatCode="0.00&quot; % Richtwert gem. Hauptnutzung&quot;"/>
    <numFmt numFmtId="178" formatCode="0.00&quot; m³/(m²h)&quot;"/>
    <numFmt numFmtId="179" formatCode="0.00&quot; kWp&quot;"/>
    <numFmt numFmtId="180" formatCode="&quot;CHF&quot;\ #\'##0.00"/>
    <numFmt numFmtId="181" formatCode="&quot;CHF&quot;\ #,##0.00"/>
  </numFmts>
  <fonts count="75" x14ac:knownFonts="1">
    <font>
      <sz val="12"/>
      <color theme="1"/>
      <name val="Calibri"/>
      <family val="2"/>
      <scheme val="minor"/>
    </font>
    <font>
      <sz val="12"/>
      <color theme="1"/>
      <name val="Calibri"/>
      <family val="2"/>
      <scheme val="minor"/>
    </font>
    <font>
      <b/>
      <sz val="10.5"/>
      <color theme="1"/>
      <name val="Arial"/>
      <family val="2"/>
    </font>
    <font>
      <sz val="10.5"/>
      <color theme="1"/>
      <name val="Arial"/>
      <family val="2"/>
    </font>
    <font>
      <b/>
      <sz val="14"/>
      <color theme="1"/>
      <name val="Arial"/>
      <family val="2"/>
    </font>
    <font>
      <u/>
      <sz val="12"/>
      <color theme="10"/>
      <name val="Calibri"/>
      <family val="2"/>
      <scheme val="minor"/>
    </font>
    <font>
      <u/>
      <sz val="12"/>
      <color theme="11"/>
      <name val="Calibri"/>
      <family val="2"/>
      <scheme val="minor"/>
    </font>
    <font>
      <sz val="8"/>
      <name val="Calibri"/>
      <family val="2"/>
      <scheme val="minor"/>
    </font>
    <font>
      <sz val="8"/>
      <color theme="1"/>
      <name val="Arial"/>
      <family val="2"/>
    </font>
    <font>
      <sz val="10.5"/>
      <color rgb="FF000000"/>
      <name val="Arial"/>
      <family val="2"/>
    </font>
    <font>
      <sz val="10.5"/>
      <name val="Arial"/>
      <family val="2"/>
    </font>
    <font>
      <sz val="14"/>
      <color theme="1"/>
      <name val="Arial"/>
      <family val="2"/>
    </font>
    <font>
      <vertAlign val="subscript"/>
      <sz val="11"/>
      <color theme="1"/>
      <name val="Arial"/>
      <family val="2"/>
    </font>
    <font>
      <sz val="11"/>
      <color theme="1"/>
      <name val="Arial"/>
      <family val="2"/>
    </font>
    <font>
      <sz val="7"/>
      <color theme="1"/>
      <name val="Arial"/>
      <family val="2"/>
    </font>
    <font>
      <sz val="11"/>
      <color theme="9" tint="-0.499984740745262"/>
      <name val="Arial"/>
      <family val="2"/>
    </font>
    <font>
      <sz val="10.5"/>
      <color theme="0"/>
      <name val="Arial"/>
      <family val="2"/>
    </font>
    <font>
      <sz val="11"/>
      <color theme="0"/>
      <name val="Arial"/>
      <family val="2"/>
    </font>
    <font>
      <vertAlign val="superscript"/>
      <sz val="11"/>
      <color theme="1"/>
      <name val="Arial"/>
      <family val="2"/>
    </font>
    <font>
      <i/>
      <sz val="10.5"/>
      <color theme="1"/>
      <name val="Arial"/>
      <family val="2"/>
    </font>
    <font>
      <sz val="10.5"/>
      <color theme="5" tint="-0.249977111117893"/>
      <name val="Arial"/>
      <family val="2"/>
    </font>
    <font>
      <i/>
      <sz val="10.5"/>
      <color theme="5" tint="-0.249977111117893"/>
      <name val="Arial"/>
      <family val="2"/>
    </font>
    <font>
      <i/>
      <sz val="10.5"/>
      <name val="Arial"/>
      <family val="2"/>
    </font>
    <font>
      <sz val="10.5"/>
      <color rgb="FFFF0000"/>
      <name val="Arial"/>
      <family val="2"/>
    </font>
    <font>
      <sz val="10.5"/>
      <color rgb="FFC00000"/>
      <name val="Arial"/>
      <family val="2"/>
    </font>
    <font>
      <b/>
      <sz val="10.5"/>
      <name val="Arial"/>
      <family val="2"/>
    </font>
    <font>
      <sz val="14"/>
      <color rgb="FFFF0000"/>
      <name val="Arial"/>
      <family val="2"/>
    </font>
    <font>
      <b/>
      <sz val="14"/>
      <name val="Arial"/>
      <family val="2"/>
    </font>
    <font>
      <b/>
      <sz val="10.5"/>
      <color theme="0"/>
      <name val="Arial"/>
      <family val="2"/>
    </font>
    <font>
      <sz val="10.5"/>
      <color theme="0" tint="-0.34998626667073579"/>
      <name val="Arial"/>
      <family val="2"/>
    </font>
    <font>
      <sz val="11"/>
      <color theme="0" tint="-0.34998626667073579"/>
      <name val="Arial"/>
      <family val="2"/>
    </font>
    <font>
      <vertAlign val="superscript"/>
      <sz val="10.5"/>
      <name val="Arial"/>
      <family val="2"/>
    </font>
    <font>
      <sz val="10"/>
      <color rgb="FFFF0000"/>
      <name val="Arial"/>
      <family val="2"/>
    </font>
    <font>
      <sz val="12"/>
      <color theme="1"/>
      <name val="Arial"/>
      <family val="2"/>
    </font>
    <font>
      <b/>
      <sz val="12"/>
      <color rgb="FFFF0000"/>
      <name val="Arial"/>
      <family val="2"/>
    </font>
    <font>
      <b/>
      <sz val="12"/>
      <color theme="1"/>
      <name val="Arial"/>
      <family val="2"/>
    </font>
    <font>
      <b/>
      <sz val="11"/>
      <name val="Arial"/>
      <family val="2"/>
    </font>
    <font>
      <b/>
      <sz val="12"/>
      <name val="Arial"/>
      <family val="2"/>
    </font>
    <font>
      <b/>
      <sz val="16"/>
      <color theme="1"/>
      <name val="Arial"/>
      <family val="2"/>
    </font>
    <font>
      <sz val="11"/>
      <name val="Arial"/>
      <family val="2"/>
    </font>
    <font>
      <sz val="11"/>
      <color rgb="FFFF0000"/>
      <name val="Arial"/>
      <family val="2"/>
    </font>
    <font>
      <sz val="10.5"/>
      <color theme="2" tint="-0.499984740745262"/>
      <name val="Arial"/>
      <family val="2"/>
    </font>
    <font>
      <sz val="10.5"/>
      <color theme="1" tint="0.499984740745262"/>
      <name val="Arial"/>
      <family val="2"/>
    </font>
    <font>
      <u/>
      <sz val="10.5"/>
      <color theme="1"/>
      <name val="Arial"/>
      <family val="2"/>
    </font>
    <font>
      <u/>
      <sz val="12"/>
      <color theme="1" tint="0.499984740745262"/>
      <name val="Calibri"/>
      <family val="2"/>
      <scheme val="minor"/>
    </font>
    <font>
      <sz val="10.5"/>
      <color theme="5"/>
      <name val="Arial"/>
      <family val="2"/>
    </font>
    <font>
      <u/>
      <sz val="12"/>
      <name val="Calibri"/>
      <family val="2"/>
      <scheme val="minor"/>
    </font>
    <font>
      <b/>
      <sz val="10.5"/>
      <color theme="1" tint="0.499984740745262"/>
      <name val="Arial"/>
      <family val="2"/>
    </font>
    <font>
      <sz val="9"/>
      <color indexed="81"/>
      <name val="Segoe UI"/>
      <family val="2"/>
    </font>
    <font>
      <b/>
      <sz val="9"/>
      <color indexed="81"/>
      <name val="Segoe UI"/>
      <family val="2"/>
    </font>
    <font>
      <sz val="10.5"/>
      <color theme="0" tint="-0.499984740745262"/>
      <name val="Arial"/>
      <family val="2"/>
    </font>
    <font>
      <sz val="12"/>
      <name val="Calibri"/>
      <family val="2"/>
      <scheme val="minor"/>
    </font>
    <font>
      <b/>
      <sz val="10.5"/>
      <color rgb="FFFF0000"/>
      <name val="Arial"/>
      <family val="2"/>
    </font>
    <font>
      <sz val="14"/>
      <name val="Arial"/>
      <family val="2"/>
    </font>
    <font>
      <u/>
      <sz val="12"/>
      <color theme="2" tint="-0.499984740745262"/>
      <name val="Calibri"/>
      <family val="2"/>
      <scheme val="minor"/>
    </font>
    <font>
      <u/>
      <sz val="12"/>
      <color theme="0"/>
      <name val="Calibri"/>
      <family val="2"/>
      <scheme val="minor"/>
    </font>
    <font>
      <u/>
      <sz val="10.5"/>
      <color theme="10"/>
      <name val="Calibri"/>
      <family val="2"/>
      <scheme val="minor"/>
    </font>
    <font>
      <i/>
      <sz val="10.5"/>
      <color rgb="FF000000"/>
      <name val="Arial"/>
      <family val="2"/>
    </font>
    <font>
      <sz val="9"/>
      <color theme="1"/>
      <name val="Arial"/>
      <family val="2"/>
    </font>
    <font>
      <b/>
      <i/>
      <sz val="10.5"/>
      <color rgb="FFFF0000"/>
      <name val="Arial"/>
      <family val="2"/>
    </font>
    <font>
      <sz val="9"/>
      <color rgb="FFFF0000"/>
      <name val="Arial"/>
      <family val="2"/>
    </font>
    <font>
      <b/>
      <sz val="8"/>
      <color rgb="FFFF0000"/>
      <name val="Arial"/>
      <family val="2"/>
    </font>
    <font>
      <sz val="10.5"/>
      <color theme="2" tint="-0.249977111117893"/>
      <name val="Arial"/>
      <family val="2"/>
    </font>
    <font>
      <sz val="12"/>
      <color theme="2" tint="-0.249977111117893"/>
      <name val="Calibri"/>
      <family val="2"/>
      <scheme val="minor"/>
    </font>
    <font>
      <b/>
      <sz val="10.5"/>
      <color theme="2" tint="-0.499984740745262"/>
      <name val="Arial"/>
      <family val="2"/>
    </font>
    <font>
      <sz val="10"/>
      <color theme="1"/>
      <name val="Tahoma"/>
      <family val="2"/>
    </font>
    <font>
      <b/>
      <sz val="12"/>
      <color theme="1"/>
      <name val="Calibri"/>
      <family val="2"/>
      <scheme val="minor"/>
    </font>
    <font>
      <b/>
      <sz val="12"/>
      <color rgb="FFFF0000"/>
      <name val="Calibri"/>
      <family val="2"/>
      <scheme val="minor"/>
    </font>
    <font>
      <sz val="12"/>
      <color theme="4" tint="0.39997558519241921"/>
      <name val="Calibri"/>
      <family val="2"/>
      <scheme val="minor"/>
    </font>
    <font>
      <u/>
      <sz val="10.5"/>
      <color theme="0" tint="-0.34998626667073579"/>
      <name val="Arial"/>
      <family val="2"/>
    </font>
    <font>
      <sz val="10"/>
      <color theme="0"/>
      <name val="Arial"/>
      <family val="2"/>
    </font>
    <font>
      <i/>
      <sz val="10"/>
      <color theme="1"/>
      <name val="Arial"/>
      <family val="2"/>
    </font>
    <font>
      <sz val="11"/>
      <color theme="1"/>
      <name val="Calibri"/>
      <family val="2"/>
      <scheme val="minor"/>
    </font>
    <font>
      <i/>
      <sz val="10.5"/>
      <color rgb="FFFF0000"/>
      <name val="Arial"/>
      <family val="2"/>
    </font>
    <font>
      <sz val="11"/>
      <color theme="1"/>
      <name val="Aptos"/>
      <family val="2"/>
    </font>
  </fonts>
  <fills count="13">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E1C7CE"/>
        <bgColor indexed="64"/>
      </patternFill>
    </fill>
    <fill>
      <patternFill patternType="solid">
        <fgColor theme="0" tint="-4.9989318521683403E-2"/>
        <bgColor indexed="64"/>
      </patternFill>
    </fill>
    <fill>
      <patternFill patternType="solid">
        <fgColor rgb="FFFFC7CE"/>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9C98"/>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indexed="64"/>
      </bottom>
      <diagonal/>
    </border>
    <border>
      <left/>
      <right/>
      <top/>
      <bottom style="hair">
        <color auto="1"/>
      </bottom>
      <diagonal/>
    </border>
    <border>
      <left style="dotted">
        <color auto="1"/>
      </left>
      <right/>
      <top/>
      <bottom/>
      <diagonal/>
    </border>
    <border>
      <left/>
      <right style="thin">
        <color indexed="64"/>
      </right>
      <top/>
      <bottom/>
      <diagonal/>
    </border>
    <border>
      <left/>
      <right style="thin">
        <color indexed="64"/>
      </right>
      <top/>
      <bottom style="thin">
        <color auto="1"/>
      </bottom>
      <diagonal/>
    </border>
    <border>
      <left style="thin">
        <color indexed="64"/>
      </left>
      <right/>
      <top style="thin">
        <color auto="1"/>
      </top>
      <bottom/>
      <diagonal/>
    </border>
    <border>
      <left/>
      <right style="thin">
        <color indexed="64"/>
      </right>
      <top style="thin">
        <color auto="1"/>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rgb="FFFF0000"/>
      </top>
      <bottom/>
      <diagonal/>
    </border>
    <border>
      <left/>
      <right/>
      <top/>
      <bottom style="medium">
        <color rgb="FFFF0000"/>
      </bottom>
      <diagonal/>
    </border>
    <border>
      <left/>
      <right/>
      <top style="medium">
        <color indexed="64"/>
      </top>
      <bottom/>
      <diagonal/>
    </border>
    <border>
      <left/>
      <right/>
      <top/>
      <bottom style="medium">
        <color indexed="64"/>
      </bottom>
      <diagonal/>
    </border>
  </borders>
  <cellStyleXfs count="5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443">
    <xf numFmtId="0" fontId="0" fillId="0" borderId="0" xfId="0"/>
    <xf numFmtId="0" fontId="3" fillId="0" borderId="0" xfId="0" applyFont="1"/>
    <xf numFmtId="0" fontId="2" fillId="0" borderId="0" xfId="0" applyFont="1" applyAlignment="1">
      <alignment horizontal="left"/>
    </xf>
    <xf numFmtId="0" fontId="3" fillId="0" borderId="0" xfId="0" applyFont="1" applyAlignment="1">
      <alignment horizontal="left"/>
    </xf>
    <xf numFmtId="0" fontId="3" fillId="0" borderId="0" xfId="0" applyFont="1" applyAlignment="1">
      <alignment horizontal="left" indent="2"/>
    </xf>
    <xf numFmtId="0" fontId="3" fillId="0" borderId="0" xfId="0" applyFont="1" applyAlignment="1">
      <alignment horizontal="left" indent="3"/>
    </xf>
    <xf numFmtId="0" fontId="4" fillId="0" borderId="0" xfId="0" applyFont="1" applyAlignment="1">
      <alignment horizontal="left"/>
    </xf>
    <xf numFmtId="0" fontId="3" fillId="0" borderId="0" xfId="0" applyFont="1" applyAlignment="1">
      <alignment horizontal="left" textRotation="90"/>
    </xf>
    <xf numFmtId="0" fontId="3" fillId="0" borderId="0" xfId="0" applyFont="1" applyAlignment="1">
      <alignment horizontal="left" textRotation="90" wrapText="1"/>
    </xf>
    <xf numFmtId="0" fontId="3" fillId="0" borderId="2" xfId="0" applyFont="1" applyBorder="1" applyAlignment="1">
      <alignment horizontal="left"/>
    </xf>
    <xf numFmtId="0" fontId="3" fillId="2" borderId="0" xfId="0" applyFont="1" applyFill="1" applyAlignment="1">
      <alignment horizontal="right"/>
    </xf>
    <xf numFmtId="0" fontId="3" fillId="0" borderId="0" xfId="0" applyFont="1" applyAlignment="1">
      <alignment horizontal="right"/>
    </xf>
    <xf numFmtId="0" fontId="3" fillId="0" borderId="1" xfId="0" applyFont="1" applyBorder="1" applyAlignment="1">
      <alignment horizontal="center" vertical="center"/>
    </xf>
    <xf numFmtId="0" fontId="3" fillId="3" borderId="0" xfId="0" applyFont="1" applyFill="1" applyAlignment="1">
      <alignment horizontal="left"/>
    </xf>
    <xf numFmtId="0" fontId="3" fillId="0" borderId="0" xfId="0" applyFont="1" applyAlignment="1">
      <alignment horizontal="center" vertical="center"/>
    </xf>
    <xf numFmtId="0" fontId="9" fillId="0" borderId="0" xfId="0" applyFont="1" applyAlignment="1">
      <alignment horizontal="left"/>
    </xf>
    <xf numFmtId="0" fontId="3" fillId="2" borderId="0" xfId="0" applyFont="1" applyFill="1" applyAlignment="1">
      <alignment horizontal="left"/>
    </xf>
    <xf numFmtId="165" fontId="3" fillId="2" borderId="0" xfId="5" applyNumberFormat="1" applyFont="1" applyFill="1" applyAlignment="1">
      <alignment horizontal="right"/>
    </xf>
    <xf numFmtId="0" fontId="3" fillId="2" borderId="0" xfId="0" applyFont="1" applyFill="1" applyAlignment="1">
      <alignment horizontal="left" textRotation="90"/>
    </xf>
    <xf numFmtId="0" fontId="3" fillId="2" borderId="0" xfId="0" applyFont="1" applyFill="1" applyAlignment="1">
      <alignment horizontal="left" textRotation="90" wrapText="1"/>
    </xf>
    <xf numFmtId="164" fontId="3" fillId="2" borderId="0" xfId="0" applyNumberFormat="1" applyFont="1" applyFill="1" applyAlignment="1">
      <alignment horizontal="right"/>
    </xf>
    <xf numFmtId="166" fontId="3" fillId="2" borderId="0" xfId="0" applyNumberFormat="1" applyFont="1" applyFill="1" applyAlignment="1">
      <alignment horizontal="right"/>
    </xf>
    <xf numFmtId="0" fontId="11" fillId="0" borderId="0" xfId="0" applyFont="1" applyAlignment="1">
      <alignment horizontal="left"/>
    </xf>
    <xf numFmtId="0" fontId="11" fillId="0" borderId="0" xfId="0" applyFont="1"/>
    <xf numFmtId="166" fontId="3" fillId="3" borderId="2" xfId="0" applyNumberFormat="1" applyFont="1" applyFill="1" applyBorder="1" applyProtection="1">
      <protection locked="0"/>
    </xf>
    <xf numFmtId="0" fontId="3" fillId="0" borderId="2" xfId="0" applyFont="1" applyBorder="1" applyAlignment="1" applyProtection="1">
      <alignment horizontal="left"/>
      <protection locked="0"/>
    </xf>
    <xf numFmtId="0" fontId="3" fillId="0" borderId="0" xfId="0" applyFont="1" applyAlignment="1" applyProtection="1">
      <alignment horizontal="left"/>
      <protection locked="0"/>
    </xf>
    <xf numFmtId="0" fontId="3" fillId="0" borderId="0" xfId="0" applyFont="1" applyAlignment="1" applyProtection="1">
      <alignment horizontal="center" vertical="center"/>
      <protection locked="0"/>
    </xf>
    <xf numFmtId="0" fontId="13" fillId="0" borderId="0" xfId="0" applyFont="1"/>
    <xf numFmtId="167" fontId="3" fillId="2" borderId="0" xfId="0" applyNumberFormat="1" applyFont="1" applyFill="1" applyAlignment="1">
      <alignment horizontal="right"/>
    </xf>
    <xf numFmtId="0" fontId="3" fillId="3" borderId="1" xfId="0" applyFont="1" applyFill="1" applyBorder="1" applyAlignment="1" applyProtection="1">
      <alignment horizontal="center" vertical="center"/>
      <protection locked="0"/>
    </xf>
    <xf numFmtId="0" fontId="3" fillId="0" borderId="0" xfId="0" applyFont="1" applyAlignment="1">
      <alignment horizontal="center"/>
    </xf>
    <xf numFmtId="168" fontId="3" fillId="2" borderId="0" xfId="0" applyNumberFormat="1" applyFont="1" applyFill="1" applyAlignment="1">
      <alignment horizontal="right"/>
    </xf>
    <xf numFmtId="0" fontId="11" fillId="0" borderId="0" xfId="0" applyFont="1" applyAlignment="1">
      <alignment horizontal="center"/>
    </xf>
    <xf numFmtId="0" fontId="16" fillId="0" borderId="0" xfId="0" applyFont="1" applyAlignment="1">
      <alignment horizontal="left"/>
    </xf>
    <xf numFmtId="0" fontId="16" fillId="0" borderId="0" xfId="0" applyFont="1" applyAlignment="1">
      <alignment horizontal="left" indent="2"/>
    </xf>
    <xf numFmtId="0" fontId="17" fillId="0" borderId="0" xfId="0" applyFont="1" applyAlignment="1">
      <alignment horizontal="center"/>
    </xf>
    <xf numFmtId="0" fontId="3" fillId="3" borderId="0" xfId="0" applyFont="1" applyFill="1" applyAlignment="1" applyProtection="1">
      <alignment horizontal="left"/>
      <protection locked="0"/>
    </xf>
    <xf numFmtId="0" fontId="10" fillId="0" borderId="0" xfId="0" applyFont="1" applyAlignment="1">
      <alignment horizontal="left"/>
    </xf>
    <xf numFmtId="0" fontId="17" fillId="0" borderId="0" xfId="0" applyFont="1" applyAlignment="1">
      <alignment horizontal="left"/>
    </xf>
    <xf numFmtId="169" fontId="3" fillId="0" borderId="0" xfId="0" applyNumberFormat="1" applyFont="1" applyAlignment="1" applyProtection="1">
      <alignment horizontal="left"/>
      <protection locked="0"/>
    </xf>
    <xf numFmtId="0" fontId="16" fillId="0" borderId="0" xfId="0" applyFont="1" applyAlignment="1">
      <alignment horizontal="left" textRotation="90"/>
    </xf>
    <xf numFmtId="0" fontId="3" fillId="3" borderId="0" xfId="0" applyFont="1" applyFill="1" applyAlignment="1" applyProtection="1">
      <alignment horizontal="center" vertical="center"/>
      <protection locked="0"/>
    </xf>
    <xf numFmtId="0" fontId="10" fillId="0" borderId="0" xfId="0" applyFont="1" applyAlignment="1">
      <alignment horizontal="left" textRotation="90"/>
    </xf>
    <xf numFmtId="0" fontId="20" fillId="0" borderId="0" xfId="0" applyFont="1" applyAlignment="1">
      <alignment horizontal="left"/>
    </xf>
    <xf numFmtId="0" fontId="20" fillId="0" borderId="2" xfId="0" applyFont="1" applyBorder="1" applyAlignment="1" applyProtection="1">
      <alignment horizontal="left"/>
      <protection locked="0"/>
    </xf>
    <xf numFmtId="0" fontId="19" fillId="0" borderId="0" xfId="0" applyFont="1" applyAlignment="1">
      <alignment horizontal="left"/>
    </xf>
    <xf numFmtId="14" fontId="3" fillId="0" borderId="0" xfId="0" applyNumberFormat="1" applyFont="1" applyAlignment="1">
      <alignment horizontal="left"/>
    </xf>
    <xf numFmtId="0" fontId="24" fillId="0" borderId="0" xfId="0" applyFont="1" applyAlignment="1">
      <alignment horizontal="left"/>
    </xf>
    <xf numFmtId="0" fontId="24" fillId="0" borderId="2" xfId="0" applyFont="1" applyBorder="1" applyAlignment="1" applyProtection="1">
      <alignment horizontal="left"/>
      <protection locked="0"/>
    </xf>
    <xf numFmtId="0" fontId="23" fillId="0" borderId="2" xfId="0" applyFont="1" applyBorder="1" applyAlignment="1" applyProtection="1">
      <alignment horizontal="left"/>
      <protection locked="0"/>
    </xf>
    <xf numFmtId="0" fontId="23" fillId="0" borderId="0" xfId="0" applyFont="1" applyAlignment="1">
      <alignment horizontal="left"/>
    </xf>
    <xf numFmtId="166" fontId="3" fillId="0" borderId="0" xfId="0" applyNumberFormat="1" applyFont="1" applyAlignment="1" applyProtection="1">
      <alignment vertical="top" wrapText="1"/>
      <protection locked="0"/>
    </xf>
    <xf numFmtId="0" fontId="2" fillId="5" borderId="0" xfId="0" applyFont="1" applyFill="1" applyAlignment="1">
      <alignment horizontal="left"/>
    </xf>
    <xf numFmtId="0" fontId="3" fillId="5" borderId="0" xfId="0" applyFont="1" applyFill="1" applyAlignment="1">
      <alignment horizontal="left"/>
    </xf>
    <xf numFmtId="0" fontId="3" fillId="5" borderId="0" xfId="0" applyFont="1" applyFill="1" applyAlignment="1" applyProtection="1">
      <alignment horizontal="center" vertical="center"/>
      <protection locked="0"/>
    </xf>
    <xf numFmtId="0" fontId="3" fillId="5" borderId="0" xfId="0" applyFont="1" applyFill="1" applyAlignment="1">
      <alignment horizontal="center" vertical="center"/>
    </xf>
    <xf numFmtId="0" fontId="3" fillId="5" borderId="0" xfId="0" applyFont="1" applyFill="1" applyAlignment="1">
      <alignment horizontal="left" textRotation="90"/>
    </xf>
    <xf numFmtId="0" fontId="3" fillId="5" borderId="0" xfId="0" applyFont="1" applyFill="1" applyAlignment="1">
      <alignment horizontal="center"/>
    </xf>
    <xf numFmtId="0" fontId="22" fillId="5" borderId="0" xfId="0" applyFont="1" applyFill="1" applyProtection="1">
      <protection locked="0"/>
    </xf>
    <xf numFmtId="0" fontId="19" fillId="5" borderId="0" xfId="0" applyFont="1" applyFill="1" applyProtection="1">
      <protection locked="0"/>
    </xf>
    <xf numFmtId="0" fontId="23" fillId="0" borderId="0" xfId="0" applyFont="1" applyAlignment="1">
      <alignment horizontal="left" indent="2"/>
    </xf>
    <xf numFmtId="0" fontId="16" fillId="5" borderId="0" xfId="0" applyFont="1" applyFill="1" applyAlignment="1">
      <alignment horizontal="left"/>
    </xf>
    <xf numFmtId="0" fontId="27" fillId="0" borderId="0" xfId="0" applyFont="1" applyAlignment="1">
      <alignment horizontal="left"/>
    </xf>
    <xf numFmtId="0" fontId="3" fillId="5" borderId="0" xfId="0" applyFont="1" applyFill="1"/>
    <xf numFmtId="0" fontId="3" fillId="0" borderId="2"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164" fontId="3" fillId="0" borderId="0" xfId="0" applyNumberFormat="1" applyFont="1" applyAlignment="1">
      <alignment horizontal="right"/>
    </xf>
    <xf numFmtId="0" fontId="15" fillId="4" borderId="0" xfId="0" applyFont="1" applyFill="1" applyAlignment="1">
      <alignment horizontal="left"/>
    </xf>
    <xf numFmtId="0" fontId="2" fillId="0" borderId="0" xfId="0" applyFont="1" applyAlignment="1" applyProtection="1">
      <alignment horizontal="center"/>
      <protection locked="0"/>
    </xf>
    <xf numFmtId="0" fontId="2" fillId="5" borderId="0" xfId="0" applyFont="1" applyFill="1" applyAlignment="1">
      <alignment horizontal="center"/>
    </xf>
    <xf numFmtId="0" fontId="2" fillId="0" borderId="0" xfId="0" applyFont="1" applyAlignment="1">
      <alignment horizontal="center" vertical="top" wrapText="1"/>
    </xf>
    <xf numFmtId="166" fontId="2" fillId="5" borderId="0" xfId="0" applyNumberFormat="1" applyFont="1" applyFill="1" applyAlignment="1" applyProtection="1">
      <alignment horizontal="center" vertical="top" wrapText="1"/>
      <protection locked="0"/>
    </xf>
    <xf numFmtId="0" fontId="3" fillId="0" borderId="0" xfId="0" applyFont="1" applyAlignment="1">
      <alignment horizontal="left" vertical="top"/>
    </xf>
    <xf numFmtId="0" fontId="3" fillId="0" borderId="4" xfId="0" applyFont="1" applyBorder="1" applyAlignment="1" applyProtection="1">
      <alignment horizontal="center" vertical="center"/>
      <protection locked="0"/>
    </xf>
    <xf numFmtId="0" fontId="3" fillId="0" borderId="4" xfId="0" applyFont="1" applyBorder="1" applyAlignment="1">
      <alignment horizontal="center" vertical="center"/>
    </xf>
    <xf numFmtId="0" fontId="23" fillId="0" borderId="0" xfId="0" applyFont="1" applyAlignment="1">
      <alignment vertical="top" wrapText="1"/>
    </xf>
    <xf numFmtId="0" fontId="23" fillId="0" borderId="0" xfId="0" applyFont="1" applyAlignment="1">
      <alignment horizontal="left" vertical="top" wrapText="1"/>
    </xf>
    <xf numFmtId="0" fontId="3" fillId="3" borderId="2" xfId="0" applyFont="1" applyFill="1" applyBorder="1" applyAlignment="1" applyProtection="1">
      <alignment horizontal="left"/>
      <protection locked="0"/>
    </xf>
    <xf numFmtId="0" fontId="10" fillId="0" borderId="0" xfId="0" applyFont="1" applyAlignment="1">
      <alignment vertical="top"/>
    </xf>
    <xf numFmtId="0" fontId="3" fillId="0" borderId="0" xfId="0" applyFont="1" applyAlignment="1">
      <alignment horizontal="left" vertical="center"/>
    </xf>
    <xf numFmtId="0" fontId="21" fillId="5" borderId="0" xfId="0" applyFont="1" applyFill="1" applyAlignment="1" applyProtection="1">
      <alignment horizontal="center"/>
      <protection locked="0"/>
    </xf>
    <xf numFmtId="0" fontId="3" fillId="5" borderId="0" xfId="0" applyFont="1" applyFill="1" applyAlignment="1" applyProtection="1">
      <alignment horizontal="left"/>
      <protection locked="0"/>
    </xf>
    <xf numFmtId="0" fontId="3" fillId="5" borderId="0" xfId="0" applyFont="1" applyFill="1" applyAlignment="1" applyProtection="1">
      <alignment horizontal="center"/>
      <protection locked="0"/>
    </xf>
    <xf numFmtId="0" fontId="3" fillId="0" borderId="0" xfId="0" applyFont="1" applyAlignment="1">
      <alignment horizontal="left" vertical="center" textRotation="90"/>
    </xf>
    <xf numFmtId="0" fontId="3" fillId="0" borderId="0" xfId="0" applyFont="1" applyAlignment="1">
      <alignment horizontal="left" vertical="center" textRotation="90" wrapText="1"/>
    </xf>
    <xf numFmtId="0" fontId="15" fillId="0" borderId="0" xfId="0" applyFont="1" applyAlignment="1">
      <alignment horizontal="left"/>
    </xf>
    <xf numFmtId="0" fontId="25" fillId="0" borderId="0" xfId="0" applyFont="1" applyAlignment="1">
      <alignment horizontal="left"/>
    </xf>
    <xf numFmtId="0" fontId="15" fillId="5" borderId="0" xfId="0" applyFont="1" applyFill="1" applyAlignment="1">
      <alignment horizontal="left"/>
    </xf>
    <xf numFmtId="0" fontId="2" fillId="0" borderId="0" xfId="0" applyFont="1" applyAlignment="1">
      <alignment horizontal="left" textRotation="90"/>
    </xf>
    <xf numFmtId="0" fontId="25" fillId="0" borderId="0" xfId="0" applyFont="1" applyAlignment="1">
      <alignment horizontal="center"/>
    </xf>
    <xf numFmtId="0" fontId="16" fillId="0" borderId="0" xfId="0" applyFont="1" applyAlignment="1">
      <alignment horizontal="center" vertical="center"/>
    </xf>
    <xf numFmtId="0" fontId="23" fillId="0" borderId="0" xfId="0" applyFont="1" applyAlignment="1" applyProtection="1">
      <alignment horizontal="left"/>
      <protection locked="0"/>
    </xf>
    <xf numFmtId="0" fontId="10" fillId="0" borderId="0" xfId="0" applyFont="1"/>
    <xf numFmtId="0" fontId="10" fillId="0" borderId="0" xfId="0" applyFont="1" applyAlignment="1">
      <alignment vertical="center"/>
    </xf>
    <xf numFmtId="49" fontId="3" fillId="0" borderId="0" xfId="0" applyNumberFormat="1" applyFont="1" applyAlignment="1">
      <alignment horizontal="left"/>
    </xf>
    <xf numFmtId="2" fontId="3" fillId="2" borderId="0" xfId="0" applyNumberFormat="1" applyFont="1" applyFill="1" applyAlignment="1">
      <alignment horizontal="left"/>
    </xf>
    <xf numFmtId="0" fontId="3" fillId="2" borderId="0" xfId="0" applyFont="1" applyFill="1"/>
    <xf numFmtId="0" fontId="3" fillId="5" borderId="0" xfId="0" applyFont="1" applyFill="1" applyAlignment="1">
      <alignment horizontal="right"/>
    </xf>
    <xf numFmtId="0" fontId="10" fillId="3" borderId="2" xfId="0" applyFont="1" applyFill="1" applyBorder="1" applyAlignment="1" applyProtection="1">
      <alignment vertical="center"/>
      <protection locked="0"/>
    </xf>
    <xf numFmtId="0" fontId="10" fillId="5" borderId="0" xfId="0" applyFont="1" applyFill="1" applyAlignment="1" applyProtection="1">
      <alignment vertical="center"/>
      <protection locked="0"/>
    </xf>
    <xf numFmtId="0" fontId="3" fillId="5" borderId="1" xfId="0" applyFont="1" applyFill="1" applyBorder="1" applyAlignment="1">
      <alignment horizontal="center" vertical="center"/>
    </xf>
    <xf numFmtId="0" fontId="10" fillId="0" borderId="2" xfId="0" applyFont="1" applyBorder="1" applyAlignment="1" applyProtection="1">
      <alignment horizontal="left"/>
      <protection locked="0"/>
    </xf>
    <xf numFmtId="166" fontId="3" fillId="5" borderId="0" xfId="0" applyNumberFormat="1" applyFont="1" applyFill="1" applyAlignment="1">
      <alignment vertical="top" wrapText="1"/>
    </xf>
    <xf numFmtId="169" fontId="3" fillId="0" borderId="0" xfId="0" applyNumberFormat="1" applyFont="1" applyAlignment="1">
      <alignment horizontal="center"/>
    </xf>
    <xf numFmtId="166" fontId="3" fillId="0" borderId="0" xfId="0" applyNumberFormat="1" applyFont="1" applyAlignment="1">
      <alignment vertical="top" wrapText="1"/>
    </xf>
    <xf numFmtId="166" fontId="2" fillId="5" borderId="0" xfId="0" applyNumberFormat="1" applyFont="1" applyFill="1" applyAlignment="1">
      <alignment horizontal="center" vertical="top" wrapText="1"/>
    </xf>
    <xf numFmtId="166" fontId="3" fillId="0" borderId="2" xfId="0" applyNumberFormat="1" applyFont="1" applyBorder="1" applyAlignment="1">
      <alignment vertical="top" wrapText="1"/>
    </xf>
    <xf numFmtId="169" fontId="3" fillId="0" borderId="2" xfId="0" applyNumberFormat="1" applyFont="1" applyBorder="1" applyAlignment="1">
      <alignment horizontal="center"/>
    </xf>
    <xf numFmtId="0" fontId="3" fillId="0" borderId="0" xfId="0" applyFont="1" applyAlignment="1">
      <alignment vertical="top"/>
    </xf>
    <xf numFmtId="0" fontId="20" fillId="0" borderId="2" xfId="0" applyFont="1" applyBorder="1" applyAlignment="1">
      <alignment horizontal="left"/>
    </xf>
    <xf numFmtId="0" fontId="24" fillId="0" borderId="0" xfId="0" applyFont="1" applyAlignment="1" applyProtection="1">
      <alignment horizontal="left"/>
      <protection locked="0"/>
    </xf>
    <xf numFmtId="14" fontId="3" fillId="0" borderId="0" xfId="0" applyNumberFormat="1" applyFont="1" applyAlignment="1" applyProtection="1">
      <alignment horizontal="left"/>
      <protection locked="0"/>
    </xf>
    <xf numFmtId="0" fontId="10" fillId="0" borderId="0" xfId="0" applyFont="1" applyAlignment="1">
      <alignment horizontal="center" vertical="center"/>
    </xf>
    <xf numFmtId="0" fontId="3" fillId="0" borderId="0" xfId="0" applyFont="1" applyAlignment="1" applyProtection="1">
      <alignment horizontal="left" textRotation="90"/>
      <protection locked="0"/>
    </xf>
    <xf numFmtId="0" fontId="5" fillId="0" borderId="0" xfId="58" applyAlignment="1">
      <alignment horizontal="left"/>
    </xf>
    <xf numFmtId="0" fontId="5" fillId="0" borderId="0" xfId="58" applyAlignment="1">
      <alignment horizontal="right"/>
    </xf>
    <xf numFmtId="0" fontId="5" fillId="0" borderId="0" xfId="58" applyFill="1" applyAlignment="1">
      <alignment horizontal="right"/>
    </xf>
    <xf numFmtId="0" fontId="5" fillId="0" borderId="0" xfId="58" applyBorder="1" applyAlignment="1">
      <alignment horizontal="right"/>
    </xf>
    <xf numFmtId="2" fontId="3" fillId="0" borderId="0" xfId="0" applyNumberFormat="1" applyFont="1"/>
    <xf numFmtId="0" fontId="19" fillId="0" borderId="0" xfId="0" applyFont="1"/>
    <xf numFmtId="0" fontId="19" fillId="0" borderId="0" xfId="0" applyFont="1" applyAlignment="1">
      <alignment vertical="top" wrapText="1"/>
    </xf>
    <xf numFmtId="0" fontId="2" fillId="0" borderId="0" xfId="0" applyFont="1" applyAlignment="1">
      <alignment horizontal="left" vertical="center"/>
    </xf>
    <xf numFmtId="0" fontId="2" fillId="0" borderId="0" xfId="0" applyFont="1" applyAlignment="1">
      <alignment vertical="center"/>
    </xf>
    <xf numFmtId="0" fontId="2" fillId="0" borderId="2" xfId="0" applyFont="1" applyBorder="1" applyAlignment="1">
      <alignment horizontal="left"/>
    </xf>
    <xf numFmtId="0" fontId="3" fillId="0" borderId="2" xfId="0" applyFont="1" applyBorder="1" applyAlignment="1">
      <alignment horizontal="left" textRotation="90"/>
    </xf>
    <xf numFmtId="0" fontId="2" fillId="0" borderId="2" xfId="0" applyFont="1" applyBorder="1" applyAlignment="1">
      <alignment horizontal="left" vertical="center"/>
    </xf>
    <xf numFmtId="0" fontId="3" fillId="0" borderId="0" xfId="0" applyFont="1" applyAlignment="1">
      <alignment vertical="center"/>
    </xf>
    <xf numFmtId="0" fontId="33" fillId="0" borderId="0" xfId="0" applyFont="1" applyAlignment="1" applyProtection="1">
      <alignment horizontal="center"/>
      <protection locked="0"/>
    </xf>
    <xf numFmtId="0" fontId="33" fillId="0" borderId="0" xfId="0" applyFont="1" applyAlignment="1">
      <alignment horizontal="center"/>
    </xf>
    <xf numFmtId="0" fontId="34" fillId="0" borderId="0" xfId="0" applyFont="1" applyAlignment="1">
      <alignment horizontal="center"/>
    </xf>
    <xf numFmtId="0" fontId="34" fillId="0" borderId="0" xfId="0" applyFont="1" applyAlignment="1" applyProtection="1">
      <alignment horizontal="center"/>
      <protection locked="0"/>
    </xf>
    <xf numFmtId="0" fontId="35" fillId="0" borderId="0" xfId="0" applyFont="1" applyAlignment="1" applyProtection="1">
      <alignment horizontal="center"/>
      <protection locked="0"/>
    </xf>
    <xf numFmtId="0" fontId="3" fillId="0" borderId="0" xfId="0" applyFont="1" applyAlignment="1">
      <alignment vertical="top" wrapText="1"/>
    </xf>
    <xf numFmtId="0" fontId="37" fillId="0" borderId="0" xfId="0" applyFont="1" applyAlignment="1">
      <alignment vertical="center"/>
    </xf>
    <xf numFmtId="0" fontId="3" fillId="0" borderId="0" xfId="0" applyFont="1" applyAlignment="1">
      <alignment horizontal="left" vertical="center" wrapText="1"/>
    </xf>
    <xf numFmtId="0" fontId="2" fillId="0" borderId="0" xfId="0" applyFont="1" applyAlignment="1" applyProtection="1">
      <alignment vertical="center"/>
      <protection locked="0"/>
    </xf>
    <xf numFmtId="0" fontId="3" fillId="0" borderId="3" xfId="0" applyFont="1" applyBorder="1" applyAlignment="1">
      <alignment horizontal="left"/>
    </xf>
    <xf numFmtId="0" fontId="10" fillId="0" borderId="0" xfId="0" applyFont="1" applyAlignment="1">
      <alignment horizontal="left" vertical="center"/>
    </xf>
    <xf numFmtId="0" fontId="25" fillId="0" borderId="0" xfId="0" applyFont="1" applyAlignment="1">
      <alignment horizontal="left" vertical="center"/>
    </xf>
    <xf numFmtId="0" fontId="19" fillId="0" borderId="0" xfId="0" applyFont="1" applyAlignment="1">
      <alignment vertical="center"/>
    </xf>
    <xf numFmtId="0" fontId="3" fillId="0" borderId="5" xfId="0" applyFont="1" applyBorder="1" applyAlignment="1" applyProtection="1">
      <alignment horizontal="center" vertical="center"/>
      <protection locked="0"/>
    </xf>
    <xf numFmtId="0" fontId="3" fillId="0" borderId="5" xfId="0" applyFont="1" applyBorder="1" applyAlignment="1">
      <alignment horizontal="left"/>
    </xf>
    <xf numFmtId="0" fontId="3" fillId="0" borderId="5" xfId="0" applyFont="1" applyBorder="1" applyAlignment="1">
      <alignment horizontal="center" vertical="center"/>
    </xf>
    <xf numFmtId="0" fontId="38" fillId="0" borderId="0" xfId="0" applyFont="1" applyAlignment="1">
      <alignment horizontal="left"/>
    </xf>
    <xf numFmtId="0" fontId="2" fillId="0" borderId="3" xfId="0" applyFont="1" applyBorder="1" applyAlignment="1">
      <alignment horizontal="left"/>
    </xf>
    <xf numFmtId="0" fontId="2" fillId="0" borderId="3" xfId="0" applyFont="1" applyBorder="1" applyAlignment="1">
      <alignment horizontal="left" vertical="center"/>
    </xf>
    <xf numFmtId="0" fontId="5" fillId="0" borderId="0" xfId="58" applyFill="1" applyAlignment="1">
      <alignment horizontal="left"/>
    </xf>
    <xf numFmtId="0" fontId="3" fillId="0" borderId="0" xfId="0" applyFont="1" applyProtection="1">
      <protection locked="0"/>
    </xf>
    <xf numFmtId="0" fontId="2" fillId="0" borderId="0" xfId="0" applyFont="1" applyAlignment="1" applyProtection="1">
      <alignment horizontal="left"/>
      <protection locked="0"/>
    </xf>
    <xf numFmtId="0" fontId="23" fillId="0" borderId="0" xfId="0" applyFont="1" applyProtection="1">
      <protection locked="0"/>
    </xf>
    <xf numFmtId="171" fontId="3" fillId="0" borderId="0" xfId="0" applyNumberFormat="1" applyFont="1" applyAlignment="1" applyProtection="1">
      <alignment horizontal="left"/>
      <protection locked="0"/>
    </xf>
    <xf numFmtId="0" fontId="23" fillId="0" borderId="0" xfId="0" applyFont="1" applyAlignment="1">
      <alignment horizontal="left" textRotation="90"/>
    </xf>
    <xf numFmtId="0" fontId="41" fillId="0" borderId="0" xfId="0" applyFont="1" applyAlignment="1" applyProtection="1">
      <alignment horizontal="left"/>
      <protection locked="0"/>
    </xf>
    <xf numFmtId="0" fontId="41" fillId="0" borderId="2" xfId="0" applyFont="1" applyBorder="1" applyAlignment="1" applyProtection="1">
      <alignment horizontal="left"/>
      <protection locked="0"/>
    </xf>
    <xf numFmtId="0" fontId="5" fillId="0" borderId="2" xfId="58" applyBorder="1" applyAlignment="1" applyProtection="1">
      <alignment horizontal="left"/>
      <protection locked="0"/>
    </xf>
    <xf numFmtId="0" fontId="3" fillId="0" borderId="2" xfId="0" applyFont="1" applyBorder="1" applyProtection="1">
      <protection locked="0"/>
    </xf>
    <xf numFmtId="0" fontId="42" fillId="0" borderId="0" xfId="0" applyFont="1" applyProtection="1">
      <protection locked="0"/>
    </xf>
    <xf numFmtId="0" fontId="3" fillId="5" borderId="0" xfId="0" applyFont="1" applyFill="1" applyProtection="1">
      <protection locked="0"/>
    </xf>
    <xf numFmtId="0" fontId="42" fillId="5" borderId="0" xfId="0" applyFont="1" applyFill="1" applyProtection="1">
      <protection locked="0"/>
    </xf>
    <xf numFmtId="0" fontId="10" fillId="0" borderId="0" xfId="0" applyFont="1" applyProtection="1">
      <protection locked="0"/>
    </xf>
    <xf numFmtId="0" fontId="10" fillId="5" borderId="0" xfId="0" applyFont="1" applyFill="1" applyProtection="1">
      <protection locked="0"/>
    </xf>
    <xf numFmtId="0" fontId="42" fillId="0" borderId="0" xfId="0" applyFont="1" applyAlignment="1" applyProtection="1">
      <alignment vertical="top"/>
      <protection locked="0"/>
    </xf>
    <xf numFmtId="0" fontId="45" fillId="0" borderId="2" xfId="0" applyFont="1" applyBorder="1" applyAlignment="1" applyProtection="1">
      <alignment horizontal="left"/>
      <protection locked="0"/>
    </xf>
    <xf numFmtId="0" fontId="42" fillId="2" borderId="0" xfId="0" applyFont="1" applyFill="1" applyProtection="1">
      <protection locked="0"/>
    </xf>
    <xf numFmtId="0" fontId="42" fillId="2" borderId="0" xfId="0" applyFont="1" applyFill="1" applyAlignment="1" applyProtection="1">
      <alignment horizontal="left"/>
      <protection locked="0"/>
    </xf>
    <xf numFmtId="0" fontId="3" fillId="3" borderId="2" xfId="0" applyFont="1" applyFill="1" applyBorder="1" applyProtection="1">
      <protection locked="0"/>
    </xf>
    <xf numFmtId="170" fontId="3" fillId="3" borderId="2" xfId="0" applyNumberFormat="1" applyFont="1" applyFill="1" applyBorder="1" applyAlignment="1" applyProtection="1">
      <alignment horizontal="left"/>
      <protection locked="0"/>
    </xf>
    <xf numFmtId="171" fontId="3" fillId="3" borderId="2" xfId="0" applyNumberFormat="1" applyFont="1" applyFill="1" applyBorder="1" applyAlignment="1" applyProtection="1">
      <alignment horizontal="left"/>
      <protection locked="0"/>
    </xf>
    <xf numFmtId="0" fontId="44" fillId="0" borderId="0" xfId="58" applyFont="1" applyFill="1" applyBorder="1" applyAlignment="1" applyProtection="1">
      <alignment horizontal="right"/>
      <protection locked="0"/>
    </xf>
    <xf numFmtId="0" fontId="44" fillId="0" borderId="0" xfId="58" applyFont="1" applyFill="1" applyAlignment="1" applyProtection="1">
      <alignment horizontal="right" vertical="center"/>
      <protection locked="0"/>
    </xf>
    <xf numFmtId="0" fontId="44" fillId="0" borderId="0" xfId="58" applyFont="1" applyFill="1" applyAlignment="1" applyProtection="1">
      <alignment horizontal="right" vertical="top"/>
      <protection locked="0"/>
    </xf>
    <xf numFmtId="171" fontId="3" fillId="0" borderId="0" xfId="0" applyNumberFormat="1" applyFont="1" applyAlignment="1" applyProtection="1">
      <alignment horizontal="left" vertical="center"/>
      <protection locked="0"/>
    </xf>
    <xf numFmtId="0" fontId="5" fillId="0" borderId="0" xfId="58" applyFill="1" applyBorder="1" applyAlignment="1" applyProtection="1">
      <protection locked="0"/>
    </xf>
    <xf numFmtId="171" fontId="44" fillId="0" borderId="0" xfId="58" applyNumberFormat="1" applyFont="1" applyFill="1" applyBorder="1" applyAlignment="1" applyProtection="1">
      <alignment horizontal="left"/>
      <protection locked="0"/>
    </xf>
    <xf numFmtId="172" fontId="10" fillId="0" borderId="0" xfId="0" applyNumberFormat="1" applyFont="1" applyAlignment="1" applyProtection="1">
      <alignment horizontal="left"/>
      <protection locked="0"/>
    </xf>
    <xf numFmtId="0" fontId="23" fillId="0" borderId="0" xfId="0" applyFont="1" applyAlignment="1">
      <alignment vertical="center"/>
    </xf>
    <xf numFmtId="0" fontId="52" fillId="0" borderId="0" xfId="0" applyFont="1" applyAlignment="1">
      <alignment horizontal="left"/>
    </xf>
    <xf numFmtId="0" fontId="5" fillId="0" borderId="0" xfId="58" applyAlignment="1">
      <alignment horizontal="left" vertical="center"/>
    </xf>
    <xf numFmtId="0" fontId="5" fillId="0" borderId="0" xfId="58" applyAlignment="1">
      <alignment horizontal="left" vertical="center" wrapText="1"/>
    </xf>
    <xf numFmtId="0" fontId="39" fillId="0" borderId="0" xfId="0" applyFont="1" applyAlignment="1">
      <alignment horizontal="left" vertical="center"/>
    </xf>
    <xf numFmtId="0" fontId="10" fillId="0" borderId="0" xfId="0" applyFont="1" applyAlignment="1">
      <alignment horizontal="left" vertical="top" wrapText="1"/>
    </xf>
    <xf numFmtId="0" fontId="42" fillId="0" borderId="0" xfId="0" applyFont="1" applyAlignment="1" applyProtection="1">
      <alignment horizontal="left" vertical="top"/>
      <protection locked="0"/>
    </xf>
    <xf numFmtId="0" fontId="42" fillId="0" borderId="0" xfId="0" applyFont="1" applyAlignment="1" applyProtection="1">
      <alignment horizontal="left"/>
      <protection locked="0"/>
    </xf>
    <xf numFmtId="0" fontId="3" fillId="0" borderId="0" xfId="0" applyFont="1" applyAlignment="1">
      <alignment horizontal="right" textRotation="90"/>
    </xf>
    <xf numFmtId="0" fontId="5" fillId="0" borderId="0" xfId="58" applyAlignment="1" applyProtection="1">
      <alignment horizontal="right"/>
    </xf>
    <xf numFmtId="0" fontId="42" fillId="0" borderId="0" xfId="0" applyFont="1" applyAlignment="1">
      <alignment vertical="top" wrapText="1"/>
    </xf>
    <xf numFmtId="0" fontId="42" fillId="0" borderId="0" xfId="0" applyFont="1" applyAlignment="1">
      <alignment horizontal="left" vertical="top" wrapText="1"/>
    </xf>
    <xf numFmtId="171" fontId="42" fillId="2" borderId="0" xfId="0" applyNumberFormat="1" applyFont="1" applyFill="1" applyAlignment="1">
      <alignment horizontal="left"/>
    </xf>
    <xf numFmtId="171" fontId="3" fillId="0" borderId="0" xfId="0" applyNumberFormat="1" applyFont="1" applyAlignment="1">
      <alignment horizontal="left"/>
    </xf>
    <xf numFmtId="0" fontId="47" fillId="0" borderId="0" xfId="0" applyFont="1" applyAlignment="1">
      <alignment horizontal="left"/>
    </xf>
    <xf numFmtId="0" fontId="3" fillId="0" borderId="6" xfId="0" applyFont="1" applyBorder="1" applyAlignment="1">
      <alignment horizontal="left"/>
    </xf>
    <xf numFmtId="0" fontId="2" fillId="0" borderId="6" xfId="0" applyFont="1" applyBorder="1" applyAlignment="1">
      <alignment horizontal="left"/>
    </xf>
    <xf numFmtId="0" fontId="3" fillId="2" borderId="2" xfId="0" applyFont="1" applyFill="1" applyBorder="1" applyAlignment="1">
      <alignment horizontal="left"/>
    </xf>
    <xf numFmtId="0" fontId="10" fillId="5" borderId="0" xfId="0" applyFont="1" applyFill="1" applyAlignment="1">
      <alignment horizontal="left"/>
    </xf>
    <xf numFmtId="174" fontId="10" fillId="2" borderId="0" xfId="0" applyNumberFormat="1" applyFont="1" applyFill="1" applyAlignment="1">
      <alignment horizontal="left"/>
    </xf>
    <xf numFmtId="0" fontId="46" fillId="0" borderId="0" xfId="58" applyFont="1" applyAlignment="1" applyProtection="1">
      <alignment horizontal="right"/>
    </xf>
    <xf numFmtId="0" fontId="10" fillId="2" borderId="0" xfId="0" applyFont="1" applyFill="1" applyAlignment="1">
      <alignment horizontal="left"/>
    </xf>
    <xf numFmtId="0" fontId="50" fillId="0" borderId="0" xfId="0" applyFont="1"/>
    <xf numFmtId="0" fontId="51" fillId="0" borderId="0" xfId="58" applyFont="1" applyAlignment="1" applyProtection="1">
      <alignment horizontal="left"/>
    </xf>
    <xf numFmtId="176" fontId="10" fillId="2" borderId="0" xfId="0" applyNumberFormat="1" applyFont="1" applyFill="1" applyAlignment="1">
      <alignment horizontal="left"/>
    </xf>
    <xf numFmtId="177" fontId="10" fillId="2" borderId="0" xfId="0" applyNumberFormat="1" applyFont="1" applyFill="1" applyAlignment="1">
      <alignment horizontal="left"/>
    </xf>
    <xf numFmtId="178" fontId="3" fillId="2" borderId="2" xfId="0" applyNumberFormat="1" applyFont="1" applyFill="1" applyBorder="1" applyAlignment="1">
      <alignment horizontal="left"/>
    </xf>
    <xf numFmtId="175" fontId="3" fillId="0" borderId="0" xfId="0" applyNumberFormat="1" applyFont="1" applyAlignment="1" applyProtection="1">
      <alignment horizontal="left"/>
      <protection locked="0"/>
    </xf>
    <xf numFmtId="0" fontId="3" fillId="0" borderId="0" xfId="0" applyFont="1" applyAlignment="1" applyProtection="1">
      <alignment horizontal="left" indent="2"/>
      <protection locked="0"/>
    </xf>
    <xf numFmtId="0" fontId="3" fillId="3" borderId="0" xfId="0" applyFont="1" applyFill="1" applyProtection="1">
      <protection locked="0"/>
    </xf>
    <xf numFmtId="0" fontId="3" fillId="0" borderId="0" xfId="0" applyFont="1" applyAlignment="1" applyProtection="1">
      <alignment horizontal="left" vertical="center"/>
      <protection locked="0"/>
    </xf>
    <xf numFmtId="0" fontId="16" fillId="0" borderId="0" xfId="0" applyFont="1"/>
    <xf numFmtId="0" fontId="3" fillId="5" borderId="0" xfId="0" applyFont="1" applyFill="1" applyAlignment="1" applyProtection="1">
      <alignment vertical="center"/>
      <protection locked="0"/>
    </xf>
    <xf numFmtId="0" fontId="53" fillId="0" borderId="0" xfId="0" applyFont="1" applyAlignment="1">
      <alignment horizontal="left"/>
    </xf>
    <xf numFmtId="0" fontId="53" fillId="0" borderId="0" xfId="0" applyFont="1" applyAlignment="1">
      <alignment horizontal="center"/>
    </xf>
    <xf numFmtId="0" fontId="10" fillId="0" borderId="0" xfId="0" applyFont="1" applyAlignment="1">
      <alignment horizontal="left" textRotation="90" wrapText="1"/>
    </xf>
    <xf numFmtId="0" fontId="10" fillId="0" borderId="0" xfId="0" applyFont="1" applyAlignment="1">
      <alignment horizontal="center"/>
    </xf>
    <xf numFmtId="0" fontId="10" fillId="0" borderId="0" xfId="0" applyFont="1" applyAlignment="1" applyProtection="1">
      <alignment horizontal="left"/>
      <protection locked="0"/>
    </xf>
    <xf numFmtId="0" fontId="22" fillId="0" borderId="0" xfId="0" applyFont="1" applyAlignment="1" applyProtection="1">
      <alignment horizontal="left"/>
      <protection locked="0"/>
    </xf>
    <xf numFmtId="0" fontId="16" fillId="0" borderId="0" xfId="0" applyFont="1" applyAlignment="1">
      <alignment horizontal="left" vertical="center"/>
    </xf>
    <xf numFmtId="0" fontId="3" fillId="2" borderId="0" xfId="0" applyFont="1" applyFill="1" applyAlignment="1" applyProtection="1">
      <alignment horizontal="left"/>
      <protection locked="0"/>
    </xf>
    <xf numFmtId="0" fontId="10" fillId="2" borderId="0" xfId="0" applyFont="1" applyFill="1" applyAlignment="1" applyProtection="1">
      <alignment horizontal="left"/>
      <protection locked="0"/>
    </xf>
    <xf numFmtId="0" fontId="16" fillId="2" borderId="0" xfId="0" applyFont="1" applyFill="1" applyAlignment="1">
      <alignment horizontal="left"/>
    </xf>
    <xf numFmtId="0" fontId="54" fillId="0" borderId="0" xfId="58" applyFont="1" applyFill="1" applyAlignment="1" applyProtection="1">
      <alignment horizontal="right"/>
      <protection locked="0"/>
    </xf>
    <xf numFmtId="0" fontId="41" fillId="0" borderId="0" xfId="0" applyFont="1" applyProtection="1">
      <protection locked="0"/>
    </xf>
    <xf numFmtId="0" fontId="41" fillId="0" borderId="0" xfId="0" applyFont="1" applyAlignment="1">
      <alignment horizontal="left"/>
    </xf>
    <xf numFmtId="0" fontId="3" fillId="0" borderId="8" xfId="0" applyFont="1" applyBorder="1" applyAlignment="1">
      <alignment horizontal="left"/>
    </xf>
    <xf numFmtId="0" fontId="5" fillId="0" borderId="0" xfId="58" applyFill="1"/>
    <xf numFmtId="0" fontId="28" fillId="0" borderId="0" xfId="0" applyFont="1" applyAlignment="1">
      <alignment horizontal="left"/>
    </xf>
    <xf numFmtId="0" fontId="16" fillId="0" borderId="0" xfId="0" applyFont="1" applyAlignment="1" applyProtection="1">
      <alignment horizontal="left"/>
      <protection locked="0"/>
    </xf>
    <xf numFmtId="0" fontId="56" fillId="0" borderId="0" xfId="58" applyFont="1" applyAlignment="1">
      <alignment horizontal="right"/>
    </xf>
    <xf numFmtId="0" fontId="56" fillId="0" borderId="0" xfId="58" applyFont="1" applyFill="1" applyBorder="1" applyAlignment="1">
      <alignment horizontal="right"/>
    </xf>
    <xf numFmtId="0" fontId="3" fillId="0" borderId="0" xfId="0" applyFont="1" applyAlignment="1">
      <alignment horizontal="left" vertical="top" wrapText="1"/>
    </xf>
    <xf numFmtId="0" fontId="16" fillId="0" borderId="0" xfId="0" applyFont="1" applyAlignment="1">
      <alignment vertical="center"/>
    </xf>
    <xf numFmtId="0" fontId="55" fillId="0" borderId="0" xfId="58" applyFont="1" applyFill="1" applyBorder="1" applyAlignment="1">
      <alignment vertical="center"/>
    </xf>
    <xf numFmtId="0" fontId="10" fillId="3" borderId="2" xfId="0" applyFont="1" applyFill="1" applyBorder="1" applyAlignment="1" applyProtection="1">
      <alignment horizontal="right"/>
      <protection locked="0"/>
    </xf>
    <xf numFmtId="0" fontId="3" fillId="0" borderId="0" xfId="0" applyFont="1" applyAlignment="1">
      <alignment vertical="center" wrapText="1"/>
    </xf>
    <xf numFmtId="0" fontId="3" fillId="0" borderId="2" xfId="0" applyFont="1" applyBorder="1" applyAlignment="1">
      <alignment vertical="center"/>
    </xf>
    <xf numFmtId="0" fontId="19" fillId="0" borderId="2" xfId="0" applyFont="1" applyBorder="1" applyAlignment="1">
      <alignment vertical="center"/>
    </xf>
    <xf numFmtId="0" fontId="19" fillId="0" borderId="2" xfId="0" applyFont="1" applyBorder="1"/>
    <xf numFmtId="0" fontId="3" fillId="0" borderId="4" xfId="0" applyFont="1" applyBorder="1" applyAlignment="1">
      <alignment horizontal="left" vertical="center"/>
    </xf>
    <xf numFmtId="0" fontId="3" fillId="0" borderId="4" xfId="0" applyFont="1" applyBorder="1" applyAlignment="1">
      <alignment horizontal="left" vertical="center" textRotation="90"/>
    </xf>
    <xf numFmtId="0" fontId="3" fillId="0" borderId="4" xfId="0" applyFont="1" applyBorder="1" applyAlignment="1">
      <alignment horizontal="left" textRotation="90"/>
    </xf>
    <xf numFmtId="0" fontId="3" fillId="0" borderId="4" xfId="0" applyFont="1" applyBorder="1" applyAlignment="1">
      <alignment horizontal="left"/>
    </xf>
    <xf numFmtId="0" fontId="3" fillId="0" borderId="4" xfId="0" applyFont="1" applyBorder="1" applyAlignment="1">
      <alignment vertical="center"/>
    </xf>
    <xf numFmtId="0" fontId="57" fillId="0" borderId="0" xfId="0" applyFont="1" applyAlignment="1">
      <alignment horizontal="left" textRotation="90"/>
    </xf>
    <xf numFmtId="0" fontId="57" fillId="0" borderId="0" xfId="0" applyFont="1" applyAlignment="1">
      <alignment horizontal="left"/>
    </xf>
    <xf numFmtId="0" fontId="19" fillId="0" borderId="0" xfId="0" applyFont="1" applyAlignment="1">
      <alignment horizontal="left" vertical="top"/>
    </xf>
    <xf numFmtId="0" fontId="23" fillId="0" borderId="2" xfId="0" applyFont="1" applyBorder="1" applyAlignment="1">
      <alignment horizontal="left"/>
    </xf>
    <xf numFmtId="0" fontId="10" fillId="0" borderId="2" xfId="0" applyFont="1" applyBorder="1" applyAlignment="1">
      <alignment horizontal="left"/>
    </xf>
    <xf numFmtId="166" fontId="10" fillId="3" borderId="2" xfId="0" applyNumberFormat="1" applyFont="1" applyFill="1" applyBorder="1" applyProtection="1">
      <protection locked="0"/>
    </xf>
    <xf numFmtId="0" fontId="5" fillId="5" borderId="0" xfId="58" applyFill="1" applyBorder="1" applyAlignment="1">
      <alignment horizontal="left"/>
    </xf>
    <xf numFmtId="166" fontId="10" fillId="0" borderId="0" xfId="0" applyNumberFormat="1" applyFont="1" applyProtection="1">
      <protection locked="0"/>
    </xf>
    <xf numFmtId="166" fontId="10" fillId="3" borderId="2" xfId="0" applyNumberFormat="1" applyFont="1" applyFill="1" applyBorder="1" applyAlignment="1" applyProtection="1">
      <alignment horizontal="left"/>
      <protection locked="0"/>
    </xf>
    <xf numFmtId="0" fontId="3" fillId="0" borderId="0" xfId="0" applyFont="1" applyAlignment="1" applyProtection="1">
      <alignment horizontal="left" textRotation="90" wrapText="1"/>
      <protection locked="0"/>
    </xf>
    <xf numFmtId="179" fontId="10" fillId="2" borderId="0" xfId="0" applyNumberFormat="1" applyFont="1" applyFill="1" applyAlignment="1">
      <alignment horizontal="left"/>
    </xf>
    <xf numFmtId="0" fontId="3" fillId="0" borderId="0" xfId="0" applyFont="1" applyAlignment="1">
      <alignment horizontal="left" wrapText="1"/>
    </xf>
    <xf numFmtId="167" fontId="3" fillId="3" borderId="0" xfId="0" applyNumberFormat="1" applyFont="1" applyFill="1" applyProtection="1">
      <protection locked="0"/>
    </xf>
    <xf numFmtId="167" fontId="3" fillId="2" borderId="2" xfId="0" applyNumberFormat="1" applyFont="1" applyFill="1" applyBorder="1" applyAlignment="1">
      <alignment horizontal="right"/>
    </xf>
    <xf numFmtId="180" fontId="3" fillId="2" borderId="14" xfId="0" applyNumberFormat="1" applyFont="1" applyFill="1" applyBorder="1" applyAlignment="1">
      <alignment horizontal="right" vertical="top" wrapText="1"/>
    </xf>
    <xf numFmtId="0" fontId="2" fillId="0" borderId="0" xfId="0" applyFont="1" applyAlignment="1" applyProtection="1">
      <alignment horizontal="center" vertical="center"/>
      <protection locked="0"/>
    </xf>
    <xf numFmtId="0" fontId="3" fillId="10" borderId="13" xfId="0" applyFont="1" applyFill="1" applyBorder="1" applyAlignment="1" applyProtection="1">
      <alignment horizontal="center" vertical="center"/>
      <protection locked="0"/>
    </xf>
    <xf numFmtId="0" fontId="40" fillId="0" borderId="0" xfId="0" applyFont="1" applyAlignment="1">
      <alignment vertical="center" wrapText="1"/>
    </xf>
    <xf numFmtId="0" fontId="59" fillId="0" borderId="0" xfId="0" applyFont="1" applyAlignment="1">
      <alignment horizontal="left"/>
    </xf>
    <xf numFmtId="0" fontId="52" fillId="0" borderId="0" xfId="0" applyFont="1" applyAlignment="1">
      <alignment horizontal="left" vertical="center"/>
    </xf>
    <xf numFmtId="0" fontId="60" fillId="0" borderId="0" xfId="0" applyFont="1" applyAlignment="1">
      <alignment horizontal="left" vertical="top" wrapText="1"/>
    </xf>
    <xf numFmtId="0" fontId="16" fillId="0" borderId="0" xfId="0" applyFont="1" applyAlignment="1">
      <alignment horizontal="center"/>
    </xf>
    <xf numFmtId="0" fontId="3" fillId="0" borderId="1" xfId="0" applyFont="1" applyBorder="1" applyAlignment="1" applyProtection="1">
      <alignment horizontal="center" vertical="center"/>
      <protection locked="0"/>
    </xf>
    <xf numFmtId="0" fontId="42" fillId="0" borderId="0" xfId="0" applyFont="1" applyAlignment="1">
      <alignment vertical="top"/>
    </xf>
    <xf numFmtId="166" fontId="2" fillId="0" borderId="0" xfId="0" applyNumberFormat="1" applyFont="1" applyAlignment="1">
      <alignment horizontal="center" vertical="top" wrapText="1"/>
    </xf>
    <xf numFmtId="170" fontId="41" fillId="3" borderId="0" xfId="0" applyNumberFormat="1" applyFont="1" applyFill="1" applyAlignment="1" applyProtection="1">
      <alignment horizontal="left"/>
      <protection locked="0"/>
    </xf>
    <xf numFmtId="0" fontId="41" fillId="5" borderId="0" xfId="0" applyFont="1" applyFill="1" applyProtection="1">
      <protection locked="0"/>
    </xf>
    <xf numFmtId="173" fontId="41" fillId="5" borderId="0" xfId="0" applyNumberFormat="1" applyFont="1" applyFill="1" applyAlignment="1" applyProtection="1">
      <alignment horizontal="left"/>
      <protection locked="0"/>
    </xf>
    <xf numFmtId="173" fontId="41" fillId="2" borderId="2" xfId="0" applyNumberFormat="1" applyFont="1" applyFill="1" applyBorder="1" applyAlignment="1" applyProtection="1">
      <alignment horizontal="left"/>
      <protection locked="0"/>
    </xf>
    <xf numFmtId="172" fontId="41" fillId="2" borderId="0" xfId="0" applyNumberFormat="1" applyFont="1" applyFill="1" applyAlignment="1" applyProtection="1">
      <alignment horizontal="left"/>
      <protection locked="0"/>
    </xf>
    <xf numFmtId="0" fontId="64" fillId="0" borderId="0" xfId="0" applyFont="1" applyAlignment="1" applyProtection="1">
      <alignment horizontal="left"/>
      <protection locked="0"/>
    </xf>
    <xf numFmtId="0" fontId="41" fillId="0" borderId="0" xfId="0" applyFont="1" applyAlignment="1">
      <alignment horizontal="right"/>
    </xf>
    <xf numFmtId="171" fontId="41" fillId="0" borderId="0" xfId="0" applyNumberFormat="1" applyFont="1" applyAlignment="1" applyProtection="1">
      <alignment horizontal="left"/>
      <protection locked="0"/>
    </xf>
    <xf numFmtId="0" fontId="54" fillId="0" borderId="0" xfId="58" applyFont="1" applyFill="1" applyAlignment="1" applyProtection="1">
      <alignment horizontal="right"/>
    </xf>
    <xf numFmtId="0" fontId="41" fillId="0" borderId="0" xfId="0" applyFont="1" applyAlignment="1" applyProtection="1">
      <alignment horizontal="left" vertical="center"/>
      <protection locked="0"/>
    </xf>
    <xf numFmtId="172" fontId="41" fillId="2" borderId="2" xfId="0" applyNumberFormat="1" applyFont="1" applyFill="1" applyBorder="1" applyAlignment="1" applyProtection="1">
      <alignment horizontal="left"/>
      <protection locked="0"/>
    </xf>
    <xf numFmtId="0" fontId="10" fillId="0" borderId="12" xfId="0" applyFont="1" applyBorder="1" applyAlignment="1">
      <alignment horizontal="left"/>
    </xf>
    <xf numFmtId="0" fontId="10" fillId="0" borderId="8" xfId="0" applyFont="1" applyBorder="1" applyAlignment="1">
      <alignment horizontal="left"/>
    </xf>
    <xf numFmtId="0" fontId="16" fillId="0" borderId="0" xfId="0" applyFont="1" applyAlignment="1" applyProtection="1">
      <alignment horizontal="center"/>
      <protection locked="0"/>
    </xf>
    <xf numFmtId="49" fontId="0" fillId="0" borderId="0" xfId="0" applyNumberFormat="1"/>
    <xf numFmtId="0" fontId="65" fillId="0" borderId="0" xfId="0" applyFont="1" applyAlignment="1">
      <alignment vertical="center"/>
    </xf>
    <xf numFmtId="0" fontId="66" fillId="0" borderId="0" xfId="0" applyFont="1"/>
    <xf numFmtId="0" fontId="67" fillId="0" borderId="0" xfId="0" applyFont="1"/>
    <xf numFmtId="0" fontId="68" fillId="0" borderId="0" xfId="0" applyFont="1"/>
    <xf numFmtId="0" fontId="2" fillId="0" borderId="0" xfId="0" applyFont="1"/>
    <xf numFmtId="0" fontId="3" fillId="0" borderId="15" xfId="0" applyFont="1" applyBorder="1" applyAlignment="1">
      <alignment horizontal="left"/>
    </xf>
    <xf numFmtId="0" fontId="10" fillId="3" borderId="0" xfId="0" applyFont="1" applyFill="1" applyAlignment="1">
      <alignment horizontal="left"/>
    </xf>
    <xf numFmtId="0" fontId="10" fillId="2" borderId="16" xfId="0" applyFont="1" applyFill="1" applyBorder="1" applyAlignment="1">
      <alignment horizontal="left"/>
    </xf>
    <xf numFmtId="0" fontId="3" fillId="2" borderId="16" xfId="0" applyFont="1" applyFill="1" applyBorder="1" applyAlignment="1">
      <alignment horizontal="left"/>
    </xf>
    <xf numFmtId="0" fontId="10" fillId="3" borderId="16" xfId="0" applyFont="1" applyFill="1" applyBorder="1" applyAlignment="1">
      <alignment horizontal="left"/>
    </xf>
    <xf numFmtId="0" fontId="3" fillId="0" borderId="16" xfId="0" applyFont="1" applyBorder="1" applyAlignment="1">
      <alignment horizontal="left"/>
    </xf>
    <xf numFmtId="0" fontId="3" fillId="3" borderId="2" xfId="0" applyFont="1" applyFill="1" applyBorder="1" applyAlignment="1" applyProtection="1">
      <alignment vertical="center"/>
      <protection locked="0"/>
    </xf>
    <xf numFmtId="0" fontId="19" fillId="0" borderId="0" xfId="0" applyFont="1" applyAlignment="1">
      <alignment horizontal="left" textRotation="90"/>
    </xf>
    <xf numFmtId="0" fontId="19" fillId="0" borderId="0" xfId="0" applyFont="1" applyAlignment="1" applyProtection="1">
      <alignment horizontal="left"/>
      <protection locked="0"/>
    </xf>
    <xf numFmtId="0" fontId="71" fillId="0" borderId="0" xfId="0" applyFont="1" applyAlignment="1">
      <alignment horizontal="left"/>
    </xf>
    <xf numFmtId="0" fontId="70" fillId="0" borderId="0" xfId="0" applyFont="1" applyAlignment="1">
      <alignment horizontal="center" vertical="center"/>
    </xf>
    <xf numFmtId="0" fontId="2" fillId="0" borderId="0" xfId="0" applyFont="1" applyAlignment="1">
      <alignment horizontal="left" vertical="top"/>
    </xf>
    <xf numFmtId="0" fontId="10" fillId="0" borderId="1" xfId="0" applyFont="1" applyBorder="1" applyAlignment="1">
      <alignment horizontal="center" vertical="center"/>
    </xf>
    <xf numFmtId="0" fontId="3" fillId="0" borderId="0" xfId="0" quotePrefix="1" applyFont="1" applyAlignment="1">
      <alignment horizontal="left"/>
    </xf>
    <xf numFmtId="0" fontId="16" fillId="5" borderId="0" xfId="0" applyFont="1" applyFill="1" applyAlignment="1">
      <alignment horizontal="center" vertical="center"/>
    </xf>
    <xf numFmtId="0" fontId="72" fillId="0" borderId="0" xfId="0" applyFont="1"/>
    <xf numFmtId="0" fontId="8" fillId="0" borderId="0" xfId="0" applyFont="1" applyAlignment="1">
      <alignment horizontal="left"/>
    </xf>
    <xf numFmtId="0" fontId="36" fillId="0" borderId="0" xfId="0" applyFont="1" applyAlignment="1">
      <alignment horizontal="left"/>
    </xf>
    <xf numFmtId="0" fontId="58" fillId="0" borderId="0" xfId="0" applyFont="1" applyAlignment="1">
      <alignment horizontal="left" vertical="top" wrapText="1"/>
    </xf>
    <xf numFmtId="181" fontId="3" fillId="3" borderId="14" xfId="0" applyNumberFormat="1" applyFont="1" applyFill="1" applyBorder="1" applyAlignment="1" applyProtection="1">
      <alignment horizontal="right" vertical="top" wrapText="1"/>
      <protection locked="0"/>
    </xf>
    <xf numFmtId="0" fontId="5" fillId="0" borderId="0" xfId="58" applyBorder="1" applyAlignment="1">
      <alignment horizontal="left"/>
    </xf>
    <xf numFmtId="0" fontId="52" fillId="0" borderId="0" xfId="0" applyFont="1" applyAlignment="1">
      <alignment horizontal="right"/>
    </xf>
    <xf numFmtId="0" fontId="3" fillId="0" borderId="7" xfId="0" applyFont="1" applyBorder="1"/>
    <xf numFmtId="0" fontId="52" fillId="0" borderId="0" xfId="0" applyFont="1"/>
    <xf numFmtId="2" fontId="3" fillId="0" borderId="0" xfId="0" applyNumberFormat="1" applyFont="1" applyAlignment="1">
      <alignment vertical="top" wrapText="1"/>
    </xf>
    <xf numFmtId="2" fontId="73" fillId="0" borderId="0" xfId="0" applyNumberFormat="1" applyFont="1" applyAlignment="1">
      <alignment vertical="top" wrapText="1"/>
    </xf>
    <xf numFmtId="0" fontId="73" fillId="0" borderId="0" xfId="0" applyFont="1" applyAlignment="1">
      <alignment vertical="top"/>
    </xf>
    <xf numFmtId="0" fontId="73" fillId="0" borderId="0" xfId="0" applyFont="1" applyAlignment="1">
      <alignment vertical="top" wrapText="1"/>
    </xf>
    <xf numFmtId="2" fontId="10" fillId="0" borderId="0" xfId="0" applyNumberFormat="1" applyFont="1" applyAlignment="1">
      <alignment vertical="top" wrapText="1"/>
    </xf>
    <xf numFmtId="2" fontId="23" fillId="0" borderId="0" xfId="0" applyNumberFormat="1" applyFont="1" applyAlignment="1">
      <alignment vertical="top" wrapText="1"/>
    </xf>
    <xf numFmtId="0" fontId="73" fillId="0" borderId="0" xfId="0" quotePrefix="1" applyFont="1" applyAlignment="1">
      <alignment vertical="top" wrapText="1"/>
    </xf>
    <xf numFmtId="0" fontId="74" fillId="0" borderId="0" xfId="0" applyFont="1" applyAlignment="1">
      <alignment vertical="center"/>
    </xf>
    <xf numFmtId="0" fontId="32" fillId="0" borderId="0" xfId="0" applyFont="1" applyAlignment="1">
      <alignment horizontal="left"/>
    </xf>
    <xf numFmtId="0" fontId="26" fillId="0" borderId="0" xfId="0" applyFont="1" applyAlignment="1">
      <alignment horizontal="left"/>
    </xf>
    <xf numFmtId="0" fontId="69" fillId="0" borderId="0" xfId="0" applyFont="1" applyAlignment="1">
      <alignment horizontal="left"/>
    </xf>
    <xf numFmtId="0" fontId="29" fillId="0" borderId="0" xfId="0" applyFont="1" applyAlignment="1">
      <alignment horizontal="center" wrapText="1"/>
    </xf>
    <xf numFmtId="0" fontId="29" fillId="0" borderId="0" xfId="0" applyFont="1" applyAlignment="1">
      <alignment horizontal="left"/>
    </xf>
    <xf numFmtId="0" fontId="29" fillId="0" borderId="0" xfId="0" applyFont="1" applyAlignment="1">
      <alignment horizontal="center"/>
    </xf>
    <xf numFmtId="0" fontId="29" fillId="12" borderId="0" xfId="0" applyFont="1" applyFill="1" applyAlignment="1">
      <alignment horizontal="center"/>
    </xf>
    <xf numFmtId="0" fontId="30" fillId="0" borderId="0" xfId="0" applyFont="1" applyAlignment="1">
      <alignment horizontal="center"/>
    </xf>
    <xf numFmtId="1" fontId="26" fillId="6" borderId="0" xfId="0" applyNumberFormat="1" applyFont="1" applyFill="1" applyAlignment="1">
      <alignment horizontal="center"/>
    </xf>
    <xf numFmtId="0" fontId="23" fillId="0" borderId="0" xfId="0" applyFont="1" applyAlignment="1">
      <alignment horizontal="left" vertical="top" wrapText="1"/>
    </xf>
    <xf numFmtId="0" fontId="55" fillId="0" borderId="0" xfId="58" applyFont="1" applyFill="1" applyBorder="1" applyAlignment="1">
      <alignment horizontal="left" vertical="center"/>
    </xf>
    <xf numFmtId="0" fontId="19" fillId="0" borderId="0" xfId="0" applyFont="1" applyAlignment="1">
      <alignment horizontal="left" vertical="top"/>
    </xf>
    <xf numFmtId="0" fontId="3" fillId="3" borderId="0" xfId="0" applyFont="1" applyFill="1" applyAlignment="1">
      <alignment horizontal="center" vertical="center"/>
    </xf>
    <xf numFmtId="2" fontId="3" fillId="2" borderId="0" xfId="0" applyNumberFormat="1" applyFont="1" applyFill="1" applyAlignment="1">
      <alignment horizontal="center" vertical="center"/>
    </xf>
    <xf numFmtId="0" fontId="3" fillId="10" borderId="0" xfId="0" applyFont="1" applyFill="1" applyAlignment="1">
      <alignment horizontal="center" vertical="center"/>
    </xf>
    <xf numFmtId="0" fontId="16" fillId="0" borderId="0" xfId="0" applyFont="1" applyAlignment="1">
      <alignment horizontal="left" vertical="top" wrapText="1"/>
    </xf>
    <xf numFmtId="0" fontId="3" fillId="0" borderId="0" xfId="0" applyFont="1" applyAlignment="1">
      <alignment horizontal="left" vertical="center" wrapText="1"/>
    </xf>
    <xf numFmtId="0" fontId="5" fillId="0" borderId="0" xfId="58" applyAlignment="1">
      <alignment horizontal="left" vertical="center" wrapText="1"/>
    </xf>
    <xf numFmtId="0" fontId="3" fillId="8" borderId="0" xfId="0" applyFont="1" applyFill="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0" fontId="10" fillId="0" borderId="0" xfId="0" applyFont="1" applyAlignment="1">
      <alignment horizontal="left" vertical="center"/>
    </xf>
    <xf numFmtId="0" fontId="5" fillId="0" borderId="9" xfId="58" applyFill="1" applyBorder="1" applyAlignment="1">
      <alignment horizontal="left"/>
    </xf>
    <xf numFmtId="0" fontId="5" fillId="0" borderId="3" xfId="58" applyFill="1" applyBorder="1" applyAlignment="1">
      <alignment horizontal="left"/>
    </xf>
    <xf numFmtId="0" fontId="5" fillId="0" borderId="10" xfId="58" applyFill="1" applyBorder="1" applyAlignment="1">
      <alignment horizontal="left"/>
    </xf>
    <xf numFmtId="0" fontId="5" fillId="0" borderId="11" xfId="58" applyFill="1" applyBorder="1" applyAlignment="1">
      <alignment horizontal="left"/>
    </xf>
    <xf numFmtId="0" fontId="5" fillId="0" borderId="0" xfId="58" applyFill="1" applyBorder="1" applyAlignment="1">
      <alignment horizontal="left"/>
    </xf>
    <xf numFmtId="0" fontId="5" fillId="0" borderId="7" xfId="58" applyFill="1" applyBorder="1" applyAlignment="1">
      <alignment horizontal="left"/>
    </xf>
    <xf numFmtId="166" fontId="3" fillId="0" borderId="0" xfId="0" applyNumberFormat="1" applyFont="1" applyAlignment="1" applyProtection="1">
      <alignment horizontal="left" vertical="top" wrapText="1"/>
      <protection locked="0"/>
    </xf>
    <xf numFmtId="0" fontId="63" fillId="0" borderId="11" xfId="0" applyFont="1" applyBorder="1"/>
    <xf numFmtId="0" fontId="63" fillId="0" borderId="0" xfId="0" applyFont="1"/>
    <xf numFmtId="0" fontId="63" fillId="0" borderId="7" xfId="0" applyFont="1" applyBorder="1"/>
    <xf numFmtId="0" fontId="62" fillId="0" borderId="11" xfId="0" applyFont="1" applyBorder="1" applyAlignment="1">
      <alignment horizontal="left"/>
    </xf>
    <xf numFmtId="0" fontId="62" fillId="0" borderId="0" xfId="0" applyFont="1" applyAlignment="1">
      <alignment horizontal="left"/>
    </xf>
    <xf numFmtId="0" fontId="62" fillId="0" borderId="7" xfId="0" applyFont="1" applyBorder="1" applyAlignment="1">
      <alignment horizontal="left"/>
    </xf>
    <xf numFmtId="0" fontId="3" fillId="0" borderId="11" xfId="0" applyFont="1" applyBorder="1" applyAlignment="1">
      <alignment horizontal="left"/>
    </xf>
    <xf numFmtId="0" fontId="3" fillId="0" borderId="0" xfId="0" applyFont="1" applyAlignment="1">
      <alignment horizontal="left"/>
    </xf>
    <xf numFmtId="0" fontId="3" fillId="0" borderId="7" xfId="0" applyFont="1" applyBorder="1" applyAlignment="1">
      <alignment horizontal="left"/>
    </xf>
    <xf numFmtId="0" fontId="3" fillId="3" borderId="9"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7" xfId="0" applyFont="1" applyFill="1" applyBorder="1" applyAlignment="1" applyProtection="1">
      <alignment horizontal="left" vertical="top" wrapText="1"/>
      <protection locked="0"/>
    </xf>
    <xf numFmtId="0" fontId="3" fillId="3" borderId="12" xfId="0" applyFont="1" applyFill="1" applyBorder="1" applyAlignment="1" applyProtection="1">
      <alignment horizontal="left" vertical="top" wrapText="1"/>
      <protection locked="0"/>
    </xf>
    <xf numFmtId="0" fontId="3" fillId="3" borderId="2" xfId="0" applyFont="1" applyFill="1" applyBorder="1" applyAlignment="1" applyProtection="1">
      <alignment horizontal="left" vertical="top" wrapText="1"/>
      <protection locked="0"/>
    </xf>
    <xf numFmtId="0" fontId="3" fillId="3" borderId="8" xfId="0" applyFont="1" applyFill="1" applyBorder="1" applyAlignment="1" applyProtection="1">
      <alignment horizontal="left" vertical="top" wrapText="1"/>
      <protection locked="0"/>
    </xf>
    <xf numFmtId="0" fontId="16" fillId="0" borderId="0" xfId="0" applyFont="1" applyAlignment="1">
      <alignment horizontal="left" vertical="center"/>
    </xf>
    <xf numFmtId="0" fontId="3" fillId="2" borderId="0" xfId="0" applyFont="1" applyFill="1" applyAlignment="1" applyProtection="1">
      <alignment horizontal="left" vertical="center"/>
      <protection locked="0"/>
    </xf>
    <xf numFmtId="0" fontId="3" fillId="3" borderId="0" xfId="0" applyFont="1" applyFill="1" applyAlignment="1" applyProtection="1">
      <alignment horizontal="left"/>
      <protection locked="0"/>
    </xf>
    <xf numFmtId="0" fontId="10" fillId="0" borderId="0" xfId="0" applyFont="1" applyAlignment="1">
      <alignment horizontal="left" vertical="center" wrapText="1"/>
    </xf>
    <xf numFmtId="0" fontId="2" fillId="0" borderId="0" xfId="0" applyFont="1" applyAlignment="1">
      <alignment horizontal="left"/>
    </xf>
    <xf numFmtId="0" fontId="39" fillId="11" borderId="0" xfId="0" applyFont="1" applyFill="1" applyAlignment="1">
      <alignment horizontal="left" vertical="center"/>
    </xf>
    <xf numFmtId="0" fontId="36" fillId="4" borderId="0" xfId="0" applyFont="1" applyFill="1" applyAlignment="1">
      <alignment horizontal="left" vertical="center" wrapText="1"/>
    </xf>
    <xf numFmtId="0" fontId="19" fillId="0" borderId="0" xfId="0" applyFont="1" applyAlignment="1">
      <alignment horizontal="left" wrapText="1"/>
    </xf>
    <xf numFmtId="0" fontId="3" fillId="0" borderId="0" xfId="0" applyFont="1" applyAlignment="1">
      <alignment horizontal="left" vertical="center"/>
    </xf>
    <xf numFmtId="14" fontId="3" fillId="0" borderId="0" xfId="0" applyNumberFormat="1" applyFont="1" applyAlignment="1" applyProtection="1">
      <alignment horizontal="left" vertical="center"/>
      <protection locked="0"/>
    </xf>
    <xf numFmtId="0" fontId="19" fillId="0" borderId="0" xfId="0" applyFont="1" applyAlignment="1">
      <alignment horizontal="left" vertical="center" wrapText="1"/>
    </xf>
    <xf numFmtId="0" fontId="19" fillId="0" borderId="0" xfId="0" applyFont="1" applyAlignment="1">
      <alignment horizontal="left" vertical="center"/>
    </xf>
    <xf numFmtId="0" fontId="23" fillId="0" borderId="0" xfId="0" applyFont="1" applyAlignment="1">
      <alignment horizontal="left"/>
    </xf>
    <xf numFmtId="0" fontId="3" fillId="3" borderId="2" xfId="0" applyFont="1" applyFill="1" applyBorder="1" applyAlignment="1" applyProtection="1">
      <alignment horizontal="left" vertical="center"/>
      <protection locked="0"/>
    </xf>
    <xf numFmtId="0" fontId="52" fillId="0" borderId="0" xfId="0" applyFont="1" applyAlignment="1">
      <alignment horizontal="left" vertical="top" wrapText="1"/>
    </xf>
    <xf numFmtId="0" fontId="3" fillId="3" borderId="2" xfId="0" applyFont="1" applyFill="1" applyBorder="1" applyAlignment="1" applyProtection="1">
      <alignment horizontal="left"/>
      <protection locked="0"/>
    </xf>
    <xf numFmtId="0" fontId="10" fillId="3" borderId="2" xfId="0" applyFont="1" applyFill="1" applyBorder="1" applyAlignment="1" applyProtection="1">
      <alignment horizontal="left"/>
      <protection locked="0"/>
    </xf>
    <xf numFmtId="0" fontId="10" fillId="0" borderId="0" xfId="0" applyFont="1" applyAlignment="1">
      <alignment horizontal="center" textRotation="90"/>
    </xf>
    <xf numFmtId="166" fontId="3" fillId="5" borderId="0" xfId="0" applyNumberFormat="1" applyFont="1" applyFill="1" applyAlignment="1" applyProtection="1">
      <alignment horizontal="center" vertical="top" wrapText="1"/>
      <protection locked="0"/>
    </xf>
    <xf numFmtId="169" fontId="3" fillId="0" borderId="0" xfId="0" applyNumberFormat="1" applyFont="1" applyAlignment="1">
      <alignment horizontal="center"/>
    </xf>
    <xf numFmtId="169" fontId="3" fillId="0" borderId="2" xfId="0" applyNumberFormat="1" applyFont="1" applyBorder="1" applyAlignment="1">
      <alignment horizontal="center"/>
    </xf>
    <xf numFmtId="0" fontId="10" fillId="0" borderId="0" xfId="0" applyFont="1" applyAlignment="1">
      <alignment horizontal="left" vertical="top" wrapText="1"/>
    </xf>
    <xf numFmtId="0" fontId="15" fillId="4" borderId="0" xfId="0" applyFont="1" applyFill="1" applyAlignment="1">
      <alignment horizontal="left"/>
    </xf>
    <xf numFmtId="0" fontId="22" fillId="5" borderId="0" xfId="0" applyFont="1" applyFill="1" applyAlignment="1">
      <alignment horizontal="left" vertical="top" wrapText="1"/>
    </xf>
    <xf numFmtId="0" fontId="19" fillId="0" borderId="0" xfId="0" applyFont="1" applyAlignment="1">
      <alignment horizontal="left"/>
    </xf>
    <xf numFmtId="0" fontId="3" fillId="0" borderId="2" xfId="0" applyFont="1" applyBorder="1" applyAlignment="1">
      <alignment horizontal="left"/>
    </xf>
    <xf numFmtId="0" fontId="2" fillId="3" borderId="3" xfId="0" applyFont="1" applyFill="1" applyBorder="1" applyAlignment="1" applyProtection="1">
      <alignment horizontal="left" vertical="top" wrapText="1"/>
      <protection locked="0"/>
    </xf>
    <xf numFmtId="0" fontId="2" fillId="3" borderId="10"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vertical="top" wrapText="1"/>
      <protection locked="0"/>
    </xf>
    <xf numFmtId="0" fontId="2" fillId="3" borderId="0" xfId="0" applyFont="1" applyFill="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10" fillId="0" borderId="0" xfId="0" applyFont="1" applyAlignment="1">
      <alignment horizontal="center" vertical="center"/>
    </xf>
    <xf numFmtId="14" fontId="3" fillId="3" borderId="0" xfId="0" applyNumberFormat="1" applyFont="1" applyFill="1" applyAlignment="1" applyProtection="1">
      <alignment horizontal="left"/>
      <protection locked="0"/>
    </xf>
    <xf numFmtId="0" fontId="61" fillId="0" borderId="3" xfId="0" applyFont="1" applyBorder="1" applyAlignment="1" applyProtection="1">
      <alignment horizontal="left" vertical="top" wrapText="1"/>
      <protection locked="0"/>
    </xf>
    <xf numFmtId="0" fontId="61" fillId="0" borderId="0" xfId="0" applyFont="1" applyAlignment="1" applyProtection="1">
      <alignment horizontal="left" vertical="top" wrapText="1"/>
      <protection locked="0"/>
    </xf>
    <xf numFmtId="166" fontId="3" fillId="3" borderId="0" xfId="0" applyNumberFormat="1" applyFont="1" applyFill="1" applyAlignment="1" applyProtection="1">
      <alignment horizontal="left" vertical="top" wrapText="1"/>
      <protection locked="0"/>
    </xf>
    <xf numFmtId="0" fontId="2" fillId="0" borderId="0" xfId="0" applyFont="1" applyAlignment="1" applyProtection="1">
      <alignment horizontal="left" vertical="center"/>
      <protection locked="0"/>
    </xf>
    <xf numFmtId="2" fontId="3" fillId="2" borderId="0" xfId="0" applyNumberFormat="1" applyFont="1" applyFill="1" applyAlignment="1">
      <alignment horizontal="left"/>
    </xf>
    <xf numFmtId="0" fontId="3" fillId="2" borderId="0" xfId="0" applyFont="1" applyFill="1" applyAlignment="1">
      <alignment horizontal="left"/>
    </xf>
    <xf numFmtId="0" fontId="60" fillId="0" borderId="0" xfId="0" applyFont="1" applyAlignment="1">
      <alignment horizontal="left" vertical="top" wrapText="1"/>
    </xf>
    <xf numFmtId="0" fontId="3" fillId="2" borderId="0" xfId="0" applyFont="1" applyFill="1" applyAlignment="1">
      <alignment horizontal="left" vertical="top" wrapText="1"/>
    </xf>
    <xf numFmtId="0" fontId="58" fillId="0" borderId="0" xfId="0" applyFont="1" applyAlignment="1">
      <alignment horizontal="left" vertical="top" wrapText="1"/>
    </xf>
    <xf numFmtId="166" fontId="10" fillId="3" borderId="0" xfId="0" quotePrefix="1" applyNumberFormat="1" applyFont="1" applyFill="1" applyAlignment="1" applyProtection="1">
      <alignment horizontal="left" vertical="top" wrapText="1"/>
      <protection locked="0"/>
    </xf>
    <xf numFmtId="166" fontId="10" fillId="3" borderId="0" xfId="0" applyNumberFormat="1" applyFont="1" applyFill="1" applyAlignment="1" applyProtection="1">
      <alignment horizontal="left" vertical="top" wrapText="1"/>
      <protection locked="0"/>
    </xf>
    <xf numFmtId="0" fontId="50" fillId="0" borderId="0" xfId="0" applyFont="1" applyAlignment="1">
      <alignment horizontal="left" vertical="top" wrapText="1"/>
    </xf>
    <xf numFmtId="0" fontId="3" fillId="0" borderId="0" xfId="0" applyFont="1" applyAlignment="1" applyProtection="1">
      <alignment horizontal="left"/>
      <protection locked="0"/>
    </xf>
    <xf numFmtId="0" fontId="3" fillId="3" borderId="0" xfId="0" applyFont="1" applyFill="1" applyAlignment="1" applyProtection="1">
      <alignment horizontal="left" vertical="center"/>
      <protection locked="0"/>
    </xf>
    <xf numFmtId="171" fontId="3" fillId="3" borderId="0" xfId="0" applyNumberFormat="1" applyFont="1" applyFill="1" applyAlignment="1" applyProtection="1">
      <alignment horizontal="left" vertical="center"/>
      <protection locked="0"/>
    </xf>
    <xf numFmtId="171" fontId="42" fillId="0" borderId="0" xfId="0" applyNumberFormat="1" applyFont="1" applyAlignment="1" applyProtection="1">
      <alignment horizontal="left" vertical="center"/>
      <protection locked="0"/>
    </xf>
    <xf numFmtId="0" fontId="41" fillId="0" borderId="0" xfId="0" applyFont="1" applyAlignment="1" applyProtection="1">
      <alignment horizontal="left"/>
      <protection locked="0"/>
    </xf>
    <xf numFmtId="0" fontId="42" fillId="0" borderId="0" xfId="0" applyFont="1" applyAlignment="1" applyProtection="1">
      <alignment horizontal="left" vertical="top"/>
      <protection locked="0"/>
    </xf>
    <xf numFmtId="0" fontId="3" fillId="0" borderId="0" xfId="0" applyFont="1" applyAlignment="1" applyProtection="1">
      <alignment horizontal="left" vertical="top" wrapText="1"/>
      <protection locked="0"/>
    </xf>
    <xf numFmtId="0" fontId="42" fillId="0" borderId="0" xfId="0" applyFont="1" applyAlignment="1">
      <alignment horizontal="left" vertical="top" wrapText="1"/>
    </xf>
    <xf numFmtId="0" fontId="42" fillId="0" borderId="0" xfId="0" applyFont="1" applyAlignment="1" applyProtection="1">
      <alignment horizontal="left"/>
      <protection locked="0"/>
    </xf>
    <xf numFmtId="0" fontId="51" fillId="9" borderId="0" xfId="0" applyFont="1" applyFill="1" applyAlignment="1">
      <alignment horizontal="left" vertical="top" wrapText="1"/>
    </xf>
    <xf numFmtId="0" fontId="10" fillId="0" borderId="17" xfId="0" applyFont="1" applyBorder="1" applyAlignment="1">
      <alignment horizontal="left"/>
    </xf>
    <xf numFmtId="0" fontId="3" fillId="0" borderId="17" xfId="0" applyFont="1" applyBorder="1" applyAlignment="1">
      <alignment horizontal="left"/>
    </xf>
    <xf numFmtId="0" fontId="2" fillId="0" borderId="17" xfId="0" applyFont="1" applyBorder="1" applyAlignment="1">
      <alignment horizontal="center"/>
    </xf>
    <xf numFmtId="0" fontId="3" fillId="0" borderId="17" xfId="0" applyFont="1" applyBorder="1" applyAlignment="1">
      <alignment horizontal="center"/>
    </xf>
    <xf numFmtId="0" fontId="10" fillId="0" borderId="0" xfId="0" applyFont="1" applyBorder="1" applyAlignment="1">
      <alignment horizontal="left"/>
    </xf>
    <xf numFmtId="0" fontId="10" fillId="0" borderId="0" xfId="0" applyFont="1" applyBorder="1"/>
    <xf numFmtId="0" fontId="3" fillId="0" borderId="0" xfId="0" applyFont="1" applyBorder="1" applyAlignment="1">
      <alignment horizontal="left"/>
    </xf>
    <xf numFmtId="0" fontId="2" fillId="0" borderId="0" xfId="0" applyFont="1" applyBorder="1" applyAlignment="1">
      <alignment horizontal="center"/>
    </xf>
    <xf numFmtId="0" fontId="3" fillId="0" borderId="0" xfId="0" applyFont="1" applyBorder="1" applyAlignment="1">
      <alignment horizontal="center"/>
    </xf>
    <xf numFmtId="0" fontId="8" fillId="0" borderId="0" xfId="0" applyFont="1" applyBorder="1" applyAlignment="1">
      <alignment horizontal="center"/>
    </xf>
    <xf numFmtId="0" fontId="0" fillId="0" borderId="0" xfId="0" applyBorder="1"/>
    <xf numFmtId="0" fontId="10" fillId="0" borderId="0" xfId="0" applyFont="1" applyBorder="1" applyAlignment="1">
      <alignment vertical="center"/>
    </xf>
    <xf numFmtId="0" fontId="10" fillId="6" borderId="0" xfId="0" applyFont="1" applyFill="1" applyBorder="1" applyAlignment="1">
      <alignment horizontal="left"/>
    </xf>
    <xf numFmtId="0" fontId="10" fillId="7" borderId="0" xfId="0" applyFont="1" applyFill="1" applyBorder="1" applyAlignment="1">
      <alignment horizontal="left"/>
    </xf>
    <xf numFmtId="0" fontId="10" fillId="7" borderId="0" xfId="0" applyFont="1" applyFill="1" applyBorder="1"/>
    <xf numFmtId="0" fontId="3" fillId="0" borderId="18" xfId="0" applyFont="1" applyBorder="1" applyAlignment="1">
      <alignment horizontal="left"/>
    </xf>
    <xf numFmtId="0" fontId="2" fillId="0" borderId="18" xfId="0" applyFont="1" applyBorder="1" applyAlignment="1">
      <alignment horizontal="center"/>
    </xf>
    <xf numFmtId="0" fontId="3" fillId="0" borderId="18" xfId="0" applyFont="1" applyBorder="1" applyAlignment="1">
      <alignment horizontal="center"/>
    </xf>
    <xf numFmtId="0" fontId="0" fillId="0" borderId="0" xfId="0" applyAlignment="1"/>
  </cellXfs>
  <cellStyles count="59">
    <cellStyle name="Besuchter Hyperlink" xfId="2" builtinId="9" hidden="1"/>
    <cellStyle name="Besuchter Hyperlink" xfId="4"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Besuchter Hyperlink" xfId="43" builtinId="9" hidden="1"/>
    <cellStyle name="Besuchter Hyperlink" xfId="45" builtinId="9" hidden="1"/>
    <cellStyle name="Besuchter Hyperlink" xfId="47" builtinId="9" hidden="1"/>
    <cellStyle name="Besuchter Hyperlink" xfId="49" builtinId="9" hidden="1"/>
    <cellStyle name="Besuchter Hyperlink" xfId="51" builtinId="9" hidden="1"/>
    <cellStyle name="Besuchter Hyperlink" xfId="53" builtinId="9" hidden="1"/>
    <cellStyle name="Besuchter Hyperlink" xfId="55" builtinId="9" hidden="1"/>
    <cellStyle name="Besuchter Hyperlink" xfId="57" builtinId="9" hidden="1"/>
    <cellStyle name="Link" xfId="1" builtinId="8" hidden="1"/>
    <cellStyle name="Link" xfId="3"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cellStyle name="Prozent" xfId="5" builtinId="5"/>
    <cellStyle name="Standard" xfId="0" builtinId="0"/>
  </cellStyles>
  <dxfs count="273">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theme="7" tint="0.79998168889431442"/>
      </font>
    </dxf>
    <dxf>
      <font>
        <color theme="5" tint="0.79998168889431442"/>
      </font>
    </dxf>
    <dxf>
      <font>
        <color theme="7" tint="0.79998168889431442"/>
      </font>
    </dxf>
    <dxf>
      <font>
        <color theme="7" tint="0.79998168889431442"/>
      </font>
    </dxf>
    <dxf>
      <font>
        <color theme="5" tint="0.79998168889431442"/>
      </font>
    </dxf>
    <dxf>
      <font>
        <color theme="5" tint="0.79998168889431442"/>
      </font>
    </dxf>
    <dxf>
      <font>
        <color theme="7" tint="0.79998168889431442"/>
      </font>
    </dxf>
    <dxf>
      <font>
        <color theme="5" tint="0.79998168889431442"/>
      </font>
    </dxf>
    <dxf>
      <font>
        <color theme="0" tint="-0.14996795556505021"/>
      </font>
    </dxf>
    <dxf>
      <fill>
        <patternFill>
          <bgColor theme="5"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tint="-0.1499679555650502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patternType="none">
          <bgColor auto="1"/>
        </patternFill>
      </fill>
      <border>
        <left/>
        <right/>
        <top/>
        <bottom/>
        <vertical/>
        <horizontal/>
      </border>
    </dxf>
    <dxf>
      <fill>
        <patternFill>
          <bgColor theme="5" tint="0.79998168889431442"/>
        </patternFill>
      </fill>
    </dxf>
    <dxf>
      <font>
        <color theme="1"/>
      </font>
      <fill>
        <patternFill>
          <bgColor theme="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1"/>
      </font>
      <fill>
        <patternFill>
          <bgColor theme="5" tint="0.79998168889431442"/>
        </patternFill>
      </fill>
      <border>
        <left style="thin">
          <color auto="1"/>
        </left>
        <right style="thin">
          <color auto="1"/>
        </right>
        <top style="thin">
          <color auto="1"/>
        </top>
        <bottom style="thin">
          <color auto="1"/>
        </bottom>
      </border>
    </dxf>
    <dxf>
      <font>
        <color theme="0" tint="-0.14996795556505021"/>
      </font>
    </dxf>
    <dxf>
      <font>
        <color theme="0" tint="-0.14996795556505021"/>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dxf>
    <dxf>
      <font>
        <color theme="0"/>
      </font>
      <fill>
        <patternFill patternType="solid">
          <bgColor theme="0"/>
        </patternFill>
      </fill>
      <border>
        <left style="thin">
          <color theme="0"/>
        </left>
        <right style="thin">
          <color theme="0"/>
        </right>
        <top style="thin">
          <color theme="0"/>
        </top>
        <bottom style="thin">
          <color theme="0"/>
        </bottom>
      </border>
    </dxf>
    <dxf>
      <font>
        <color auto="1"/>
      </font>
      <fill>
        <patternFill>
          <bgColor theme="5"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ont>
        <color theme="0" tint="-0.1499679555650502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tint="-0.14996795556505021"/>
      </font>
    </dxf>
    <dxf>
      <font>
        <color theme="0" tint="-0.14996795556505021"/>
      </font>
    </dxf>
    <dxf>
      <font>
        <color theme="0" tint="-0.14996795556505021"/>
      </font>
    </dxf>
    <dxf>
      <fill>
        <patternFill>
          <bgColor theme="5" tint="0.79998168889431442"/>
        </patternFill>
      </fill>
    </dxf>
    <dxf>
      <font>
        <color theme="0"/>
      </font>
      <fill>
        <patternFill>
          <bgColor theme="0"/>
        </patternFill>
      </fill>
      <border>
        <left/>
        <right/>
        <top/>
        <bottom/>
      </border>
    </dxf>
    <dxf>
      <font>
        <color theme="0"/>
      </font>
      <fill>
        <patternFill>
          <bgColor theme="0"/>
        </patternFill>
      </fill>
      <border>
        <left/>
        <right/>
        <top/>
        <bottom/>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bgColor theme="0"/>
        </patternFill>
      </fill>
      <border>
        <left/>
        <right/>
        <top/>
        <bottom/>
      </border>
    </dxf>
    <dxf>
      <font>
        <color theme="0" tint="-0.14996795556505021"/>
      </font>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FF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FF0000"/>
        </patternFill>
      </fill>
    </dxf>
    <dxf>
      <font>
        <color theme="0"/>
      </font>
      <fill>
        <patternFill>
          <bgColor theme="0"/>
        </patternFill>
      </fill>
      <border>
        <left/>
        <right/>
        <top/>
        <bottom/>
        <vertical/>
        <horizontal/>
      </border>
    </dxf>
    <dxf>
      <fill>
        <patternFill>
          <fgColor rgb="FFFFC7CE"/>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font>
      <fill>
        <patternFill patternType="none">
          <fgColor indexed="64"/>
          <bgColor auto="1"/>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bgColor theme="0"/>
        </patternFill>
      </fill>
      <border>
        <left/>
        <right/>
        <top/>
        <bottom/>
        <vertical/>
        <horizontal/>
      </border>
    </dxf>
    <dxf>
      <font>
        <color auto="1"/>
      </font>
      <fill>
        <patternFill patternType="solid">
          <fgColor theme="0"/>
          <bgColor theme="0"/>
        </patternFill>
      </fill>
    </dxf>
    <dxf>
      <font>
        <color rgb="FFFF0000"/>
      </font>
      <fill>
        <patternFill>
          <bgColor rgb="FFFFC7CE"/>
        </patternFill>
      </fill>
    </dxf>
    <dxf>
      <font>
        <color auto="1"/>
      </font>
      <fill>
        <patternFill patternType="none">
          <bgColor auto="1"/>
        </patternFill>
      </fill>
    </dxf>
    <dxf>
      <font>
        <color theme="0"/>
      </font>
      <fill>
        <patternFill patternType="none">
          <bgColor auto="1"/>
        </patternFill>
      </fill>
      <border>
        <left/>
        <right/>
        <top/>
        <bottom/>
        <vertical/>
        <horizontal/>
      </border>
    </dxf>
    <dxf>
      <font>
        <color rgb="FFFF0000"/>
      </font>
    </dxf>
    <dxf>
      <fill>
        <patternFill patternType="none">
          <bgColor auto="1"/>
        </patternFill>
      </fill>
    </dxf>
    <dxf>
      <fill>
        <patternFill>
          <bgColor rgb="FFFF0000"/>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7"/>
  <colors>
    <mruColors>
      <color rgb="FFF9B8AD"/>
      <color rgb="FFFF9C98"/>
      <color rgb="FFFFFF99"/>
      <color rgb="FFFFC7CE"/>
      <color rgb="FFE1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6.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7.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8.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9.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8.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9.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39</xdr:col>
      <xdr:colOff>96610</xdr:colOff>
      <xdr:row>11</xdr:row>
      <xdr:rowOff>174602</xdr:rowOff>
    </xdr:to>
    <xdr:sp macro="" textlink="">
      <xdr:nvSpPr>
        <xdr:cNvPr id="2" name="AutoShape 1" descr="mblems">
          <a:extLst>
            <a:ext uri="{FF2B5EF4-FFF2-40B4-BE49-F238E27FC236}">
              <a16:creationId xmlns:a16="http://schemas.microsoft.com/office/drawing/2014/main" id="{73E033E3-771D-4A2B-AC7F-B7853EA473DC}"/>
            </a:ext>
          </a:extLst>
        </xdr:cNvPr>
        <xdr:cNvSpPr>
          <a:spLocks noChangeAspect="1" noChangeArrowheads="1"/>
        </xdr:cNvSpPr>
      </xdr:nvSpPr>
      <xdr:spPr bwMode="auto">
        <a:xfrm>
          <a:off x="10267950" y="0"/>
          <a:ext cx="18345149" cy="30987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41</xdr:col>
      <xdr:colOff>114300</xdr:colOff>
      <xdr:row>14</xdr:row>
      <xdr:rowOff>1862</xdr:rowOff>
    </xdr:to>
    <xdr:sp macro="" textlink="">
      <xdr:nvSpPr>
        <xdr:cNvPr id="2" name="AutoShape 1" descr="mblems">
          <a:extLst>
            <a:ext uri="{FF2B5EF4-FFF2-40B4-BE49-F238E27FC236}">
              <a16:creationId xmlns:a16="http://schemas.microsoft.com/office/drawing/2014/main" id="{5C794BE3-9270-4ACA-8A8A-E31D1072E7E2}"/>
            </a:ext>
          </a:extLst>
        </xdr:cNvPr>
        <xdr:cNvSpPr>
          <a:spLocks noChangeAspect="1" noChangeArrowheads="1"/>
        </xdr:cNvSpPr>
      </xdr:nvSpPr>
      <xdr:spPr bwMode="auto">
        <a:xfrm>
          <a:off x="10210800" y="0"/>
          <a:ext cx="18345150" cy="310701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135719</xdr:colOff>
      <xdr:row>14</xdr:row>
      <xdr:rowOff>20991</xdr:rowOff>
    </xdr:to>
    <xdr:sp macro="" textlink="">
      <xdr:nvSpPr>
        <xdr:cNvPr id="2" name="AutoShape 1" descr="mblems">
          <a:extLst>
            <a:ext uri="{FF2B5EF4-FFF2-40B4-BE49-F238E27FC236}">
              <a16:creationId xmlns:a16="http://schemas.microsoft.com/office/drawing/2014/main" id="{00000000-0008-0000-08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41</xdr:col>
      <xdr:colOff>114300</xdr:colOff>
      <xdr:row>14</xdr:row>
      <xdr:rowOff>1862</xdr:rowOff>
    </xdr:to>
    <xdr:sp macro="" textlink="">
      <xdr:nvSpPr>
        <xdr:cNvPr id="2" name="AutoShape 1" descr="mblems">
          <a:extLst>
            <a:ext uri="{FF2B5EF4-FFF2-40B4-BE49-F238E27FC236}">
              <a16:creationId xmlns:a16="http://schemas.microsoft.com/office/drawing/2014/main" id="{00000000-0008-0000-09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54550</xdr:rowOff>
    </xdr:to>
    <xdr:sp macro="" textlink="">
      <xdr:nvSpPr>
        <xdr:cNvPr id="5" name="AutoShape 2" descr="tartseite">
          <a:extLst>
            <a:ext uri="{FF2B5EF4-FFF2-40B4-BE49-F238E27FC236}">
              <a16:creationId xmlns:a16="http://schemas.microsoft.com/office/drawing/2014/main" id="{00000000-0008-0000-09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114301</xdr:colOff>
      <xdr:row>13</xdr:row>
      <xdr:rowOff>9482</xdr:rowOff>
    </xdr:to>
    <xdr:sp macro="" textlink="">
      <xdr:nvSpPr>
        <xdr:cNvPr id="2" name="AutoShape 1" descr="mblems">
          <a:extLst>
            <a:ext uri="{FF2B5EF4-FFF2-40B4-BE49-F238E27FC236}">
              <a16:creationId xmlns:a16="http://schemas.microsoft.com/office/drawing/2014/main" id="{00000000-0008-0000-0A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114301</xdr:colOff>
      <xdr:row>13</xdr:row>
      <xdr:rowOff>12657</xdr:rowOff>
    </xdr:to>
    <xdr:sp macro="" textlink="">
      <xdr:nvSpPr>
        <xdr:cNvPr id="2" name="AutoShape 1" descr="mblems">
          <a:extLst>
            <a:ext uri="{FF2B5EF4-FFF2-40B4-BE49-F238E27FC236}">
              <a16:creationId xmlns:a16="http://schemas.microsoft.com/office/drawing/2014/main" id="{00000000-0008-0000-0B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17</xdr:col>
      <xdr:colOff>0</xdr:colOff>
      <xdr:row>0</xdr:row>
      <xdr:rowOff>0</xdr:rowOff>
    </xdr:from>
    <xdr:to>
      <xdr:col>61</xdr:col>
      <xdr:colOff>228601</xdr:colOff>
      <xdr:row>12</xdr:row>
      <xdr:rowOff>456710</xdr:rowOff>
    </xdr:to>
    <xdr:sp macro="" textlink="">
      <xdr:nvSpPr>
        <xdr:cNvPr id="2" name="AutoShape 1" descr="mblems">
          <a:extLst>
            <a:ext uri="{FF2B5EF4-FFF2-40B4-BE49-F238E27FC236}">
              <a16:creationId xmlns:a16="http://schemas.microsoft.com/office/drawing/2014/main" id="{00000000-0008-0000-0C00-000002000000}"/>
            </a:ext>
          </a:extLst>
        </xdr:cNvPr>
        <xdr:cNvSpPr>
          <a:spLocks noChangeAspect="1" noChangeArrowheads="1"/>
        </xdr:cNvSpPr>
      </xdr:nvSpPr>
      <xdr:spPr bwMode="auto">
        <a:xfrm>
          <a:off x="9956800" y="1447800"/>
          <a:ext cx="18275300" cy="262206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17</xdr:col>
      <xdr:colOff>0</xdr:colOff>
      <xdr:row>0</xdr:row>
      <xdr:rowOff>0</xdr:rowOff>
    </xdr:from>
    <xdr:to>
      <xdr:col>61</xdr:col>
      <xdr:colOff>228603</xdr:colOff>
      <xdr:row>12</xdr:row>
      <xdr:rowOff>456710</xdr:rowOff>
    </xdr:to>
    <xdr:sp macro="" textlink="">
      <xdr:nvSpPr>
        <xdr:cNvPr id="2" name="AutoShape 1" descr="mblems">
          <a:extLst>
            <a:ext uri="{FF2B5EF4-FFF2-40B4-BE49-F238E27FC236}">
              <a16:creationId xmlns:a16="http://schemas.microsoft.com/office/drawing/2014/main" id="{49A391AC-4548-4B1B-916F-632420771699}"/>
            </a:ext>
          </a:extLst>
        </xdr:cNvPr>
        <xdr:cNvSpPr>
          <a:spLocks noChangeAspect="1" noChangeArrowheads="1"/>
        </xdr:cNvSpPr>
      </xdr:nvSpPr>
      <xdr:spPr bwMode="auto">
        <a:xfrm>
          <a:off x="10229850" y="0"/>
          <a:ext cx="36690301" cy="257126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9482</xdr:rowOff>
    </xdr:to>
    <xdr:sp macro="" textlink="">
      <xdr:nvSpPr>
        <xdr:cNvPr id="2" name="AutoShape 1" descr="mblems">
          <a:extLst>
            <a:ext uri="{FF2B5EF4-FFF2-40B4-BE49-F238E27FC236}">
              <a16:creationId xmlns:a16="http://schemas.microsoft.com/office/drawing/2014/main" id="{00000000-0008-0000-0D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45025</xdr:rowOff>
    </xdr:to>
    <xdr:sp macro="" textlink="">
      <xdr:nvSpPr>
        <xdr:cNvPr id="5" name="AutoShape 2" descr="tartseite">
          <a:extLst>
            <a:ext uri="{FF2B5EF4-FFF2-40B4-BE49-F238E27FC236}">
              <a16:creationId xmlns:a16="http://schemas.microsoft.com/office/drawing/2014/main" id="{00000000-0008-0000-0D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9482</xdr:rowOff>
    </xdr:to>
    <xdr:sp macro="" textlink="">
      <xdr:nvSpPr>
        <xdr:cNvPr id="2" name="AutoShape 1" descr="mblems">
          <a:extLst>
            <a:ext uri="{FF2B5EF4-FFF2-40B4-BE49-F238E27FC236}">
              <a16:creationId xmlns:a16="http://schemas.microsoft.com/office/drawing/2014/main" id="{00000000-0008-0000-0E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45026</xdr:rowOff>
    </xdr:to>
    <xdr:sp macro="" textlink="">
      <xdr:nvSpPr>
        <xdr:cNvPr id="5" name="AutoShape 2" descr="tartseite">
          <a:extLst>
            <a:ext uri="{FF2B5EF4-FFF2-40B4-BE49-F238E27FC236}">
              <a16:creationId xmlns:a16="http://schemas.microsoft.com/office/drawing/2014/main" id="{00000000-0008-0000-0E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114301</xdr:colOff>
      <xdr:row>13</xdr:row>
      <xdr:rowOff>9482</xdr:rowOff>
    </xdr:to>
    <xdr:sp macro="" textlink="">
      <xdr:nvSpPr>
        <xdr:cNvPr id="2" name="AutoShape 1" descr="mblems">
          <a:extLst>
            <a:ext uri="{FF2B5EF4-FFF2-40B4-BE49-F238E27FC236}">
              <a16:creationId xmlns:a16="http://schemas.microsoft.com/office/drawing/2014/main" id="{00000000-0008-0000-0F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45025</xdr:rowOff>
    </xdr:to>
    <xdr:sp macro="" textlink="">
      <xdr:nvSpPr>
        <xdr:cNvPr id="5" name="AutoShape 2" descr="tartseite">
          <a:extLst>
            <a:ext uri="{FF2B5EF4-FFF2-40B4-BE49-F238E27FC236}">
              <a16:creationId xmlns:a16="http://schemas.microsoft.com/office/drawing/2014/main" id="{00000000-0008-0000-0F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40</xdr:col>
      <xdr:colOff>824865</xdr:colOff>
      <xdr:row>120</xdr:row>
      <xdr:rowOff>104775</xdr:rowOff>
    </xdr:from>
    <xdr:to>
      <xdr:col>42</xdr:col>
      <xdr:colOff>741045</xdr:colOff>
      <xdr:row>141</xdr:row>
      <xdr:rowOff>95272</xdr:rowOff>
    </xdr:to>
    <xdr:pic>
      <xdr:nvPicPr>
        <xdr:cNvPr id="3" name="Grafik 2" descr="In 3 Schritten: Formeln in Excel einfrieren und Festwerte übertragen -  computerwissen.de">
          <a:extLst>
            <a:ext uri="{FF2B5EF4-FFF2-40B4-BE49-F238E27FC236}">
              <a16:creationId xmlns:a16="http://schemas.microsoft.com/office/drawing/2014/main" id="{CF884C4E-39EB-4ED0-8FAE-CAC61FC78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1015" y="13706475"/>
          <a:ext cx="1581150" cy="3590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12657</xdr:rowOff>
    </xdr:to>
    <xdr:sp macro="" textlink="">
      <xdr:nvSpPr>
        <xdr:cNvPr id="2" name="AutoShape 1" descr="mblems">
          <a:extLst>
            <a:ext uri="{FF2B5EF4-FFF2-40B4-BE49-F238E27FC236}">
              <a16:creationId xmlns:a16="http://schemas.microsoft.com/office/drawing/2014/main" id="{00000000-0008-0000-10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48200</xdr:rowOff>
    </xdr:to>
    <xdr:sp macro="" textlink="">
      <xdr:nvSpPr>
        <xdr:cNvPr id="5" name="AutoShape 2" descr="tartseite">
          <a:extLst>
            <a:ext uri="{FF2B5EF4-FFF2-40B4-BE49-F238E27FC236}">
              <a16:creationId xmlns:a16="http://schemas.microsoft.com/office/drawing/2014/main" id="{00000000-0008-0000-10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12657</xdr:rowOff>
    </xdr:to>
    <xdr:sp macro="" textlink="">
      <xdr:nvSpPr>
        <xdr:cNvPr id="2" name="AutoShape 1" descr="mblems">
          <a:extLst>
            <a:ext uri="{FF2B5EF4-FFF2-40B4-BE49-F238E27FC236}">
              <a16:creationId xmlns:a16="http://schemas.microsoft.com/office/drawing/2014/main" id="{00000000-0008-0000-11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48200</xdr:rowOff>
    </xdr:to>
    <xdr:sp macro="" textlink="">
      <xdr:nvSpPr>
        <xdr:cNvPr id="5" name="AutoShape 2" descr="tartseite">
          <a:extLst>
            <a:ext uri="{FF2B5EF4-FFF2-40B4-BE49-F238E27FC236}">
              <a16:creationId xmlns:a16="http://schemas.microsoft.com/office/drawing/2014/main" id="{00000000-0008-0000-11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9482</xdr:rowOff>
    </xdr:to>
    <xdr:sp macro="" textlink="">
      <xdr:nvSpPr>
        <xdr:cNvPr id="2" name="AutoShape 1" descr="mblems">
          <a:extLst>
            <a:ext uri="{FF2B5EF4-FFF2-40B4-BE49-F238E27FC236}">
              <a16:creationId xmlns:a16="http://schemas.microsoft.com/office/drawing/2014/main" id="{00000000-0008-0000-12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45025</xdr:rowOff>
    </xdr:to>
    <xdr:sp macro="" textlink="">
      <xdr:nvSpPr>
        <xdr:cNvPr id="5" name="AutoShape 2" descr="tartseite">
          <a:extLst>
            <a:ext uri="{FF2B5EF4-FFF2-40B4-BE49-F238E27FC236}">
              <a16:creationId xmlns:a16="http://schemas.microsoft.com/office/drawing/2014/main" id="{00000000-0008-0000-12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9482</xdr:rowOff>
    </xdr:to>
    <xdr:sp macro="" textlink="">
      <xdr:nvSpPr>
        <xdr:cNvPr id="2" name="AutoShape 1" descr="mblems">
          <a:extLst>
            <a:ext uri="{FF2B5EF4-FFF2-40B4-BE49-F238E27FC236}">
              <a16:creationId xmlns:a16="http://schemas.microsoft.com/office/drawing/2014/main" id="{00000000-0008-0000-1300-000002000000}"/>
            </a:ext>
          </a:extLst>
        </xdr:cNvPr>
        <xdr:cNvSpPr>
          <a:spLocks noChangeAspect="1" noChangeArrowheads="1"/>
        </xdr:cNvSpPr>
      </xdr:nvSpPr>
      <xdr:spPr bwMode="auto">
        <a:xfrm>
          <a:off x="10325100" y="0"/>
          <a:ext cx="18345150" cy="30987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45025</xdr:rowOff>
    </xdr:to>
    <xdr:sp macro="" textlink="">
      <xdr:nvSpPr>
        <xdr:cNvPr id="3" name="AutoShape 2" descr="tartseite">
          <a:extLst>
            <a:ext uri="{FF2B5EF4-FFF2-40B4-BE49-F238E27FC236}">
              <a16:creationId xmlns:a16="http://schemas.microsoft.com/office/drawing/2014/main" id="{00000000-0008-0000-1300-000003000000}"/>
            </a:ext>
          </a:extLst>
        </xdr:cNvPr>
        <xdr:cNvSpPr>
          <a:spLocks noChangeAspect="1" noChangeArrowheads="1"/>
        </xdr:cNvSpPr>
      </xdr:nvSpPr>
      <xdr:spPr bwMode="auto">
        <a:xfrm>
          <a:off x="4060825" y="2649962"/>
          <a:ext cx="3827485" cy="1239988"/>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132416</xdr:colOff>
      <xdr:row>4</xdr:row>
      <xdr:rowOff>82737</xdr:rowOff>
    </xdr:from>
    <xdr:to>
      <xdr:col>7</xdr:col>
      <xdr:colOff>515320</xdr:colOff>
      <xdr:row>32</xdr:row>
      <xdr:rowOff>94746</xdr:rowOff>
    </xdr:to>
    <xdr:pic>
      <xdr:nvPicPr>
        <xdr:cNvPr id="2" name="SIA382-1_Tabelle3">
          <a:extLst>
            <a:ext uri="{FF2B5EF4-FFF2-40B4-BE49-F238E27FC236}">
              <a16:creationId xmlns:a16="http://schemas.microsoft.com/office/drawing/2014/main" id="{7DDA2CBD-F48C-42CA-B2BF-2BF4309707D6}"/>
            </a:ext>
          </a:extLst>
        </xdr:cNvPr>
        <xdr:cNvPicPr>
          <a:picLocks noChangeAspect="1"/>
        </xdr:cNvPicPr>
      </xdr:nvPicPr>
      <xdr:blipFill>
        <a:blip xmlns:r="http://schemas.openxmlformats.org/officeDocument/2006/relationships" r:embed="rId1"/>
        <a:stretch>
          <a:fillRect/>
        </a:stretch>
      </xdr:blipFill>
      <xdr:spPr>
        <a:xfrm>
          <a:off x="132416" y="889561"/>
          <a:ext cx="6016064" cy="5668028"/>
        </a:xfrm>
        <a:prstGeom prst="rect">
          <a:avLst/>
        </a:prstGeom>
      </xdr:spPr>
    </xdr:pic>
    <xdr:clientData/>
  </xdr:twoCellAnchor>
  <xdr:twoCellAnchor editAs="oneCell">
    <xdr:from>
      <xdr:col>0</xdr:col>
      <xdr:colOff>76199</xdr:colOff>
      <xdr:row>34</xdr:row>
      <xdr:rowOff>98424</xdr:rowOff>
    </xdr:from>
    <xdr:to>
      <xdr:col>7</xdr:col>
      <xdr:colOff>400049</xdr:colOff>
      <xdr:row>47</xdr:row>
      <xdr:rowOff>97847</xdr:rowOff>
    </xdr:to>
    <xdr:pic>
      <xdr:nvPicPr>
        <xdr:cNvPr id="3" name="Grafik 2">
          <a:extLst>
            <a:ext uri="{FF2B5EF4-FFF2-40B4-BE49-F238E27FC236}">
              <a16:creationId xmlns:a16="http://schemas.microsoft.com/office/drawing/2014/main" id="{AF1EE9E4-F34F-4187-B96F-F358D98786B8}"/>
            </a:ext>
          </a:extLst>
        </xdr:cNvPr>
        <xdr:cNvPicPr>
          <a:picLocks noChangeAspect="1"/>
        </xdr:cNvPicPr>
      </xdr:nvPicPr>
      <xdr:blipFill>
        <a:blip xmlns:r="http://schemas.openxmlformats.org/officeDocument/2006/relationships" r:embed="rId2"/>
        <a:stretch>
          <a:fillRect/>
        </a:stretch>
      </xdr:blipFill>
      <xdr:spPr>
        <a:xfrm>
          <a:off x="76199" y="6899274"/>
          <a:ext cx="5991225" cy="2609273"/>
        </a:xfrm>
        <a:prstGeom prst="rect">
          <a:avLst/>
        </a:prstGeom>
      </xdr:spPr>
    </xdr:pic>
    <xdr:clientData/>
  </xdr:twoCellAnchor>
  <xdr:twoCellAnchor editAs="oneCell">
    <xdr:from>
      <xdr:col>0</xdr:col>
      <xdr:colOff>73025</xdr:colOff>
      <xdr:row>49</xdr:row>
      <xdr:rowOff>76200</xdr:rowOff>
    </xdr:from>
    <xdr:to>
      <xdr:col>7</xdr:col>
      <xdr:colOff>474233</xdr:colOff>
      <xdr:row>69</xdr:row>
      <xdr:rowOff>54100</xdr:rowOff>
    </xdr:to>
    <xdr:pic>
      <xdr:nvPicPr>
        <xdr:cNvPr id="4" name="SIA382/1_Tabelle17">
          <a:extLst>
            <a:ext uri="{FF2B5EF4-FFF2-40B4-BE49-F238E27FC236}">
              <a16:creationId xmlns:a16="http://schemas.microsoft.com/office/drawing/2014/main" id="{8C9D186D-65A1-4312-90EA-3B4306063A3D}"/>
            </a:ext>
          </a:extLst>
        </xdr:cNvPr>
        <xdr:cNvPicPr>
          <a:picLocks noChangeAspect="1"/>
        </xdr:cNvPicPr>
      </xdr:nvPicPr>
      <xdr:blipFill>
        <a:blip xmlns:r="http://schemas.openxmlformats.org/officeDocument/2006/relationships" r:embed="rId3"/>
        <a:stretch>
          <a:fillRect/>
        </a:stretch>
      </xdr:blipFill>
      <xdr:spPr>
        <a:xfrm>
          <a:off x="73025" y="9959788"/>
          <a:ext cx="6056593" cy="4012018"/>
        </a:xfrm>
        <a:prstGeom prst="rect">
          <a:avLst/>
        </a:prstGeom>
      </xdr:spPr>
    </xdr:pic>
    <xdr:clientData/>
  </xdr:twoCellAnchor>
  <xdr:twoCellAnchor editAs="oneCell">
    <xdr:from>
      <xdr:col>0</xdr:col>
      <xdr:colOff>63500</xdr:colOff>
      <xdr:row>72</xdr:row>
      <xdr:rowOff>44450</xdr:rowOff>
    </xdr:from>
    <xdr:to>
      <xdr:col>8</xdr:col>
      <xdr:colOff>130402</xdr:colOff>
      <xdr:row>81</xdr:row>
      <xdr:rowOff>17145</xdr:rowOff>
    </xdr:to>
    <xdr:pic>
      <xdr:nvPicPr>
        <xdr:cNvPr id="5" name="Grafik 4">
          <a:extLst>
            <a:ext uri="{FF2B5EF4-FFF2-40B4-BE49-F238E27FC236}">
              <a16:creationId xmlns:a16="http://schemas.microsoft.com/office/drawing/2014/main" id="{E849C1C6-0115-4F08-9D74-795F1C516F14}"/>
            </a:ext>
          </a:extLst>
        </xdr:cNvPr>
        <xdr:cNvPicPr>
          <a:picLocks noChangeAspect="1"/>
        </xdr:cNvPicPr>
      </xdr:nvPicPr>
      <xdr:blipFill>
        <a:blip xmlns:r="http://schemas.openxmlformats.org/officeDocument/2006/relationships" r:embed="rId4"/>
        <a:stretch>
          <a:fillRect/>
        </a:stretch>
      </xdr:blipFill>
      <xdr:spPr>
        <a:xfrm>
          <a:off x="63500" y="14446250"/>
          <a:ext cx="6538187" cy="1784350"/>
        </a:xfrm>
        <a:prstGeom prst="rect">
          <a:avLst/>
        </a:prstGeom>
      </xdr:spPr>
    </xdr:pic>
    <xdr:clientData/>
  </xdr:twoCellAnchor>
  <xdr:twoCellAnchor editAs="oneCell">
    <xdr:from>
      <xdr:col>0</xdr:col>
      <xdr:colOff>196851</xdr:colOff>
      <xdr:row>83</xdr:row>
      <xdr:rowOff>120650</xdr:rowOff>
    </xdr:from>
    <xdr:to>
      <xdr:col>7</xdr:col>
      <xdr:colOff>662940</xdr:colOff>
      <xdr:row>107</xdr:row>
      <xdr:rowOff>129696</xdr:rowOff>
    </xdr:to>
    <xdr:pic>
      <xdr:nvPicPr>
        <xdr:cNvPr id="6" name="Grafik 5">
          <a:extLst>
            <a:ext uri="{FF2B5EF4-FFF2-40B4-BE49-F238E27FC236}">
              <a16:creationId xmlns:a16="http://schemas.microsoft.com/office/drawing/2014/main" id="{A3A07BB8-D3A8-4CDA-AB4A-51ECB13CC7C6}"/>
            </a:ext>
          </a:extLst>
        </xdr:cNvPr>
        <xdr:cNvPicPr>
          <a:picLocks noChangeAspect="1"/>
        </xdr:cNvPicPr>
      </xdr:nvPicPr>
      <xdr:blipFill>
        <a:blip xmlns:r="http://schemas.openxmlformats.org/officeDocument/2006/relationships" r:embed="rId5"/>
        <a:stretch>
          <a:fillRect/>
        </a:stretch>
      </xdr:blipFill>
      <xdr:spPr>
        <a:xfrm>
          <a:off x="196851" y="16722725"/>
          <a:ext cx="6127749" cy="4797581"/>
        </a:xfrm>
        <a:prstGeom prst="rect">
          <a:avLst/>
        </a:prstGeom>
      </xdr:spPr>
    </xdr:pic>
    <xdr:clientData/>
  </xdr:twoCellAnchor>
  <xdr:twoCellAnchor editAs="oneCell">
    <xdr:from>
      <xdr:col>0</xdr:col>
      <xdr:colOff>0</xdr:colOff>
      <xdr:row>109</xdr:row>
      <xdr:rowOff>0</xdr:rowOff>
    </xdr:from>
    <xdr:to>
      <xdr:col>7</xdr:col>
      <xdr:colOff>743563</xdr:colOff>
      <xdr:row>126</xdr:row>
      <xdr:rowOff>114300</xdr:rowOff>
    </xdr:to>
    <xdr:pic>
      <xdr:nvPicPr>
        <xdr:cNvPr id="7" name="Grafik 6">
          <a:extLst>
            <a:ext uri="{FF2B5EF4-FFF2-40B4-BE49-F238E27FC236}">
              <a16:creationId xmlns:a16="http://schemas.microsoft.com/office/drawing/2014/main" id="{631AC7CC-DB17-47F9-8704-021C5C5C9FE2}"/>
            </a:ext>
          </a:extLst>
        </xdr:cNvPr>
        <xdr:cNvPicPr>
          <a:picLocks noChangeAspect="1"/>
        </xdr:cNvPicPr>
      </xdr:nvPicPr>
      <xdr:blipFill>
        <a:blip xmlns:r="http://schemas.openxmlformats.org/officeDocument/2006/relationships" r:embed="rId6"/>
        <a:stretch>
          <a:fillRect/>
        </a:stretch>
      </xdr:blipFill>
      <xdr:spPr>
        <a:xfrm>
          <a:off x="0" y="21802725"/>
          <a:ext cx="6399508" cy="3514725"/>
        </a:xfrm>
        <a:prstGeom prst="rect">
          <a:avLst/>
        </a:prstGeom>
      </xdr:spPr>
    </xdr:pic>
    <xdr:clientData/>
  </xdr:twoCellAnchor>
  <xdr:twoCellAnchor editAs="oneCell">
    <xdr:from>
      <xdr:col>0</xdr:col>
      <xdr:colOff>104775</xdr:colOff>
      <xdr:row>128</xdr:row>
      <xdr:rowOff>104775</xdr:rowOff>
    </xdr:from>
    <xdr:to>
      <xdr:col>5</xdr:col>
      <xdr:colOff>189984</xdr:colOff>
      <xdr:row>163</xdr:row>
      <xdr:rowOff>154695</xdr:rowOff>
    </xdr:to>
    <xdr:pic>
      <xdr:nvPicPr>
        <xdr:cNvPr id="8" name="Grafik 7">
          <a:extLst>
            <a:ext uri="{FF2B5EF4-FFF2-40B4-BE49-F238E27FC236}">
              <a16:creationId xmlns:a16="http://schemas.microsoft.com/office/drawing/2014/main" id="{10CD24E0-3C17-4677-A64C-55B31CA5EB9B}"/>
            </a:ext>
          </a:extLst>
        </xdr:cNvPr>
        <xdr:cNvPicPr>
          <a:picLocks noChangeAspect="1"/>
        </xdr:cNvPicPr>
      </xdr:nvPicPr>
      <xdr:blipFill>
        <a:blip xmlns:r="http://schemas.openxmlformats.org/officeDocument/2006/relationships" r:embed="rId7"/>
        <a:stretch>
          <a:fillRect/>
        </a:stretch>
      </xdr:blipFill>
      <xdr:spPr>
        <a:xfrm>
          <a:off x="104775" y="25707975"/>
          <a:ext cx="4133334" cy="7050795"/>
        </a:xfrm>
        <a:prstGeom prst="rect">
          <a:avLst/>
        </a:prstGeom>
      </xdr:spPr>
    </xdr:pic>
    <xdr:clientData/>
  </xdr:twoCellAnchor>
  <xdr:twoCellAnchor editAs="oneCell">
    <xdr:from>
      <xdr:col>5</xdr:col>
      <xdr:colOff>213844</xdr:colOff>
      <xdr:row>129</xdr:row>
      <xdr:rowOff>185831</xdr:rowOff>
    </xdr:from>
    <xdr:to>
      <xdr:col>10</xdr:col>
      <xdr:colOff>171687</xdr:colOff>
      <xdr:row>168</xdr:row>
      <xdr:rowOff>92822</xdr:rowOff>
    </xdr:to>
    <xdr:pic>
      <xdr:nvPicPr>
        <xdr:cNvPr id="9" name="Grafik 8">
          <a:extLst>
            <a:ext uri="{FF2B5EF4-FFF2-40B4-BE49-F238E27FC236}">
              <a16:creationId xmlns:a16="http://schemas.microsoft.com/office/drawing/2014/main" id="{A8DE390A-BD27-4F13-AA05-5623323009EA}"/>
            </a:ext>
          </a:extLst>
        </xdr:cNvPr>
        <xdr:cNvPicPr>
          <a:picLocks noChangeAspect="1"/>
        </xdr:cNvPicPr>
      </xdr:nvPicPr>
      <xdr:blipFill>
        <a:blip xmlns:r="http://schemas.openxmlformats.org/officeDocument/2006/relationships" r:embed="rId8"/>
        <a:stretch>
          <a:fillRect/>
        </a:stretch>
      </xdr:blipFill>
      <xdr:spPr>
        <a:xfrm>
          <a:off x="4247962" y="26205890"/>
          <a:ext cx="3986880" cy="7773520"/>
        </a:xfrm>
        <a:prstGeom prst="rect">
          <a:avLst/>
        </a:prstGeom>
      </xdr:spPr>
    </xdr:pic>
    <xdr:clientData/>
  </xdr:twoCellAnchor>
  <xdr:twoCellAnchor editAs="oneCell">
    <xdr:from>
      <xdr:col>0</xdr:col>
      <xdr:colOff>280147</xdr:colOff>
      <xdr:row>170</xdr:row>
      <xdr:rowOff>190501</xdr:rowOff>
    </xdr:from>
    <xdr:to>
      <xdr:col>8</xdr:col>
      <xdr:colOff>53713</xdr:colOff>
      <xdr:row>191</xdr:row>
      <xdr:rowOff>957</xdr:rowOff>
    </xdr:to>
    <xdr:pic>
      <xdr:nvPicPr>
        <xdr:cNvPr id="10" name="Grafik 9">
          <a:extLst>
            <a:ext uri="{FF2B5EF4-FFF2-40B4-BE49-F238E27FC236}">
              <a16:creationId xmlns:a16="http://schemas.microsoft.com/office/drawing/2014/main" id="{5B508D18-B571-4FCD-8786-CA2081243E92}"/>
            </a:ext>
          </a:extLst>
        </xdr:cNvPr>
        <xdr:cNvPicPr>
          <a:picLocks noChangeAspect="1"/>
        </xdr:cNvPicPr>
      </xdr:nvPicPr>
      <xdr:blipFill>
        <a:blip xmlns:r="http://schemas.openxmlformats.org/officeDocument/2006/relationships" r:embed="rId9"/>
        <a:stretch>
          <a:fillRect/>
        </a:stretch>
      </xdr:blipFill>
      <xdr:spPr>
        <a:xfrm>
          <a:off x="280147" y="34480501"/>
          <a:ext cx="6222439" cy="4043105"/>
        </a:xfrm>
        <a:prstGeom prst="rect">
          <a:avLst/>
        </a:prstGeom>
      </xdr:spPr>
    </xdr:pic>
    <xdr:clientData/>
  </xdr:twoCellAnchor>
  <xdr:twoCellAnchor editAs="oneCell">
    <xdr:from>
      <xdr:col>0</xdr:col>
      <xdr:colOff>355412</xdr:colOff>
      <xdr:row>190</xdr:row>
      <xdr:rowOff>10988</xdr:rowOff>
    </xdr:from>
    <xdr:to>
      <xdr:col>8</xdr:col>
      <xdr:colOff>515059</xdr:colOff>
      <xdr:row>198</xdr:row>
      <xdr:rowOff>57020</xdr:rowOff>
    </xdr:to>
    <xdr:pic>
      <xdr:nvPicPr>
        <xdr:cNvPr id="11" name="Grafik 10">
          <a:extLst>
            <a:ext uri="{FF2B5EF4-FFF2-40B4-BE49-F238E27FC236}">
              <a16:creationId xmlns:a16="http://schemas.microsoft.com/office/drawing/2014/main" id="{618C4297-9458-48BA-9E83-C22D5AF869B7}"/>
            </a:ext>
          </a:extLst>
        </xdr:cNvPr>
        <xdr:cNvPicPr>
          <a:picLocks noChangeAspect="1"/>
        </xdr:cNvPicPr>
      </xdr:nvPicPr>
      <xdr:blipFill>
        <a:blip xmlns:r="http://schemas.openxmlformats.org/officeDocument/2006/relationships" r:embed="rId10"/>
        <a:stretch>
          <a:fillRect/>
        </a:stretch>
      </xdr:blipFill>
      <xdr:spPr>
        <a:xfrm>
          <a:off x="355412" y="38335106"/>
          <a:ext cx="6606615" cy="1659679"/>
        </a:xfrm>
        <a:prstGeom prst="rect">
          <a:avLst/>
        </a:prstGeom>
      </xdr:spPr>
    </xdr:pic>
    <xdr:clientData/>
  </xdr:twoCellAnchor>
  <xdr:twoCellAnchor editAs="oneCell">
    <xdr:from>
      <xdr:col>0</xdr:col>
      <xdr:colOff>302558</xdr:colOff>
      <xdr:row>199</xdr:row>
      <xdr:rowOff>67234</xdr:rowOff>
    </xdr:from>
    <xdr:to>
      <xdr:col>7</xdr:col>
      <xdr:colOff>740786</xdr:colOff>
      <xdr:row>216</xdr:row>
      <xdr:rowOff>93127</xdr:rowOff>
    </xdr:to>
    <xdr:pic>
      <xdr:nvPicPr>
        <xdr:cNvPr id="12" name="Grafik 11">
          <a:extLst>
            <a:ext uri="{FF2B5EF4-FFF2-40B4-BE49-F238E27FC236}">
              <a16:creationId xmlns:a16="http://schemas.microsoft.com/office/drawing/2014/main" id="{BEA11CDB-F26C-475E-AA72-82487BE899AF}"/>
            </a:ext>
          </a:extLst>
        </xdr:cNvPr>
        <xdr:cNvPicPr>
          <a:picLocks noChangeAspect="1"/>
        </xdr:cNvPicPr>
      </xdr:nvPicPr>
      <xdr:blipFill>
        <a:blip xmlns:r="http://schemas.openxmlformats.org/officeDocument/2006/relationships" r:embed="rId11"/>
        <a:stretch>
          <a:fillRect/>
        </a:stretch>
      </xdr:blipFill>
      <xdr:spPr>
        <a:xfrm>
          <a:off x="302558" y="40206705"/>
          <a:ext cx="6468674" cy="3445368"/>
        </a:xfrm>
        <a:prstGeom prst="rect">
          <a:avLst/>
        </a:prstGeom>
      </xdr:spPr>
    </xdr:pic>
    <xdr:clientData/>
  </xdr:twoCellAnchor>
  <xdr:twoCellAnchor editAs="oneCell">
    <xdr:from>
      <xdr:col>0</xdr:col>
      <xdr:colOff>0</xdr:colOff>
      <xdr:row>220</xdr:row>
      <xdr:rowOff>0</xdr:rowOff>
    </xdr:from>
    <xdr:to>
      <xdr:col>7</xdr:col>
      <xdr:colOff>761513</xdr:colOff>
      <xdr:row>254</xdr:row>
      <xdr:rowOff>20367</xdr:rowOff>
    </xdr:to>
    <xdr:pic>
      <xdr:nvPicPr>
        <xdr:cNvPr id="13" name="Grafik 12">
          <a:extLst>
            <a:ext uri="{FF2B5EF4-FFF2-40B4-BE49-F238E27FC236}">
              <a16:creationId xmlns:a16="http://schemas.microsoft.com/office/drawing/2014/main" id="{2159A1A5-9214-4CD6-860A-505D916B969C}"/>
            </a:ext>
          </a:extLst>
        </xdr:cNvPr>
        <xdr:cNvPicPr>
          <a:picLocks noChangeAspect="1"/>
        </xdr:cNvPicPr>
      </xdr:nvPicPr>
      <xdr:blipFill>
        <a:blip xmlns:r="http://schemas.openxmlformats.org/officeDocument/2006/relationships" r:embed="rId12"/>
        <a:stretch>
          <a:fillRect/>
        </a:stretch>
      </xdr:blipFill>
      <xdr:spPr>
        <a:xfrm>
          <a:off x="0" y="44375294"/>
          <a:ext cx="6801484" cy="68821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114300</xdr:colOff>
      <xdr:row>14</xdr:row>
      <xdr:rowOff>1864</xdr:rowOff>
    </xdr:to>
    <xdr:sp macro="" textlink="">
      <xdr:nvSpPr>
        <xdr:cNvPr id="2" name="AutoShape 1" descr="mblems">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10299700" y="1447800"/>
          <a:ext cx="18275300" cy="3076755"/>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114300</xdr:colOff>
      <xdr:row>14</xdr:row>
      <xdr:rowOff>30437</xdr:rowOff>
    </xdr:to>
    <xdr:sp macro="" textlink="">
      <xdr:nvSpPr>
        <xdr:cNvPr id="2" name="AutoShape 1" descr="mblems">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42</xdr:col>
      <xdr:colOff>114300</xdr:colOff>
      <xdr:row>14</xdr:row>
      <xdr:rowOff>30437</xdr:rowOff>
    </xdr:to>
    <xdr:sp macro="" textlink="">
      <xdr:nvSpPr>
        <xdr:cNvPr id="2" name="AutoShape 1" descr="mblems">
          <a:extLst>
            <a:ext uri="{FF2B5EF4-FFF2-40B4-BE49-F238E27FC236}">
              <a16:creationId xmlns:a16="http://schemas.microsoft.com/office/drawing/2014/main" id="{E7A178CB-ECC7-4564-BBB4-C842E2A30E19}"/>
            </a:ext>
          </a:extLst>
        </xdr:cNvPr>
        <xdr:cNvSpPr>
          <a:spLocks noChangeAspect="1" noChangeArrowheads="1"/>
        </xdr:cNvSpPr>
      </xdr:nvSpPr>
      <xdr:spPr bwMode="auto">
        <a:xfrm>
          <a:off x="10287000" y="0"/>
          <a:ext cx="18345150" cy="307843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2</xdr:col>
      <xdr:colOff>110491</xdr:colOff>
      <xdr:row>61</xdr:row>
      <xdr:rowOff>8773</xdr:rowOff>
    </xdr:from>
    <xdr:to>
      <xdr:col>3</xdr:col>
      <xdr:colOff>1483996</xdr:colOff>
      <xdr:row>69</xdr:row>
      <xdr:rowOff>168769</xdr:rowOff>
    </xdr:to>
    <xdr:pic>
      <xdr:nvPicPr>
        <xdr:cNvPr id="3" name="Grafik 2" descr="envelope">
          <a:extLst>
            <a:ext uri="{FF2B5EF4-FFF2-40B4-BE49-F238E27FC236}">
              <a16:creationId xmlns:a16="http://schemas.microsoft.com/office/drawing/2014/main" id="{0AF1EBA6-93F6-4183-9492-1BF2EC255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1" y="7428748"/>
          <a:ext cx="2887980" cy="918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0</xdr:colOff>
      <xdr:row>0</xdr:row>
      <xdr:rowOff>0</xdr:rowOff>
    </xdr:from>
    <xdr:to>
      <xdr:col>39</xdr:col>
      <xdr:colOff>114300</xdr:colOff>
      <xdr:row>12</xdr:row>
      <xdr:rowOff>209470</xdr:rowOff>
    </xdr:to>
    <xdr:sp macro="" textlink="">
      <xdr:nvSpPr>
        <xdr:cNvPr id="1025" name="AutoShape 1" descr="mblems">
          <a:extLst>
            <a:ext uri="{FF2B5EF4-FFF2-40B4-BE49-F238E27FC236}">
              <a16:creationId xmlns:a16="http://schemas.microsoft.com/office/drawing/2014/main" id="{00000000-0008-0000-0300-000001040000}"/>
            </a:ext>
          </a:extLst>
        </xdr:cNvPr>
        <xdr:cNvSpPr>
          <a:spLocks noChangeAspect="1" noChangeArrowheads="1"/>
        </xdr:cNvSpPr>
      </xdr:nvSpPr>
      <xdr:spPr bwMode="auto">
        <a:xfrm>
          <a:off x="10299700" y="1422400"/>
          <a:ext cx="18275300" cy="30734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0</xdr:colOff>
      <xdr:row>0</xdr:row>
      <xdr:rowOff>0</xdr:rowOff>
    </xdr:from>
    <xdr:to>
      <xdr:col>39</xdr:col>
      <xdr:colOff>114301</xdr:colOff>
      <xdr:row>11</xdr:row>
      <xdr:rowOff>402250</xdr:rowOff>
    </xdr:to>
    <xdr:sp macro="" textlink="">
      <xdr:nvSpPr>
        <xdr:cNvPr id="2" name="AutoShape 1" descr="mblems">
          <a:extLst>
            <a:ext uri="{FF2B5EF4-FFF2-40B4-BE49-F238E27FC236}">
              <a16:creationId xmlns:a16="http://schemas.microsoft.com/office/drawing/2014/main" id="{00000000-0008-0000-0400-000002000000}"/>
            </a:ext>
          </a:extLst>
        </xdr:cNvPr>
        <xdr:cNvSpPr>
          <a:spLocks noChangeAspect="1" noChangeArrowheads="1"/>
        </xdr:cNvSpPr>
      </xdr:nvSpPr>
      <xdr:spPr bwMode="auto">
        <a:xfrm>
          <a:off x="9956800" y="1447800"/>
          <a:ext cx="18275300" cy="262206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43</xdr:col>
      <xdr:colOff>114300</xdr:colOff>
      <xdr:row>14</xdr:row>
      <xdr:rowOff>537</xdr:rowOff>
    </xdr:to>
    <xdr:sp macro="" textlink="">
      <xdr:nvSpPr>
        <xdr:cNvPr id="2" name="AutoShape 1" descr="mblems">
          <a:extLst>
            <a:ext uri="{FF2B5EF4-FFF2-40B4-BE49-F238E27FC236}">
              <a16:creationId xmlns:a16="http://schemas.microsoft.com/office/drawing/2014/main" id="{00000000-0008-0000-06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40</xdr:col>
      <xdr:colOff>97155</xdr:colOff>
      <xdr:row>18</xdr:row>
      <xdr:rowOff>160142</xdr:rowOff>
    </xdr:to>
    <xdr:sp macro="" textlink="">
      <xdr:nvSpPr>
        <xdr:cNvPr id="2" name="AutoShape 1" descr="mblems">
          <a:extLst>
            <a:ext uri="{FF2B5EF4-FFF2-40B4-BE49-F238E27FC236}">
              <a16:creationId xmlns:a16="http://schemas.microsoft.com/office/drawing/2014/main" id="{00000000-0008-0000-07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9.bin"/><Relationship Id="rId1" Type="http://schemas.openxmlformats.org/officeDocument/2006/relationships/hyperlink" Target="https://www.energie-zentralschweiz.ch/vollzug/energienachweise-muken-2014.html"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kgtv.ch/app/download/11167973994/SVK_181024_Merkblatt_Abw%C3%A4rmenutzung_de.pdf?t=1541433767" TargetMode="External"/><Relationship Id="rId1" Type="http://schemas.openxmlformats.org/officeDocument/2006/relationships/hyperlink" Target="https://www.energie-zentralschweiz.ch/vollzug/energienachweise-muken-2014.html" TargetMode="External"/><Relationship Id="rId5" Type="http://schemas.openxmlformats.org/officeDocument/2006/relationships/vmlDrawing" Target="../drawings/vmlDrawing13.vml"/><Relationship Id="rId4"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4.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5.vml"/></Relationships>
</file>

<file path=xl/worksheets/_rels/sheet1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www.bauformeln.de/statik/querschnittswerte/" TargetMode="External"/><Relationship Id="rId7" Type="http://schemas.openxmlformats.org/officeDocument/2006/relationships/vmlDrawing" Target="../drawings/vmlDrawing17.vml"/><Relationship Id="rId2" Type="http://schemas.openxmlformats.org/officeDocument/2006/relationships/hyperlink" Target="https://www.energie-zentralschweiz.ch/vollzug/energienachweise-muken-2014.html" TargetMode="External"/><Relationship Id="rId1" Type="http://schemas.openxmlformats.org/officeDocument/2006/relationships/hyperlink" Target="https://www.energie-zentralschweiz.ch/vollzug/energienachweise-muken-2014.html" TargetMode="External"/><Relationship Id="rId6" Type="http://schemas.openxmlformats.org/officeDocument/2006/relationships/vmlDrawing" Target="../drawings/vmlDrawing16.vml"/><Relationship Id="rId5" Type="http://schemas.openxmlformats.org/officeDocument/2006/relationships/drawing" Target="../drawings/drawing11.xml"/><Relationship Id="rId4"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4.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8.v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9.v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6.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0.v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1.v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2.v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nergie-zentralschweiz.ch/vollzug/vollzug%20nidwalden" TargetMode="External"/><Relationship Id="rId13" Type="http://schemas.openxmlformats.org/officeDocument/2006/relationships/hyperlink" Target="https://www.energie-zentralschweiz.ch/vollzug/energienachweise-muken-2014.html" TargetMode="External"/><Relationship Id="rId3" Type="http://schemas.openxmlformats.org/officeDocument/2006/relationships/hyperlink" Target="https://uwe.lu.ch/-/media/UWE/Dokumente/Themen/Energie/Energiegesetz_EnG/Luzerner_Hinweise_Vollzugspraxis_KEnG.pdf?rev=d9100df4160140468d08e2b001b5c882" TargetMode="External"/><Relationship Id="rId7" Type="http://schemas.openxmlformats.org/officeDocument/2006/relationships/hyperlink" Target="https://www.energie-zentralschweiz.ch/vollzug/vollzug-schwyz.html" TargetMode="External"/><Relationship Id="rId12" Type="http://schemas.openxmlformats.org/officeDocument/2006/relationships/hyperlink" Target="https://uwe.lu.ch/-/media/UWE/Dokumente/Energiegesetz/Ablaufdiagramme_Energienachweis.pdf?rev=b47413dc7f0b483b9f0e3e87ffea17a6" TargetMode="External"/><Relationship Id="rId17" Type="http://schemas.openxmlformats.org/officeDocument/2006/relationships/vmlDrawing" Target="../drawings/vmlDrawing1.vml"/><Relationship Id="rId2" Type="http://schemas.openxmlformats.org/officeDocument/2006/relationships/hyperlink" Target="https://www.energie-zentralschweiz.ch/vollzug/energienachweise-muken-2014.html" TargetMode="External"/><Relationship Id="rId16" Type="http://schemas.openxmlformats.org/officeDocument/2006/relationships/drawing" Target="../drawings/drawing1.xml"/><Relationship Id="rId1" Type="http://schemas.openxmlformats.org/officeDocument/2006/relationships/hyperlink" Target="http://www.uwe.lu.ch/themen/energie/Energienachweis_ab_2019" TargetMode="External"/><Relationship Id="rId6" Type="http://schemas.openxmlformats.org/officeDocument/2006/relationships/hyperlink" Target="https://www.energie-zentralschweiz.ch/vollzug/energienachweise-muken-2014.html" TargetMode="External"/><Relationship Id="rId11" Type="http://schemas.openxmlformats.org/officeDocument/2006/relationships/hyperlink" Target="https://uwe.lu.ch/-/media/UWE/Dokumente/Themen/Energie/Ablaufdiagramm_Ausnahmegesuche_KEnG.pdf?rev=fac6429002394086aaf290378d1b1d8b" TargetMode="External"/><Relationship Id="rId5" Type="http://schemas.openxmlformats.org/officeDocument/2006/relationships/hyperlink" Target="https://www.energie-zentralschweiz.ch/vollzug/energienachweise-muken-2014.html" TargetMode="External"/><Relationship Id="rId15" Type="http://schemas.openxmlformats.org/officeDocument/2006/relationships/printerSettings" Target="../printerSettings/printerSettings1.bin"/><Relationship Id="rId10" Type="http://schemas.openxmlformats.org/officeDocument/2006/relationships/hyperlink" Target="https://www.energie-zentralschweiz.ch/vollzug/energienachweise-muken-2014.html" TargetMode="External"/><Relationship Id="rId4" Type="http://schemas.openxmlformats.org/officeDocument/2006/relationships/hyperlink" Target="https://www.energie-zentralschweiz.ch/vollzug/energienachweise-muken-2014.html" TargetMode="External"/><Relationship Id="rId9" Type="http://schemas.openxmlformats.org/officeDocument/2006/relationships/hyperlink" Target="https://www.energie-zentralschweiz.ch/vollzug/vollzug-zug.html" TargetMode="External"/><Relationship Id="rId14" Type="http://schemas.openxmlformats.org/officeDocument/2006/relationships/hyperlink" Target="https://www.energie-zentralschweiz.ch/vollzug/vollzug-obwalden.html"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9.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3.v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0.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4.v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1.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5.v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2.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6.v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3.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7.v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4.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8.v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energie-zentralschweiz.ch/vollzug/energienachweise-muken-2014.html" TargetMode="External"/><Relationship Id="rId6" Type="http://schemas.openxmlformats.org/officeDocument/2006/relationships/comments" Target="../comments2.xml"/><Relationship Id="rId5" Type="http://schemas.openxmlformats.org/officeDocument/2006/relationships/vmlDrawing" Target="../drawings/vmlDrawing5.v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6.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energie-zentralschweiz.ch/vollzug/energienachweise-muken-2014.html" TargetMode="External"/><Relationship Id="rId6" Type="http://schemas.openxmlformats.org/officeDocument/2006/relationships/comments" Target="../comments3.xml"/><Relationship Id="rId5" Type="http://schemas.openxmlformats.org/officeDocument/2006/relationships/vmlDrawing" Target="../drawings/vmlDrawing8.v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hyperlink" Target="http://www.map.geo.admin.ch/" TargetMode="External"/><Relationship Id="rId2" Type="http://schemas.openxmlformats.org/officeDocument/2006/relationships/hyperlink" Target="https://map.geo.admin.ch/?lang=de&amp;topic=ech&amp;bgLayer=ch.swisstopo.pixelkarte-farbe&amp;layers=ch.swisstopo.zeitreihen,ch.bfs.gebaeude_wohnungs_register,ch.bav.haltestellen-oev,ch.swisstopo.swisstlm3d-wanderwege,ch.astra.wanderland-sperrungen_umleitungen&amp;layers_opacity=1,1,1,0.8,0.8&amp;layers_visibility=false,false,false,false,false&amp;layers_timestamp=18641231,,,," TargetMode="External"/><Relationship Id="rId1" Type="http://schemas.openxmlformats.org/officeDocument/2006/relationships/hyperlink" Target="https://www.energie-zentralschweiz.ch/vollzug/energienachweise-muken-2014.html" TargetMode="External"/><Relationship Id="rId6" Type="http://schemas.openxmlformats.org/officeDocument/2006/relationships/vmlDrawing" Target="../drawings/vmlDrawing9.vml"/><Relationship Id="rId5" Type="http://schemas.openxmlformats.org/officeDocument/2006/relationships/drawing" Target="../drawings/drawing5.xm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0.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F18A6-5BA4-4C37-A168-DF0F6416E8D1}">
  <dimension ref="A1:J39"/>
  <sheetViews>
    <sheetView workbookViewId="0">
      <selection activeCell="L26" sqref="L26"/>
    </sheetView>
  </sheetViews>
  <sheetFormatPr baseColWidth="10" defaultRowHeight="15.75" x14ac:dyDescent="0.25"/>
  <cols>
    <col min="1" max="1" width="14" customWidth="1"/>
    <col min="2" max="2" width="8.125" customWidth="1"/>
    <col min="3" max="3" width="9.25" customWidth="1"/>
    <col min="4" max="4" width="7.75" hidden="1" customWidth="1"/>
    <col min="5" max="5" width="0" hidden="1" customWidth="1"/>
    <col min="6" max="6" width="12.75" customWidth="1"/>
    <col min="8" max="9" width="8.75" customWidth="1"/>
  </cols>
  <sheetData>
    <row r="1" spans="1:10" x14ac:dyDescent="0.25">
      <c r="A1" t="s">
        <v>890</v>
      </c>
    </row>
    <row r="2" spans="1:10" x14ac:dyDescent="0.25">
      <c r="A2" s="284" t="s">
        <v>907</v>
      </c>
    </row>
    <row r="4" spans="1:10" x14ac:dyDescent="0.25">
      <c r="A4" s="285" t="s">
        <v>908</v>
      </c>
    </row>
    <row r="6" spans="1:10" x14ac:dyDescent="0.25">
      <c r="A6" s="283" t="s">
        <v>893</v>
      </c>
      <c r="B6" s="283" t="s">
        <v>894</v>
      </c>
      <c r="C6" s="283" t="s">
        <v>895</v>
      </c>
      <c r="D6" s="283" t="s">
        <v>896</v>
      </c>
      <c r="E6" s="283" t="s">
        <v>897</v>
      </c>
      <c r="F6" s="283" t="s">
        <v>902</v>
      </c>
      <c r="G6" s="283" t="s">
        <v>761</v>
      </c>
      <c r="H6" s="283" t="s">
        <v>904</v>
      </c>
      <c r="I6" s="283" t="s">
        <v>906</v>
      </c>
      <c r="J6" s="283" t="s">
        <v>905</v>
      </c>
    </row>
    <row r="7" spans="1:10" x14ac:dyDescent="0.25">
      <c r="A7" t="s">
        <v>891</v>
      </c>
      <c r="B7" t="s">
        <v>898</v>
      </c>
      <c r="C7" s="281" t="s">
        <v>899</v>
      </c>
      <c r="D7" t="s">
        <v>900</v>
      </c>
      <c r="F7" s="282" t="s">
        <v>903</v>
      </c>
      <c r="G7" t="s">
        <v>892</v>
      </c>
      <c r="H7" t="s">
        <v>608</v>
      </c>
      <c r="I7">
        <v>0.5</v>
      </c>
      <c r="J7" t="s">
        <v>915</v>
      </c>
    </row>
    <row r="8" spans="1:10" x14ac:dyDescent="0.25">
      <c r="A8" t="s">
        <v>909</v>
      </c>
      <c r="B8" t="s">
        <v>910</v>
      </c>
      <c r="C8" s="281" t="s">
        <v>911</v>
      </c>
      <c r="D8" t="s">
        <v>912</v>
      </c>
      <c r="F8" t="s">
        <v>913</v>
      </c>
      <c r="G8" s="282"/>
      <c r="I8">
        <v>0.5</v>
      </c>
      <c r="J8" t="s">
        <v>916</v>
      </c>
    </row>
    <row r="9" spans="1:10" x14ac:dyDescent="0.25">
      <c r="A9" t="s">
        <v>956</v>
      </c>
      <c r="B9" t="s">
        <v>957</v>
      </c>
      <c r="C9" s="281" t="s">
        <v>958</v>
      </c>
      <c r="D9" t="s">
        <v>901</v>
      </c>
      <c r="F9" t="s">
        <v>959</v>
      </c>
      <c r="G9" s="282" t="s">
        <v>960</v>
      </c>
      <c r="H9" t="s">
        <v>608</v>
      </c>
      <c r="I9">
        <v>1.5</v>
      </c>
      <c r="J9" t="s">
        <v>961</v>
      </c>
    </row>
    <row r="10" spans="1:10" x14ac:dyDescent="0.25">
      <c r="A10" t="s">
        <v>1005</v>
      </c>
      <c r="C10" s="281" t="s">
        <v>1006</v>
      </c>
      <c r="F10" t="s">
        <v>1007</v>
      </c>
      <c r="G10" s="282" t="s">
        <v>1008</v>
      </c>
      <c r="H10" t="s">
        <v>608</v>
      </c>
      <c r="I10" t="s">
        <v>43</v>
      </c>
      <c r="J10" t="s">
        <v>1007</v>
      </c>
    </row>
    <row r="11" spans="1:10" x14ac:dyDescent="0.25">
      <c r="A11" t="s">
        <v>909</v>
      </c>
      <c r="B11" t="s">
        <v>1010</v>
      </c>
      <c r="C11" s="281" t="s">
        <v>1011</v>
      </c>
      <c r="F11" t="s">
        <v>1012</v>
      </c>
      <c r="G11" s="282" t="s">
        <v>1008</v>
      </c>
      <c r="H11" t="s">
        <v>608</v>
      </c>
      <c r="I11">
        <v>0.5</v>
      </c>
      <c r="J11" t="s">
        <v>1013</v>
      </c>
    </row>
    <row r="12" spans="1:10" x14ac:dyDescent="0.25">
      <c r="A12" t="s">
        <v>1014</v>
      </c>
      <c r="B12" t="s">
        <v>1010</v>
      </c>
      <c r="C12" s="281" t="s">
        <v>1015</v>
      </c>
      <c r="F12" t="s">
        <v>1016</v>
      </c>
      <c r="G12" s="282" t="s">
        <v>1008</v>
      </c>
      <c r="H12" t="s">
        <v>608</v>
      </c>
      <c r="I12">
        <v>0.5</v>
      </c>
      <c r="J12" t="s">
        <v>1017</v>
      </c>
    </row>
    <row r="13" spans="1:10" x14ac:dyDescent="0.25">
      <c r="A13" t="s">
        <v>1005</v>
      </c>
      <c r="B13" t="s">
        <v>1021</v>
      </c>
      <c r="C13" s="302" t="s">
        <v>1022</v>
      </c>
      <c r="F13" t="s">
        <v>1023</v>
      </c>
      <c r="G13" s="282" t="s">
        <v>1008</v>
      </c>
      <c r="H13" t="s">
        <v>608</v>
      </c>
      <c r="I13">
        <v>0.5</v>
      </c>
      <c r="J13" t="s">
        <v>1024</v>
      </c>
    </row>
    <row r="14" spans="1:10" x14ac:dyDescent="0.25">
      <c r="A14" t="s">
        <v>909</v>
      </c>
      <c r="B14" t="s">
        <v>1029</v>
      </c>
      <c r="C14" s="281" t="s">
        <v>1030</v>
      </c>
      <c r="F14" t="s">
        <v>1031</v>
      </c>
      <c r="G14" s="282" t="s">
        <v>1032</v>
      </c>
      <c r="H14" t="s">
        <v>608</v>
      </c>
      <c r="I14">
        <v>8</v>
      </c>
      <c r="J14" t="s">
        <v>1033</v>
      </c>
    </row>
    <row r="15" spans="1:10" x14ac:dyDescent="0.25">
      <c r="A15" t="s">
        <v>1056</v>
      </c>
      <c r="B15" t="s">
        <v>1057</v>
      </c>
      <c r="C15" s="281" t="s">
        <v>1058</v>
      </c>
      <c r="F15" t="s">
        <v>1059</v>
      </c>
      <c r="G15" s="282" t="s">
        <v>960</v>
      </c>
      <c r="H15" t="s">
        <v>608</v>
      </c>
      <c r="I15">
        <v>10</v>
      </c>
      <c r="J15" t="s">
        <v>1060</v>
      </c>
    </row>
    <row r="16" spans="1:10" x14ac:dyDescent="0.25">
      <c r="A16" t="s">
        <v>909</v>
      </c>
      <c r="B16" t="s">
        <v>1071</v>
      </c>
      <c r="C16" s="281" t="s">
        <v>1072</v>
      </c>
      <c r="F16" t="s">
        <v>1073</v>
      </c>
      <c r="G16" s="282" t="s">
        <v>1032</v>
      </c>
      <c r="H16" t="s">
        <v>608</v>
      </c>
      <c r="I16">
        <v>1</v>
      </c>
      <c r="J16" t="s">
        <v>1074</v>
      </c>
    </row>
    <row r="17" spans="1:10" x14ac:dyDescent="0.25">
      <c r="A17" t="s">
        <v>1056</v>
      </c>
      <c r="B17" t="s">
        <v>1076</v>
      </c>
      <c r="C17" s="281" t="s">
        <v>1077</v>
      </c>
      <c r="F17" s="442" t="s">
        <v>1078</v>
      </c>
      <c r="G17" s="282" t="s">
        <v>960</v>
      </c>
      <c r="H17" t="s">
        <v>608</v>
      </c>
      <c r="I17">
        <v>1.5</v>
      </c>
      <c r="J17" t="s">
        <v>1075</v>
      </c>
    </row>
    <row r="18" spans="1:10" x14ac:dyDescent="0.25">
      <c r="C18" s="281"/>
    </row>
    <row r="19" spans="1:10" x14ac:dyDescent="0.25">
      <c r="C19" s="281"/>
    </row>
    <row r="20" spans="1:10" x14ac:dyDescent="0.25">
      <c r="C20" s="281"/>
    </row>
    <row r="21" spans="1:10" x14ac:dyDescent="0.25">
      <c r="C21" s="281"/>
    </row>
    <row r="22" spans="1:10" x14ac:dyDescent="0.25">
      <c r="C22" s="281"/>
    </row>
    <row r="23" spans="1:10" x14ac:dyDescent="0.25">
      <c r="C23" s="281"/>
    </row>
    <row r="24" spans="1:10" x14ac:dyDescent="0.25">
      <c r="C24" s="281"/>
    </row>
    <row r="25" spans="1:10" x14ac:dyDescent="0.25">
      <c r="C25" s="281"/>
    </row>
    <row r="26" spans="1:10" x14ac:dyDescent="0.25">
      <c r="C26" s="281"/>
    </row>
    <row r="27" spans="1:10" x14ac:dyDescent="0.25">
      <c r="C27" s="281"/>
    </row>
    <row r="28" spans="1:10" x14ac:dyDescent="0.25">
      <c r="C28" s="281"/>
    </row>
    <row r="29" spans="1:10" x14ac:dyDescent="0.25">
      <c r="C29" s="281"/>
    </row>
    <row r="30" spans="1:10" x14ac:dyDescent="0.25">
      <c r="C30" s="281"/>
    </row>
    <row r="31" spans="1:10" x14ac:dyDescent="0.25">
      <c r="C31" s="281"/>
    </row>
    <row r="32" spans="1:10" x14ac:dyDescent="0.25">
      <c r="C32" s="281"/>
    </row>
    <row r="33" spans="3:3" x14ac:dyDescent="0.25">
      <c r="C33" s="281"/>
    </row>
    <row r="34" spans="3:3" x14ac:dyDescent="0.25">
      <c r="C34" s="281"/>
    </row>
    <row r="35" spans="3:3" x14ac:dyDescent="0.25">
      <c r="C35" s="281"/>
    </row>
    <row r="36" spans="3:3" x14ac:dyDescent="0.25">
      <c r="C36" s="281"/>
    </row>
    <row r="37" spans="3:3" x14ac:dyDescent="0.25">
      <c r="C37" s="281"/>
    </row>
    <row r="38" spans="3:3" x14ac:dyDescent="0.25">
      <c r="C38" s="281"/>
    </row>
    <row r="39" spans="3:3" x14ac:dyDescent="0.25">
      <c r="C39" s="281"/>
    </row>
  </sheetData>
  <sheetProtection algorithmName="SHA-512" hashValue="QYAKvsiFvn4nPsJvHKt1TR6Ij/Z1d+6oEyZS4gd6GEp6KTlntSPHLnF2nL0UAH10K0HMF0ZzB+8FoEurl1oP5w==" saltValue="QiIAIiruuT/cRiWBTd7MDQ==" spinCount="100000" sheet="1" objects="1" scenarios="1"/>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theme="0"/>
  </sheetPr>
  <dimension ref="A1:R287"/>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5" style="3" customWidth="1"/>
    <col min="15" max="16384" width="10.875" style="3"/>
  </cols>
  <sheetData>
    <row r="1" spans="1:16" s="22" customFormat="1" ht="18" x14ac:dyDescent="0.25">
      <c r="A1" s="6" t="s">
        <v>207</v>
      </c>
      <c r="B1" s="6"/>
      <c r="N1" s="117" t="s">
        <v>503</v>
      </c>
      <c r="P1" s="23"/>
    </row>
    <row r="2" spans="1:16" s="22" customFormat="1" ht="18" x14ac:dyDescent="0.25">
      <c r="A2" s="6" t="s">
        <v>208</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4"/>
      <c r="D9" s="218" t="s">
        <v>491</v>
      </c>
      <c r="E9" s="198"/>
      <c r="F9" s="198"/>
      <c r="G9" s="198"/>
      <c r="H9" s="198"/>
      <c r="I9" s="198"/>
      <c r="J9" s="198"/>
      <c r="K9" s="198"/>
      <c r="L9" s="198"/>
      <c r="M9" s="198"/>
      <c r="N9" s="198"/>
      <c r="O9" s="34"/>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736</v>
      </c>
      <c r="F15" s="30" t="s">
        <v>43</v>
      </c>
      <c r="H15" s="12" t="str">
        <f>IF(J15="x","-",IF(F15="x","-","x"))</f>
        <v>x</v>
      </c>
      <c r="J15" s="7"/>
      <c r="L15" s="7"/>
      <c r="N15" s="25"/>
    </row>
    <row r="16" spans="1:16" ht="2.1" customHeight="1" x14ac:dyDescent="0.2">
      <c r="A16" s="2"/>
      <c r="B16" s="2"/>
      <c r="F16" s="7"/>
      <c r="G16" s="7"/>
      <c r="H16" s="7"/>
      <c r="I16" s="7"/>
      <c r="J16" s="8"/>
      <c r="L16" s="8"/>
    </row>
    <row r="17" spans="1:14" ht="14.1" customHeight="1" x14ac:dyDescent="0.2">
      <c r="B17" s="3" t="s">
        <v>11</v>
      </c>
      <c r="F17" s="30" t="s">
        <v>43</v>
      </c>
      <c r="H17" s="12" t="str">
        <f>IF(OR(F17="x",J17="x"),"-",IF(F17="x","-","x"))</f>
        <v>x</v>
      </c>
      <c r="J17" s="7"/>
      <c r="L17" s="7"/>
      <c r="N17" s="25"/>
    </row>
    <row r="18" spans="1:14" ht="2.1" customHeight="1" x14ac:dyDescent="0.2">
      <c r="F18" s="7"/>
      <c r="H18" s="7"/>
      <c r="J18" s="7"/>
      <c r="L18" s="7"/>
      <c r="N18" s="26"/>
    </row>
    <row r="19" spans="1:14" x14ac:dyDescent="0.2">
      <c r="B19" s="3" t="s">
        <v>300</v>
      </c>
      <c r="F19" s="30" t="s">
        <v>43</v>
      </c>
      <c r="H19" s="12" t="str">
        <f>IF(OR(F19="x",J19="x"),"-",IF(F19="x","-","x"))</f>
        <v>x</v>
      </c>
      <c r="J19" s="30" t="s">
        <v>43</v>
      </c>
      <c r="L19" s="7"/>
      <c r="N19" s="25"/>
    </row>
    <row r="20" spans="1:14" ht="2.1" customHeight="1" x14ac:dyDescent="0.2">
      <c r="F20" s="7"/>
      <c r="H20" s="7"/>
      <c r="J20" s="7"/>
      <c r="L20" s="7"/>
      <c r="N20" s="26"/>
    </row>
    <row r="21" spans="1:14" x14ac:dyDescent="0.2">
      <c r="B21" s="3" t="s">
        <v>10</v>
      </c>
      <c r="F21" s="30" t="s">
        <v>43</v>
      </c>
      <c r="H21" s="12" t="str">
        <f>IF(OR(F21="x",J21="x"),"-",IF(F21="x","-","x"))</f>
        <v>x</v>
      </c>
      <c r="J21" s="7"/>
      <c r="L21" s="30" t="s">
        <v>43</v>
      </c>
      <c r="N21" s="25"/>
    </row>
    <row r="22" spans="1:14" ht="2.1" customHeight="1" x14ac:dyDescent="0.2">
      <c r="F22" s="7"/>
      <c r="H22" s="7"/>
      <c r="J22" s="7"/>
      <c r="L22" s="7"/>
      <c r="N22" s="26"/>
    </row>
    <row r="23" spans="1:14" x14ac:dyDescent="0.2">
      <c r="B23" s="3" t="s">
        <v>12</v>
      </c>
      <c r="F23" s="30" t="s">
        <v>43</v>
      </c>
      <c r="H23" s="12" t="str">
        <f>IF(OR(F23="x",J23="x"),"-",IF(F23="x","-","x"))</f>
        <v>x</v>
      </c>
      <c r="J23" s="7"/>
      <c r="L23" s="7"/>
      <c r="N23" s="25"/>
    </row>
    <row r="24" spans="1:14" ht="2.1" customHeight="1" x14ac:dyDescent="0.2">
      <c r="F24" s="7"/>
      <c r="H24" s="7"/>
      <c r="J24" s="7"/>
      <c r="L24" s="7"/>
      <c r="N24" s="26"/>
    </row>
    <row r="25" spans="1:14" ht="13.5" customHeight="1" x14ac:dyDescent="0.2">
      <c r="B25" s="81" t="s">
        <v>288</v>
      </c>
      <c r="F25" s="30" t="s">
        <v>43</v>
      </c>
      <c r="H25" s="12" t="str">
        <f>IF(OR(F25="x",J25="x"),"-",IF(F25="x","-","x"))</f>
        <v>x</v>
      </c>
      <c r="J25" s="7"/>
      <c r="L25" s="7"/>
      <c r="N25" s="25"/>
    </row>
    <row r="26" spans="1:14" ht="2.1" customHeight="1" x14ac:dyDescent="0.2">
      <c r="F26" s="7"/>
      <c r="H26" s="7"/>
      <c r="J26" s="7"/>
      <c r="L26" s="7"/>
      <c r="N26" s="26"/>
    </row>
    <row r="27" spans="1:14" x14ac:dyDescent="0.2">
      <c r="B27" s="3" t="s">
        <v>30</v>
      </c>
      <c r="F27" s="30" t="s">
        <v>43</v>
      </c>
      <c r="H27" s="12" t="str">
        <f>IF(OR(F27="x",J27="x"),"-",IF(F27="x","-","x"))</f>
        <v>x</v>
      </c>
      <c r="J27" s="7"/>
      <c r="L27" s="7"/>
      <c r="N27" s="25"/>
    </row>
    <row r="28" spans="1:14" ht="2.1" customHeight="1" x14ac:dyDescent="0.2">
      <c r="F28" s="7"/>
      <c r="H28" s="7"/>
      <c r="J28" s="7"/>
      <c r="L28" s="7"/>
      <c r="N28" s="26"/>
    </row>
    <row r="29" spans="1:14" x14ac:dyDescent="0.2">
      <c r="B29" s="3" t="s">
        <v>13</v>
      </c>
      <c r="F29" s="30" t="s">
        <v>43</v>
      </c>
      <c r="H29" s="12" t="str">
        <f>IF(OR(F29="x",J29="x"),"-",IF(F29="x","-","x"))</f>
        <v>x</v>
      </c>
      <c r="J29" s="30" t="s">
        <v>43</v>
      </c>
      <c r="L29" s="7"/>
      <c r="N29" s="25"/>
    </row>
    <row r="30" spans="1:14" ht="2.1" customHeight="1" x14ac:dyDescent="0.2">
      <c r="F30" s="7"/>
      <c r="H30" s="7"/>
      <c r="J30" s="7"/>
      <c r="L30" s="7"/>
      <c r="N30" s="26"/>
    </row>
    <row r="31" spans="1:14" x14ac:dyDescent="0.2">
      <c r="B31" s="3" t="s">
        <v>14</v>
      </c>
      <c r="F31" s="30" t="s">
        <v>43</v>
      </c>
      <c r="H31" s="12" t="str">
        <f>IF(OR(F31="x",J31="x"),"-",IF(F31="x","-","x"))</f>
        <v>x</v>
      </c>
      <c r="J31" s="7"/>
      <c r="L31" s="7"/>
      <c r="N31" s="25"/>
    </row>
    <row r="32" spans="1:14" ht="29.25" customHeight="1" x14ac:dyDescent="0.2">
      <c r="A32" s="2" t="s">
        <v>78</v>
      </c>
      <c r="N32" s="26"/>
    </row>
    <row r="33" spans="1:14" ht="2.1" customHeight="1" x14ac:dyDescent="0.2">
      <c r="N33" s="26"/>
    </row>
    <row r="34" spans="1:14" x14ac:dyDescent="0.2">
      <c r="B34" s="3" t="s">
        <v>209</v>
      </c>
      <c r="F34" s="30" t="s">
        <v>43</v>
      </c>
      <c r="H34" s="12" t="str">
        <f>IF(OR(F34="x",J34="x"),"-",IF(F34="x","-","x"))</f>
        <v>x</v>
      </c>
      <c r="J34" s="7"/>
      <c r="L34" s="7"/>
      <c r="N34" s="25"/>
    </row>
    <row r="35" spans="1:14" ht="2.1" customHeight="1" x14ac:dyDescent="0.2">
      <c r="B35" s="3" t="s">
        <v>101</v>
      </c>
      <c r="D35" s="1"/>
      <c r="F35" s="7"/>
      <c r="H35" s="7"/>
      <c r="J35" s="7"/>
      <c r="L35" s="7"/>
      <c r="N35" s="26"/>
    </row>
    <row r="36" spans="1:14" x14ac:dyDescent="0.2">
      <c r="B36" s="3" t="s">
        <v>210</v>
      </c>
      <c r="F36" s="30" t="s">
        <v>43</v>
      </c>
      <c r="H36" s="12" t="str">
        <f>IF(OR(F36="x",J36="x"),"-",IF(F36="x","-","x"))</f>
        <v>x</v>
      </c>
      <c r="J36" s="7"/>
      <c r="L36" s="7"/>
      <c r="N36" s="25"/>
    </row>
    <row r="37" spans="1:14" ht="2.1" customHeight="1" x14ac:dyDescent="0.2">
      <c r="D37" s="1"/>
      <c r="F37" s="7"/>
      <c r="H37" s="7"/>
      <c r="J37" s="7"/>
      <c r="L37" s="7"/>
      <c r="N37" s="26"/>
    </row>
    <row r="38" spans="1:14" x14ac:dyDescent="0.2">
      <c r="B38" s="3" t="s">
        <v>100</v>
      </c>
      <c r="D38" s="100" t="s">
        <v>107</v>
      </c>
      <c r="E38" s="101"/>
      <c r="F38" s="30" t="s">
        <v>43</v>
      </c>
      <c r="H38" s="12" t="str">
        <f>IF(OR(F38="x",J38="x"),"-",IF(F38="x","-","x"))</f>
        <v>x</v>
      </c>
      <c r="L38" s="7"/>
      <c r="N38" s="25"/>
    </row>
    <row r="39" spans="1:14" ht="1.5" customHeight="1" x14ac:dyDescent="0.2">
      <c r="F39" s="27"/>
      <c r="H39" s="14"/>
      <c r="L39" s="7"/>
      <c r="N39" s="26"/>
    </row>
    <row r="40" spans="1:14" x14ac:dyDescent="0.2">
      <c r="B40" s="3" t="s">
        <v>447</v>
      </c>
      <c r="F40" s="30" t="s">
        <v>43</v>
      </c>
      <c r="H40" s="12" t="str">
        <f>IF(OR(F40="x",J40="x"),"-",IF(F40="x","-","x"))</f>
        <v>x</v>
      </c>
      <c r="L40" s="7"/>
      <c r="N40" s="25"/>
    </row>
    <row r="41" spans="1:14" ht="2.1" customHeight="1" x14ac:dyDescent="0.2">
      <c r="A41" s="2"/>
      <c r="F41" s="7"/>
      <c r="H41" s="7"/>
      <c r="J41" s="7"/>
      <c r="N41" s="26"/>
    </row>
    <row r="42" spans="1:14" x14ac:dyDescent="0.2">
      <c r="B42" s="3" t="s">
        <v>101</v>
      </c>
      <c r="L42" s="7"/>
      <c r="N42" s="25"/>
    </row>
    <row r="43" spans="1:14" ht="2.1" customHeight="1" x14ac:dyDescent="0.2">
      <c r="D43" s="1"/>
      <c r="F43" s="7"/>
      <c r="H43" s="7"/>
      <c r="J43" s="7"/>
      <c r="L43" s="7"/>
      <c r="N43" s="26"/>
    </row>
    <row r="44" spans="1:14" x14ac:dyDescent="0.2">
      <c r="C44" s="3" t="s">
        <v>102</v>
      </c>
      <c r="D44" s="16" t="str">
        <f>IF('EN-Kt.'!U15="","",'EN-Kt.'!U15)</f>
        <v>Gebäudekategorie wählen</v>
      </c>
      <c r="F44" s="30" t="s">
        <v>43</v>
      </c>
      <c r="H44" s="12" t="str">
        <f>IF(OR(D44="",J44="x"),"-",IF(F44="x","-","x"))</f>
        <v>x</v>
      </c>
      <c r="J44" s="7"/>
      <c r="L44" s="7"/>
      <c r="N44" s="25"/>
    </row>
    <row r="45" spans="1:14" ht="2.1" customHeight="1" x14ac:dyDescent="0.2">
      <c r="D45" s="1"/>
      <c r="F45" s="7"/>
      <c r="H45" s="7"/>
      <c r="J45" s="7"/>
      <c r="L45" s="7"/>
      <c r="N45" s="26"/>
    </row>
    <row r="46" spans="1:14" x14ac:dyDescent="0.2">
      <c r="D46" s="3" t="s">
        <v>292</v>
      </c>
      <c r="F46" s="30" t="s">
        <v>43</v>
      </c>
      <c r="H46" s="12" t="str">
        <f>IF(OR(D44="",J46="x"),"-",IF(F46="x","-","x"))</f>
        <v>x</v>
      </c>
      <c r="J46" s="7"/>
      <c r="L46" s="7"/>
      <c r="N46" s="25"/>
    </row>
    <row r="47" spans="1:14" ht="2.1" customHeight="1" x14ac:dyDescent="0.2">
      <c r="D47" s="1"/>
      <c r="F47" s="7"/>
      <c r="H47" s="7"/>
      <c r="J47" s="7"/>
      <c r="L47" s="7"/>
      <c r="N47" s="26"/>
    </row>
    <row r="48" spans="1:14" x14ac:dyDescent="0.2">
      <c r="D48" s="3" t="s">
        <v>290</v>
      </c>
      <c r="F48" s="30" t="s">
        <v>43</v>
      </c>
      <c r="H48" s="12" t="str">
        <f>IF(OR(D44="",J48="x"),"-",IF(F48="x","-","x"))</f>
        <v>x</v>
      </c>
      <c r="J48" s="7"/>
      <c r="L48" s="7"/>
      <c r="N48" s="25"/>
    </row>
    <row r="49" spans="2:14" ht="2.1" customHeight="1" x14ac:dyDescent="0.2">
      <c r="D49" s="1"/>
      <c r="F49" s="7"/>
      <c r="H49" s="7"/>
      <c r="J49" s="7"/>
      <c r="L49" s="7"/>
      <c r="N49" s="26"/>
    </row>
    <row r="50" spans="2:14" x14ac:dyDescent="0.2">
      <c r="D50" s="3" t="s">
        <v>291</v>
      </c>
      <c r="F50" s="30" t="s">
        <v>43</v>
      </c>
      <c r="H50" s="12" t="str">
        <f>IF(OR(D44="",J50="x"),"-",IF(F50="x","-","x"))</f>
        <v>x</v>
      </c>
      <c r="J50" s="7"/>
      <c r="L50" s="7"/>
      <c r="N50" s="25"/>
    </row>
    <row r="51" spans="2:14" ht="2.1" customHeight="1" x14ac:dyDescent="0.2">
      <c r="D51" s="1"/>
      <c r="F51" s="7"/>
      <c r="H51" s="7"/>
      <c r="J51" s="7"/>
      <c r="L51" s="7"/>
      <c r="N51" s="26"/>
    </row>
    <row r="52" spans="2:14" x14ac:dyDescent="0.2">
      <c r="B52" s="3" t="s">
        <v>106</v>
      </c>
      <c r="D52" s="38"/>
      <c r="F52" s="7"/>
      <c r="J52" s="7"/>
      <c r="L52" s="7"/>
      <c r="N52" s="26"/>
    </row>
    <row r="53" spans="2:14" ht="2.1" customHeight="1" x14ac:dyDescent="0.2">
      <c r="D53" s="1"/>
      <c r="F53" s="7"/>
      <c r="H53" s="7"/>
      <c r="J53" s="7"/>
      <c r="L53" s="7"/>
      <c r="N53" s="26"/>
    </row>
    <row r="54" spans="2:14" x14ac:dyDescent="0.2">
      <c r="C54" s="3" t="s">
        <v>102</v>
      </c>
      <c r="D54" s="16" t="str">
        <f>IF('EN-Kt.'!U17="","",'EN-Kt.'!U17)</f>
        <v/>
      </c>
      <c r="F54" s="30" t="s">
        <v>43</v>
      </c>
      <c r="H54" s="12" t="str">
        <f>IF($D$54="","-",IF(F54="x","-","x"))</f>
        <v>-</v>
      </c>
      <c r="J54" s="7"/>
      <c r="L54" s="7"/>
      <c r="N54" s="25"/>
    </row>
    <row r="55" spans="2:14" ht="2.1" customHeight="1" x14ac:dyDescent="0.2">
      <c r="D55" s="1"/>
      <c r="F55" s="7"/>
      <c r="H55" s="7"/>
      <c r="J55" s="7"/>
      <c r="L55" s="7"/>
      <c r="N55" s="26"/>
    </row>
    <row r="56" spans="2:14" x14ac:dyDescent="0.2">
      <c r="D56" s="3" t="s">
        <v>292</v>
      </c>
      <c r="F56" s="30" t="s">
        <v>43</v>
      </c>
      <c r="H56" s="12" t="str">
        <f>IF($D$54="","-",IF(F56="x","-","x"))</f>
        <v>-</v>
      </c>
      <c r="J56" s="7"/>
      <c r="L56" s="7"/>
      <c r="N56" s="25"/>
    </row>
    <row r="57" spans="2:14" ht="2.1" customHeight="1" x14ac:dyDescent="0.2">
      <c r="D57" s="1"/>
      <c r="F57" s="7"/>
      <c r="H57" s="7"/>
      <c r="J57" s="7"/>
      <c r="L57" s="7"/>
      <c r="N57" s="26"/>
    </row>
    <row r="58" spans="2:14" x14ac:dyDescent="0.2">
      <c r="D58" s="3" t="s">
        <v>290</v>
      </c>
      <c r="F58" s="30" t="s">
        <v>43</v>
      </c>
      <c r="H58" s="12" t="str">
        <f>IF($D$54="","-",IF(F58="x","-","x"))</f>
        <v>-</v>
      </c>
      <c r="J58" s="7"/>
      <c r="L58" s="7"/>
      <c r="N58" s="25"/>
    </row>
    <row r="59" spans="2:14" ht="2.1" customHeight="1" x14ac:dyDescent="0.2">
      <c r="D59" s="1"/>
      <c r="F59" s="7"/>
      <c r="H59" s="7"/>
      <c r="J59" s="7"/>
      <c r="L59" s="7"/>
      <c r="N59" s="26"/>
    </row>
    <row r="60" spans="2:14" x14ac:dyDescent="0.2">
      <c r="D60" s="3" t="s">
        <v>291</v>
      </c>
      <c r="F60" s="30" t="s">
        <v>43</v>
      </c>
      <c r="H60" s="12" t="str">
        <f>IF($D$54="","-",IF(F60="x","-","x"))</f>
        <v>-</v>
      </c>
      <c r="J60" s="7"/>
      <c r="L60" s="7"/>
      <c r="N60" s="25"/>
    </row>
    <row r="61" spans="2:14" ht="2.1" customHeight="1" x14ac:dyDescent="0.2">
      <c r="D61" s="1"/>
      <c r="F61" s="7"/>
      <c r="H61" s="7"/>
      <c r="J61" s="7"/>
      <c r="L61" s="7"/>
      <c r="N61" s="26"/>
    </row>
    <row r="62" spans="2:14" x14ac:dyDescent="0.2">
      <c r="B62" s="3" t="s">
        <v>173</v>
      </c>
      <c r="D62" s="38"/>
      <c r="F62" s="27"/>
      <c r="J62" s="7"/>
      <c r="L62" s="7"/>
      <c r="N62" s="26"/>
    </row>
    <row r="63" spans="2:14" ht="2.1" customHeight="1" x14ac:dyDescent="0.2">
      <c r="D63" s="1"/>
      <c r="F63" s="7"/>
      <c r="H63" s="7"/>
      <c r="J63" s="7"/>
      <c r="L63" s="7"/>
      <c r="N63" s="26"/>
    </row>
    <row r="64" spans="2:14" x14ac:dyDescent="0.2">
      <c r="C64" s="3" t="s">
        <v>102</v>
      </c>
      <c r="D64" s="16" t="str">
        <f>IF('EN-Kt.'!U19="","",'EN-Kt.'!U19)</f>
        <v/>
      </c>
      <c r="F64" s="30" t="s">
        <v>43</v>
      </c>
      <c r="H64" s="12" t="str">
        <f>IF($D$64="","-",IF(F64="x","-","x"))</f>
        <v>-</v>
      </c>
      <c r="J64" s="7"/>
      <c r="L64" s="7"/>
      <c r="N64" s="25"/>
    </row>
    <row r="65" spans="2:14" ht="2.1" customHeight="1" x14ac:dyDescent="0.2">
      <c r="D65" s="1"/>
      <c r="F65" s="7"/>
      <c r="H65" s="7"/>
      <c r="J65" s="7"/>
      <c r="L65" s="7"/>
      <c r="N65" s="26"/>
    </row>
    <row r="66" spans="2:14" x14ac:dyDescent="0.2">
      <c r="D66" s="3" t="s">
        <v>292</v>
      </c>
      <c r="F66" s="30" t="s">
        <v>43</v>
      </c>
      <c r="H66" s="12" t="str">
        <f>IF($D$64="","-",IF(F66="x","-","x"))</f>
        <v>-</v>
      </c>
      <c r="J66" s="7"/>
      <c r="L66" s="7"/>
      <c r="N66" s="25"/>
    </row>
    <row r="67" spans="2:14" ht="2.1" customHeight="1" x14ac:dyDescent="0.2">
      <c r="D67" s="1"/>
      <c r="F67" s="7"/>
      <c r="H67" s="7"/>
      <c r="J67" s="7"/>
      <c r="L67" s="7"/>
      <c r="N67" s="26"/>
    </row>
    <row r="68" spans="2:14" x14ac:dyDescent="0.2">
      <c r="D68" s="3" t="s">
        <v>290</v>
      </c>
      <c r="F68" s="30" t="s">
        <v>43</v>
      </c>
      <c r="H68" s="12" t="str">
        <f>IF($D$64="","-",IF(F68="x","-","x"))</f>
        <v>-</v>
      </c>
      <c r="J68" s="7"/>
      <c r="L68" s="7"/>
      <c r="N68" s="25"/>
    </row>
    <row r="69" spans="2:14" ht="2.1" customHeight="1" x14ac:dyDescent="0.2">
      <c r="D69" s="1"/>
      <c r="F69" s="7"/>
      <c r="H69" s="7"/>
      <c r="J69" s="7"/>
      <c r="L69" s="7"/>
      <c r="N69" s="26"/>
    </row>
    <row r="70" spans="2:14" x14ac:dyDescent="0.2">
      <c r="D70" s="3" t="s">
        <v>291</v>
      </c>
      <c r="F70" s="30" t="s">
        <v>43</v>
      </c>
      <c r="H70" s="12" t="str">
        <f>IF($D$64="","-",IF(F70="x","-","x"))</f>
        <v>-</v>
      </c>
      <c r="J70" s="7"/>
      <c r="L70" s="7"/>
      <c r="N70" s="25"/>
    </row>
    <row r="71" spans="2:14" ht="2.1" customHeight="1" x14ac:dyDescent="0.2">
      <c r="D71" s="1"/>
      <c r="F71" s="7"/>
      <c r="H71" s="7"/>
      <c r="J71" s="7"/>
      <c r="L71" s="7"/>
      <c r="N71" s="26"/>
    </row>
    <row r="72" spans="2:14" x14ac:dyDescent="0.2">
      <c r="B72" s="3" t="s">
        <v>174</v>
      </c>
      <c r="D72" s="38"/>
      <c r="F72" s="27"/>
      <c r="J72" s="7"/>
      <c r="L72" s="7"/>
      <c r="N72" s="26"/>
    </row>
    <row r="73" spans="2:14" ht="2.1" customHeight="1" x14ac:dyDescent="0.2">
      <c r="D73" s="1"/>
      <c r="F73" s="7"/>
      <c r="H73" s="7"/>
      <c r="J73" s="7"/>
      <c r="L73" s="7"/>
      <c r="N73" s="26"/>
    </row>
    <row r="74" spans="2:14" x14ac:dyDescent="0.2">
      <c r="C74" s="3" t="s">
        <v>102</v>
      </c>
      <c r="D74" s="16" t="str">
        <f>IF('EN-Kt.'!U21="","",'EN-Kt.'!U21)</f>
        <v/>
      </c>
      <c r="F74" s="30" t="s">
        <v>43</v>
      </c>
      <c r="H74" s="12" t="str">
        <f>IF($D$74="","-",IF(F74="x","-","x"))</f>
        <v>-</v>
      </c>
      <c r="J74" s="7"/>
      <c r="L74" s="7"/>
      <c r="N74" s="25"/>
    </row>
    <row r="75" spans="2:14" ht="2.1" customHeight="1" x14ac:dyDescent="0.2">
      <c r="D75" s="1"/>
      <c r="F75" s="7"/>
      <c r="H75" s="7"/>
      <c r="J75" s="7"/>
      <c r="L75" s="7"/>
      <c r="N75" s="26"/>
    </row>
    <row r="76" spans="2:14" x14ac:dyDescent="0.2">
      <c r="D76" s="3" t="s">
        <v>292</v>
      </c>
      <c r="F76" s="30" t="s">
        <v>43</v>
      </c>
      <c r="H76" s="12" t="str">
        <f>IF($D$74="","-",IF(F76="x","-","x"))</f>
        <v>-</v>
      </c>
      <c r="J76" s="7"/>
      <c r="L76" s="7"/>
      <c r="N76" s="25"/>
    </row>
    <row r="77" spans="2:14" ht="2.1" customHeight="1" x14ac:dyDescent="0.2">
      <c r="D77" s="1"/>
      <c r="F77" s="7"/>
      <c r="H77" s="7"/>
      <c r="J77" s="7"/>
      <c r="L77" s="7"/>
      <c r="N77" s="26"/>
    </row>
    <row r="78" spans="2:14" x14ac:dyDescent="0.2">
      <c r="D78" s="3" t="s">
        <v>290</v>
      </c>
      <c r="F78" s="30" t="s">
        <v>43</v>
      </c>
      <c r="H78" s="12" t="str">
        <f>IF($D$74="","-",IF(F78="x","-","x"))</f>
        <v>-</v>
      </c>
      <c r="J78" s="7"/>
      <c r="L78" s="7"/>
      <c r="N78" s="25"/>
    </row>
    <row r="79" spans="2:14" ht="2.1" customHeight="1" x14ac:dyDescent="0.2">
      <c r="D79" s="1"/>
      <c r="F79" s="7"/>
      <c r="H79" s="7"/>
      <c r="J79" s="7"/>
      <c r="L79" s="7"/>
      <c r="N79" s="26"/>
    </row>
    <row r="80" spans="2:14" x14ac:dyDescent="0.2">
      <c r="D80" s="3" t="s">
        <v>291</v>
      </c>
      <c r="F80" s="30" t="s">
        <v>43</v>
      </c>
      <c r="H80" s="12" t="str">
        <f>IF($D$74="","-",IF(F80="x","-","x"))</f>
        <v>-</v>
      </c>
      <c r="J80" s="7"/>
      <c r="L80" s="7"/>
      <c r="N80" s="25"/>
    </row>
    <row r="81" spans="1:14" ht="20.100000000000001" customHeight="1" x14ac:dyDescent="0.2">
      <c r="N81" s="26"/>
    </row>
    <row r="82" spans="1:14" x14ac:dyDescent="0.2">
      <c r="A82" s="2" t="s">
        <v>1</v>
      </c>
      <c r="B82" s="2"/>
      <c r="N82" s="26"/>
    </row>
    <row r="83" spans="1:14" ht="2.1" customHeight="1" x14ac:dyDescent="0.2">
      <c r="A83" s="2"/>
      <c r="B83" s="2"/>
      <c r="H83" s="7"/>
      <c r="J83" s="7"/>
      <c r="N83" s="26"/>
    </row>
    <row r="84" spans="1:14" x14ac:dyDescent="0.2">
      <c r="B84" s="3" t="s">
        <v>22</v>
      </c>
      <c r="F84" s="30" t="s">
        <v>43</v>
      </c>
      <c r="H84" s="12" t="str">
        <f>IF(J84="x","-",IF(F84="x","-","x"))</f>
        <v>x</v>
      </c>
      <c r="L84" s="30" t="s">
        <v>43</v>
      </c>
      <c r="N84" s="25"/>
    </row>
    <row r="85" spans="1:14" ht="2.1" customHeight="1" x14ac:dyDescent="0.2">
      <c r="F85" s="7"/>
      <c r="H85" s="7"/>
      <c r="N85" s="26"/>
    </row>
    <row r="86" spans="1:14" x14ac:dyDescent="0.2">
      <c r="B86" s="3" t="s">
        <v>23</v>
      </c>
      <c r="F86" s="30" t="s">
        <v>43</v>
      </c>
      <c r="H86" s="12" t="str">
        <f>IF(J86="x","-",IF(F86="x","-","x"))</f>
        <v>x</v>
      </c>
      <c r="J86" s="7"/>
      <c r="L86" s="7"/>
      <c r="N86" s="25"/>
    </row>
    <row r="87" spans="1:14" ht="20.100000000000001" customHeight="1" x14ac:dyDescent="0.2">
      <c r="N87" s="26"/>
    </row>
    <row r="88" spans="1:14" x14ac:dyDescent="0.2">
      <c r="A88" s="2" t="s">
        <v>2</v>
      </c>
      <c r="B88" s="2"/>
      <c r="N88" s="26"/>
    </row>
    <row r="89" spans="1:14" ht="2.1" customHeight="1" thickBot="1" x14ac:dyDescent="0.25">
      <c r="A89" s="2"/>
      <c r="B89" s="2"/>
      <c r="F89" s="3" t="s">
        <v>43</v>
      </c>
      <c r="N89" s="26"/>
    </row>
    <row r="90" spans="1:14" ht="14.25" thickBot="1" x14ac:dyDescent="0.25">
      <c r="A90" s="2"/>
      <c r="B90" s="3" t="s">
        <v>356</v>
      </c>
      <c r="F90" s="258" t="s">
        <v>43</v>
      </c>
      <c r="H90" s="7"/>
      <c r="J90" s="7"/>
      <c r="L90" s="7"/>
      <c r="N90" s="25"/>
    </row>
    <row r="91" spans="1:14" ht="2.1" customHeight="1" x14ac:dyDescent="0.2">
      <c r="A91" s="2"/>
      <c r="B91" s="2"/>
      <c r="N91" s="26"/>
    </row>
    <row r="92" spans="1:14" x14ac:dyDescent="0.2">
      <c r="A92" s="2"/>
      <c r="B92" s="3" t="s">
        <v>24</v>
      </c>
      <c r="F92" s="30" t="str">
        <f>IF($F$90="x","x","-")</f>
        <v>-</v>
      </c>
      <c r="H92" s="12" t="str">
        <f>IF(J92="x","-",IF(F92="x","-","x"))</f>
        <v>x</v>
      </c>
      <c r="J92" s="7"/>
      <c r="L92" s="30" t="s">
        <v>43</v>
      </c>
      <c r="N92" s="25"/>
    </row>
    <row r="93" spans="1:14" ht="2.1" customHeight="1" x14ac:dyDescent="0.2">
      <c r="A93" s="2"/>
      <c r="F93" s="7"/>
      <c r="H93" s="7"/>
      <c r="J93" s="7"/>
      <c r="N93" s="26"/>
    </row>
    <row r="94" spans="1:14" x14ac:dyDescent="0.2">
      <c r="A94" s="2"/>
      <c r="B94" s="3" t="s">
        <v>25</v>
      </c>
      <c r="F94" s="30" t="str">
        <f>IF($F$90="x","x","-")</f>
        <v>-</v>
      </c>
      <c r="H94" s="12" t="str">
        <f>IF(J94="x","-",IF(F94="x","-","x"))</f>
        <v>x</v>
      </c>
      <c r="J94" s="7"/>
      <c r="L94" s="7"/>
      <c r="N94" s="25"/>
    </row>
    <row r="95" spans="1:14" ht="2.1" customHeight="1" x14ac:dyDescent="0.2">
      <c r="A95" s="2"/>
      <c r="F95" s="7"/>
      <c r="H95" s="7"/>
      <c r="J95" s="7"/>
      <c r="N95" s="26"/>
    </row>
    <row r="96" spans="1:14" x14ac:dyDescent="0.2">
      <c r="A96" s="2"/>
      <c r="B96" s="3" t="s">
        <v>26</v>
      </c>
      <c r="F96" s="30" t="str">
        <f>IF($F$90="x","x","-")</f>
        <v>-</v>
      </c>
      <c r="H96" s="12" t="str">
        <f>IF(J96="x","-",IF(F96="x","-","x"))</f>
        <v>x</v>
      </c>
      <c r="J96" s="30" t="s">
        <v>43</v>
      </c>
      <c r="L96" s="30" t="s">
        <v>43</v>
      </c>
      <c r="N96" s="25"/>
    </row>
    <row r="97" spans="1:14" ht="49.15" customHeight="1" x14ac:dyDescent="0.2">
      <c r="N97" s="26"/>
    </row>
    <row r="98" spans="1:14" x14ac:dyDescent="0.2">
      <c r="A98" s="2" t="s">
        <v>295</v>
      </c>
      <c r="B98" s="2"/>
      <c r="N98" s="26"/>
    </row>
    <row r="99" spans="1:14" ht="2.1" customHeight="1" x14ac:dyDescent="0.2">
      <c r="H99" s="7"/>
      <c r="J99" s="7"/>
      <c r="N99" s="26"/>
    </row>
    <row r="100" spans="1:14" x14ac:dyDescent="0.2">
      <c r="B100" s="3" t="s">
        <v>29</v>
      </c>
      <c r="F100" s="30" t="s">
        <v>43</v>
      </c>
      <c r="H100" s="12" t="str">
        <f>IF(J100="x","-",IF(F100="x","-","x"))</f>
        <v>x</v>
      </c>
      <c r="J100" s="7"/>
      <c r="L100" s="7"/>
      <c r="N100" s="25"/>
    </row>
    <row r="101" spans="1:14" ht="2.1" customHeight="1" x14ac:dyDescent="0.2">
      <c r="F101" s="7"/>
      <c r="H101" s="7"/>
      <c r="N101" s="26"/>
    </row>
    <row r="102" spans="1:14" x14ac:dyDescent="0.2">
      <c r="B102" s="3" t="s">
        <v>4</v>
      </c>
      <c r="F102" s="30" t="s">
        <v>43</v>
      </c>
      <c r="H102" s="12" t="str">
        <f>IF(J102="x","-",IF(F102="x","-","x"))</f>
        <v>x</v>
      </c>
      <c r="J102" s="7"/>
      <c r="L102" s="7"/>
      <c r="N102" s="25"/>
    </row>
    <row r="103" spans="1:14" ht="2.1" customHeight="1" x14ac:dyDescent="0.2">
      <c r="F103" s="7"/>
      <c r="H103" s="7"/>
      <c r="N103" s="26"/>
    </row>
    <row r="104" spans="1:14" x14ac:dyDescent="0.2">
      <c r="B104" s="3" t="s">
        <v>268</v>
      </c>
      <c r="F104" s="30" t="s">
        <v>43</v>
      </c>
      <c r="H104" s="12" t="str">
        <f>IF(J104="x","-",IF(F104="x","-","x"))</f>
        <v>x</v>
      </c>
      <c r="J104" s="30" t="s">
        <v>43</v>
      </c>
      <c r="L104" s="7"/>
      <c r="N104" s="25"/>
    </row>
    <row r="105" spans="1:14" ht="21" customHeight="1" x14ac:dyDescent="0.2">
      <c r="N105" s="26"/>
    </row>
    <row r="106" spans="1:14" x14ac:dyDescent="0.2">
      <c r="A106" s="2" t="s">
        <v>296</v>
      </c>
      <c r="B106" s="2"/>
      <c r="N106" s="26"/>
    </row>
    <row r="107" spans="1:14" ht="2.1" customHeight="1" thickBot="1" x14ac:dyDescent="0.25">
      <c r="N107" s="26"/>
    </row>
    <row r="108" spans="1:14" ht="14.25" thickBot="1" x14ac:dyDescent="0.25">
      <c r="B108" s="3" t="s">
        <v>289</v>
      </c>
      <c r="D108" s="11" t="s">
        <v>875</v>
      </c>
      <c r="F108" s="258" t="s">
        <v>43</v>
      </c>
      <c r="N108" s="93"/>
    </row>
    <row r="109" spans="1:14" ht="2.1" customHeight="1" x14ac:dyDescent="0.2">
      <c r="N109" s="26"/>
    </row>
    <row r="110" spans="1:14" x14ac:dyDescent="0.2">
      <c r="C110" s="3" t="s">
        <v>293</v>
      </c>
      <c r="F110" s="30" t="str">
        <f>IF($F$108="x","x","-")</f>
        <v>-</v>
      </c>
      <c r="H110" s="12" t="str">
        <f>IF(J110="x","-",IF(F110="x","-","x"))</f>
        <v>x</v>
      </c>
      <c r="J110" s="7"/>
      <c r="L110" s="7"/>
      <c r="N110" s="25"/>
    </row>
    <row r="111" spans="1:14" ht="2.1" customHeight="1" x14ac:dyDescent="0.2">
      <c r="A111" s="3" t="s">
        <v>42</v>
      </c>
      <c r="F111" s="7"/>
      <c r="H111" s="7"/>
      <c r="N111" s="26"/>
    </row>
    <row r="112" spans="1:14" x14ac:dyDescent="0.2">
      <c r="A112" s="34" t="s">
        <v>43</v>
      </c>
      <c r="C112" s="3" t="s">
        <v>294</v>
      </c>
      <c r="D112" s="11"/>
      <c r="F112" s="30" t="str">
        <f>IF($F$108="x","x","-")</f>
        <v>-</v>
      </c>
      <c r="H112" s="12" t="str">
        <f>IF(J112="x","-",IF(F112="x","-","x"))</f>
        <v>x</v>
      </c>
      <c r="J112" s="7"/>
      <c r="L112" s="7"/>
      <c r="N112" s="25"/>
    </row>
    <row r="113" spans="1:14" ht="2.1" customHeight="1" x14ac:dyDescent="0.2">
      <c r="F113" s="7"/>
      <c r="H113" s="7"/>
      <c r="J113" s="7"/>
      <c r="N113" s="26"/>
    </row>
    <row r="114" spans="1:14" x14ac:dyDescent="0.2">
      <c r="C114" s="3" t="s">
        <v>369</v>
      </c>
      <c r="D114" s="11"/>
      <c r="F114" s="30" t="str">
        <f>IF($F$108="x","x","-")</f>
        <v>-</v>
      </c>
      <c r="H114" s="12" t="str">
        <f>IF(J114="x","-",IF(F114="x","-","x"))</f>
        <v>x</v>
      </c>
      <c r="J114" s="7"/>
      <c r="L114" s="7"/>
      <c r="N114" s="25"/>
    </row>
    <row r="115" spans="1:14" ht="2.1" customHeight="1" x14ac:dyDescent="0.2">
      <c r="A115" s="2"/>
      <c r="B115" s="2"/>
      <c r="N115" s="26"/>
    </row>
    <row r="116" spans="1:14" ht="13.9" customHeight="1" x14ac:dyDescent="0.2">
      <c r="A116" s="2"/>
      <c r="B116" s="2"/>
      <c r="C116" s="3" t="s">
        <v>377</v>
      </c>
      <c r="D116" s="11"/>
      <c r="F116" s="30" t="str">
        <f>IF($F$108="x","x","-")</f>
        <v>-</v>
      </c>
      <c r="H116" s="12" t="str">
        <f>IF(J116="x","-",IF(F116="x","-","x"))</f>
        <v>x</v>
      </c>
      <c r="J116" s="30" t="s">
        <v>43</v>
      </c>
      <c r="L116" s="7"/>
      <c r="N116" s="25"/>
    </row>
    <row r="117" spans="1:14" ht="2.1" customHeight="1" x14ac:dyDescent="0.2">
      <c r="A117" s="2"/>
      <c r="B117" s="2"/>
      <c r="N117" s="26"/>
    </row>
    <row r="118" spans="1:14" ht="13.5" customHeight="1" thickBot="1" x14ac:dyDescent="0.25">
      <c r="A118" s="2"/>
      <c r="B118" s="2"/>
      <c r="N118" s="26"/>
    </row>
    <row r="119" spans="1:14" ht="14.25" thickBot="1" x14ac:dyDescent="0.25">
      <c r="B119" s="3" t="s">
        <v>297</v>
      </c>
      <c r="D119" s="11" t="s">
        <v>875</v>
      </c>
      <c r="F119" s="258" t="s">
        <v>43</v>
      </c>
      <c r="N119" s="26"/>
    </row>
    <row r="120" spans="1:14" ht="2.1" customHeight="1" x14ac:dyDescent="0.2">
      <c r="N120" s="26"/>
    </row>
    <row r="121" spans="1:14" x14ac:dyDescent="0.2">
      <c r="C121" s="3" t="s">
        <v>293</v>
      </c>
      <c r="F121" s="30" t="str">
        <f>IF($F$119="x","x","-")</f>
        <v>-</v>
      </c>
      <c r="H121" s="12" t="str">
        <f>IF(J121="x","-",IF(F121="x","-","x"))</f>
        <v>x</v>
      </c>
      <c r="J121" s="7"/>
      <c r="L121" s="7"/>
      <c r="N121" s="25"/>
    </row>
    <row r="122" spans="1:14" ht="2.1" customHeight="1" x14ac:dyDescent="0.2">
      <c r="F122" s="7"/>
      <c r="H122" s="7"/>
      <c r="N122" s="26"/>
    </row>
    <row r="123" spans="1:14" x14ac:dyDescent="0.2">
      <c r="C123" s="3" t="s">
        <v>294</v>
      </c>
      <c r="D123" s="11"/>
      <c r="F123" s="30" t="str">
        <f>IF($F$119="x","x","-")</f>
        <v>-</v>
      </c>
      <c r="H123" s="12" t="str">
        <f>IF(J123="x","-",IF(F123="x","-","x"))</f>
        <v>x</v>
      </c>
      <c r="J123" s="7"/>
      <c r="L123" s="7"/>
      <c r="N123" s="25"/>
    </row>
    <row r="124" spans="1:14" ht="2.1" customHeight="1" x14ac:dyDescent="0.2">
      <c r="F124" s="7"/>
      <c r="H124" s="7"/>
      <c r="J124" s="7"/>
      <c r="N124" s="26"/>
    </row>
    <row r="125" spans="1:14" x14ac:dyDescent="0.2">
      <c r="C125" s="3" t="s">
        <v>369</v>
      </c>
      <c r="D125" s="11"/>
      <c r="F125" s="30" t="str">
        <f>IF($F$119="x","x","-")</f>
        <v>-</v>
      </c>
      <c r="H125" s="12" t="str">
        <f>IF(J125="x","-",IF(F125="x","-","x"))</f>
        <v>x</v>
      </c>
      <c r="J125" s="7"/>
      <c r="L125" s="7"/>
      <c r="N125" s="25"/>
    </row>
    <row r="126" spans="1:14" ht="2.1" customHeight="1" x14ac:dyDescent="0.2">
      <c r="A126" s="2"/>
      <c r="B126" s="2"/>
      <c r="N126" s="26"/>
    </row>
    <row r="127" spans="1:14" ht="13.9" customHeight="1" x14ac:dyDescent="0.2">
      <c r="A127" s="2"/>
      <c r="B127" s="2"/>
      <c r="C127" s="3" t="s">
        <v>377</v>
      </c>
      <c r="D127" s="11"/>
      <c r="F127" s="30" t="str">
        <f>IF($F$119="x","x","-")</f>
        <v>-</v>
      </c>
      <c r="H127" s="12" t="str">
        <f>IF(J127="x","-",IF(F127="x","-","x"))</f>
        <v>x</v>
      </c>
      <c r="J127" s="30" t="s">
        <v>43</v>
      </c>
      <c r="L127" s="7"/>
      <c r="N127" s="25"/>
    </row>
    <row r="128" spans="1:14" ht="2.1" customHeight="1" x14ac:dyDescent="0.2">
      <c r="A128" s="2"/>
      <c r="B128" s="2"/>
      <c r="N128" s="26"/>
    </row>
    <row r="129" spans="1:14" ht="13.5" customHeight="1" thickBot="1" x14ac:dyDescent="0.25">
      <c r="A129" s="2"/>
      <c r="B129" s="2"/>
      <c r="N129" s="26"/>
    </row>
    <row r="130" spans="1:14" ht="14.25" thickBot="1" x14ac:dyDescent="0.25">
      <c r="B130" s="3" t="s">
        <v>304</v>
      </c>
      <c r="D130" s="11" t="s">
        <v>875</v>
      </c>
      <c r="F130" s="258" t="s">
        <v>43</v>
      </c>
      <c r="N130" s="26"/>
    </row>
    <row r="131" spans="1:14" ht="2.1" customHeight="1" x14ac:dyDescent="0.2">
      <c r="N131" s="26"/>
    </row>
    <row r="132" spans="1:14" x14ac:dyDescent="0.2">
      <c r="C132" s="3" t="s">
        <v>293</v>
      </c>
      <c r="F132" s="30" t="str">
        <f>IF($F$130="x","x","-")</f>
        <v>-</v>
      </c>
      <c r="H132" s="12" t="str">
        <f>IF($F$130="x","-",(IF(J132="x","-",IF(F132="x","-","x"))))</f>
        <v>x</v>
      </c>
      <c r="J132" s="7"/>
      <c r="L132" s="7"/>
      <c r="N132" s="25"/>
    </row>
    <row r="133" spans="1:14" ht="2.1" customHeight="1" x14ac:dyDescent="0.2">
      <c r="F133" s="7"/>
      <c r="H133" s="7"/>
      <c r="N133" s="26"/>
    </row>
    <row r="134" spans="1:14" x14ac:dyDescent="0.2">
      <c r="C134" s="3" t="s">
        <v>294</v>
      </c>
      <c r="D134" s="11"/>
      <c r="F134" s="30" t="str">
        <f>IF($F$130="x","x","-")</f>
        <v>-</v>
      </c>
      <c r="H134" s="12" t="str">
        <f>IF($F$130="x","-",(IF(J134="x","-",IF(F134="x","-","x"))))</f>
        <v>x</v>
      </c>
      <c r="J134" s="7"/>
      <c r="L134" s="7"/>
      <c r="N134" s="25"/>
    </row>
    <row r="135" spans="1:14" ht="2.1" customHeight="1" x14ac:dyDescent="0.2">
      <c r="F135" s="7"/>
      <c r="H135" s="7"/>
      <c r="J135" s="7"/>
      <c r="N135" s="26"/>
    </row>
    <row r="136" spans="1:14" x14ac:dyDescent="0.2">
      <c r="C136" s="3" t="s">
        <v>369</v>
      </c>
      <c r="D136" s="11"/>
      <c r="F136" s="30" t="str">
        <f>IF($F$130="x","x","-")</f>
        <v>-</v>
      </c>
      <c r="H136" s="12" t="str">
        <f>IF($F$130="x","-",(IF(J136="x","-",IF(F136="x","-","x"))))</f>
        <v>x</v>
      </c>
      <c r="J136" s="7"/>
      <c r="L136" s="7"/>
      <c r="N136" s="25"/>
    </row>
    <row r="137" spans="1:14" ht="2.1" customHeight="1" x14ac:dyDescent="0.2">
      <c r="A137" s="2"/>
      <c r="B137" s="2"/>
      <c r="N137" s="26"/>
    </row>
    <row r="138" spans="1:14" ht="13.9" customHeight="1" x14ac:dyDescent="0.2">
      <c r="A138" s="2"/>
      <c r="B138" s="2"/>
      <c r="C138" s="3" t="s">
        <v>377</v>
      </c>
      <c r="D138" s="11"/>
      <c r="F138" s="30" t="str">
        <f>IF($F$130="x","x","-")</f>
        <v>-</v>
      </c>
      <c r="H138" s="12" t="str">
        <f>IF($F$130="x","-",(IF(J138="x","-",IF(F138="x","-","x"))))</f>
        <v>x</v>
      </c>
      <c r="J138" s="30" t="s">
        <v>43</v>
      </c>
      <c r="L138" s="7"/>
      <c r="N138" s="25"/>
    </row>
    <row r="139" spans="1:14" ht="14.25" thickBot="1" x14ac:dyDescent="0.25">
      <c r="N139" s="26"/>
    </row>
    <row r="140" spans="1:14" ht="14.25" thickBot="1" x14ac:dyDescent="0.25">
      <c r="B140" s="3" t="s">
        <v>298</v>
      </c>
      <c r="D140" s="11" t="s">
        <v>875</v>
      </c>
      <c r="F140" s="258" t="s">
        <v>43</v>
      </c>
      <c r="G140" s="1"/>
      <c r="H140" s="1"/>
      <c r="I140" s="1"/>
      <c r="J140" s="1"/>
      <c r="N140" s="25"/>
    </row>
    <row r="141" spans="1:14" ht="2.1" customHeight="1" x14ac:dyDescent="0.2">
      <c r="N141" s="26"/>
    </row>
    <row r="142" spans="1:14" ht="13.9" customHeight="1" x14ac:dyDescent="0.25">
      <c r="B142" s="117" t="s">
        <v>502</v>
      </c>
      <c r="C142" s="3" t="s">
        <v>495</v>
      </c>
      <c r="F142" s="30" t="str">
        <f>IF($F$140="x","x","-")</f>
        <v>-</v>
      </c>
      <c r="H142" s="12" t="str">
        <f>IF($F$140="x","-",(IF(J142="x","-",IF(F142="x","-","x"))))</f>
        <v>x</v>
      </c>
      <c r="J142" s="7"/>
      <c r="L142" s="7"/>
      <c r="N142" s="25"/>
    </row>
    <row r="143" spans="1:14" ht="2.1" customHeight="1" x14ac:dyDescent="0.2">
      <c r="N143" s="26"/>
    </row>
    <row r="144" spans="1:14" x14ac:dyDescent="0.2">
      <c r="C144" s="3" t="s">
        <v>494</v>
      </c>
      <c r="F144" s="30" t="str">
        <f>IF($F$140="x","x","-")</f>
        <v>-</v>
      </c>
      <c r="H144" s="12" t="str">
        <f>IF($F$140="x","-",(IF(J144="x","-",IF(F144="x","-","x"))))</f>
        <v>x</v>
      </c>
      <c r="J144" s="7"/>
      <c r="L144" s="7"/>
      <c r="N144" s="25"/>
    </row>
    <row r="145" spans="1:16" ht="2.1" customHeight="1" x14ac:dyDescent="0.2">
      <c r="F145" s="7"/>
      <c r="H145" s="7"/>
      <c r="N145" s="26"/>
    </row>
    <row r="146" spans="1:16" x14ac:dyDescent="0.2">
      <c r="C146" s="3" t="s">
        <v>294</v>
      </c>
      <c r="D146" s="11"/>
      <c r="F146" s="30" t="str">
        <f>IF($F$140="x","x","-")</f>
        <v>-</v>
      </c>
      <c r="H146" s="12" t="str">
        <f>IF($F$140="x","-",(IF(J146="x","-",IF(F146="x","-","x"))))</f>
        <v>x</v>
      </c>
      <c r="J146" s="7"/>
      <c r="L146" s="7"/>
      <c r="N146" s="25"/>
    </row>
    <row r="147" spans="1:16" ht="2.1" customHeight="1" x14ac:dyDescent="0.2">
      <c r="F147" s="7"/>
      <c r="H147" s="7"/>
      <c r="J147" s="7"/>
      <c r="N147" s="26"/>
    </row>
    <row r="148" spans="1:16" ht="14.1" customHeight="1" x14ac:dyDescent="0.2">
      <c r="C148" s="3" t="s">
        <v>496</v>
      </c>
      <c r="D148" s="11"/>
      <c r="F148" s="30" t="str">
        <f>IF($F$140="x","x","-")</f>
        <v>-</v>
      </c>
      <c r="H148" s="12" t="str">
        <f>IF($F$140="x","-",(IF(J148="x","-",IF(F148="x","-","x"))))</f>
        <v>x</v>
      </c>
      <c r="J148" s="7"/>
      <c r="L148" s="7"/>
      <c r="N148" s="25"/>
    </row>
    <row r="149" spans="1:16" ht="2.1" customHeight="1" x14ac:dyDescent="0.2">
      <c r="F149" s="7"/>
      <c r="H149" s="7"/>
      <c r="N149" s="26"/>
    </row>
    <row r="150" spans="1:16" x14ac:dyDescent="0.2">
      <c r="C150" s="3" t="s">
        <v>497</v>
      </c>
      <c r="F150" s="30" t="str">
        <f>IF($F$140="x","x","-")</f>
        <v>-</v>
      </c>
      <c r="H150" s="12" t="str">
        <f>IF($F$140="x","-",(IF(J150="x","-",IF(F150="x","-","x"))))</f>
        <v>x</v>
      </c>
      <c r="J150" s="7"/>
      <c r="L150" s="7"/>
      <c r="N150" s="25"/>
    </row>
    <row r="151" spans="1:16" ht="2.1" customHeight="1" x14ac:dyDescent="0.2">
      <c r="F151" s="7"/>
      <c r="H151" s="7"/>
      <c r="N151" s="26"/>
    </row>
    <row r="152" spans="1:16" x14ac:dyDescent="0.2">
      <c r="C152" s="3" t="s">
        <v>301</v>
      </c>
      <c r="D152" s="11"/>
      <c r="F152" s="30" t="str">
        <f>IF($F$140="x","x","-")</f>
        <v>-</v>
      </c>
      <c r="H152" s="12" t="str">
        <f>IF($F$140="x","-",(IF(J152="x","-",IF(F152="x","-","x"))))</f>
        <v>x</v>
      </c>
      <c r="J152" s="7"/>
      <c r="L152" s="7"/>
      <c r="N152" s="25"/>
    </row>
    <row r="153" spans="1:16" ht="2.1" customHeight="1" x14ac:dyDescent="0.2">
      <c r="F153" s="7"/>
      <c r="H153" s="7"/>
      <c r="J153" s="7"/>
      <c r="N153" s="26"/>
    </row>
    <row r="154" spans="1:16" ht="14.1" customHeight="1" x14ac:dyDescent="0.2">
      <c r="C154" s="3" t="s">
        <v>302</v>
      </c>
      <c r="D154" s="11"/>
      <c r="F154" s="30" t="str">
        <f>IF($F$140="x","x","-")</f>
        <v>-</v>
      </c>
      <c r="H154" s="12" t="str">
        <f>IF($F$140="x","-",(IF(J154="x","-",IF(F154="x","-","x"))))</f>
        <v>x</v>
      </c>
      <c r="J154" s="7"/>
      <c r="L154" s="7"/>
      <c r="N154" s="25"/>
    </row>
    <row r="155" spans="1:16" ht="2.1" customHeight="1" x14ac:dyDescent="0.2">
      <c r="F155" s="7"/>
      <c r="H155" s="7"/>
      <c r="J155" s="7"/>
      <c r="N155" s="26"/>
    </row>
    <row r="156" spans="1:16" ht="14.1" customHeight="1" x14ac:dyDescent="0.2">
      <c r="C156" s="3" t="s">
        <v>303</v>
      </c>
      <c r="D156" s="11"/>
      <c r="F156" s="30" t="str">
        <f>IF($F$140="x","x","-")</f>
        <v>-</v>
      </c>
      <c r="H156" s="12" t="str">
        <f>IF($F$140="x","-",(IF(J156="x","-",IF(F156="x","-","x"))))</f>
        <v>x</v>
      </c>
      <c r="J156" s="30" t="s">
        <v>43</v>
      </c>
      <c r="L156" s="7"/>
      <c r="N156" s="25"/>
    </row>
    <row r="157" spans="1:16" ht="2.1" customHeight="1" x14ac:dyDescent="0.2">
      <c r="A157" s="2"/>
      <c r="B157" s="2"/>
      <c r="N157" s="26"/>
    </row>
    <row r="158" spans="1:16" ht="13.5" customHeight="1" thickBot="1" x14ac:dyDescent="0.25">
      <c r="A158" s="2"/>
      <c r="B158" s="2"/>
      <c r="N158" s="26"/>
    </row>
    <row r="159" spans="1:16" ht="14.25" thickBot="1" x14ac:dyDescent="0.25">
      <c r="B159" s="3" t="s">
        <v>500</v>
      </c>
      <c r="D159" s="11" t="s">
        <v>875</v>
      </c>
      <c r="F159" s="258" t="s">
        <v>43</v>
      </c>
      <c r="P159" s="26"/>
    </row>
    <row r="160" spans="1:16" ht="2.1" customHeight="1" x14ac:dyDescent="0.2">
      <c r="F160" s="11"/>
      <c r="P160" s="26"/>
    </row>
    <row r="161" spans="1:14" x14ac:dyDescent="0.2">
      <c r="C161" s="38" t="s">
        <v>31</v>
      </c>
      <c r="F161" s="30" t="str">
        <f>IF($F$159="x","x","-")</f>
        <v>-</v>
      </c>
      <c r="H161" s="12" t="str">
        <f>IF(OR($F$159="x",J161="x"),"-",IF(F161="x","-","x"))</f>
        <v>x</v>
      </c>
      <c r="J161" s="7"/>
      <c r="L161" s="7"/>
      <c r="N161" s="25"/>
    </row>
    <row r="162" spans="1:14" ht="2.1" customHeight="1" x14ac:dyDescent="0.2">
      <c r="C162" s="38"/>
      <c r="F162" s="7"/>
      <c r="H162" s="7"/>
      <c r="N162" s="26"/>
    </row>
    <row r="163" spans="1:14" x14ac:dyDescent="0.2">
      <c r="C163" s="38" t="s">
        <v>273</v>
      </c>
      <c r="D163" s="11" t="s">
        <v>271</v>
      </c>
      <c r="F163" s="30" t="str">
        <f>IF($F$159="x","x","-")</f>
        <v>-</v>
      </c>
      <c r="H163" s="12" t="str">
        <f>IF(OR($F$159="x",J163="x"),"-",IF(F163="x","-","x"))</f>
        <v>x</v>
      </c>
      <c r="J163" s="30" t="str">
        <f>IF($J$159="x","x","-")</f>
        <v>-</v>
      </c>
      <c r="L163" s="30" t="s">
        <v>43</v>
      </c>
      <c r="N163" s="25"/>
    </row>
    <row r="164" spans="1:14" ht="2.1" customHeight="1" x14ac:dyDescent="0.2">
      <c r="C164" s="38"/>
      <c r="F164" s="7"/>
      <c r="H164" s="7"/>
      <c r="J164" s="26"/>
      <c r="L164" s="115"/>
      <c r="N164" s="26"/>
    </row>
    <row r="165" spans="1:14" x14ac:dyDescent="0.2">
      <c r="C165" s="38"/>
      <c r="D165" s="11" t="s">
        <v>371</v>
      </c>
      <c r="F165" s="30" t="str">
        <f>IF($F$159="x","x","-")</f>
        <v>-</v>
      </c>
      <c r="H165" s="12" t="str">
        <f>IF(OR($F$159="x",J165="x"),"-",IF(F165="x","-","x"))</f>
        <v>x</v>
      </c>
      <c r="J165" s="30" t="str">
        <f>IF($J$159="x","x","-")</f>
        <v>-</v>
      </c>
      <c r="L165" s="30" t="s">
        <v>43</v>
      </c>
      <c r="N165" s="25"/>
    </row>
    <row r="166" spans="1:14" ht="13.5" customHeight="1" thickBot="1" x14ac:dyDescent="0.25">
      <c r="A166" s="2"/>
      <c r="B166" s="2"/>
      <c r="C166" s="38"/>
      <c r="N166" s="26"/>
    </row>
    <row r="167" spans="1:14" ht="14.25" thickBot="1" x14ac:dyDescent="0.25">
      <c r="B167" s="3" t="s">
        <v>305</v>
      </c>
      <c r="D167" s="11" t="s">
        <v>875</v>
      </c>
      <c r="F167" s="258" t="s">
        <v>43</v>
      </c>
      <c r="N167" s="26"/>
    </row>
    <row r="168" spans="1:14" ht="2.1" customHeight="1" x14ac:dyDescent="0.2">
      <c r="N168" s="26"/>
    </row>
    <row r="169" spans="1:14" x14ac:dyDescent="0.2">
      <c r="C169" s="38" t="s">
        <v>293</v>
      </c>
      <c r="F169" s="30" t="str">
        <f>IF($F$167="x","x","-")</f>
        <v>-</v>
      </c>
      <c r="H169" s="12" t="str">
        <f>IF($F$167="x","-",(IF(J169="x","-",IF(F169="x","-","x"))))</f>
        <v>x</v>
      </c>
      <c r="J169" s="7"/>
      <c r="L169" s="7"/>
      <c r="N169" s="25"/>
    </row>
    <row r="170" spans="1:14" ht="2.1" customHeight="1" x14ac:dyDescent="0.2">
      <c r="C170" s="38"/>
      <c r="F170" s="7"/>
      <c r="H170" s="7"/>
      <c r="N170" s="26"/>
    </row>
    <row r="171" spans="1:14" x14ac:dyDescent="0.2">
      <c r="C171" s="38" t="s">
        <v>294</v>
      </c>
      <c r="D171" s="11"/>
      <c r="F171" s="30" t="str">
        <f>IF($F$167="x","x","-")</f>
        <v>-</v>
      </c>
      <c r="H171" s="12" t="str">
        <f>IF($F$167="x","-",(IF(J171="x","-",IF(F171="x","-","x"))))</f>
        <v>x</v>
      </c>
      <c r="J171" s="30" t="str">
        <f>IF($J$167="x","x","-")</f>
        <v>-</v>
      </c>
      <c r="L171" s="30" t="s">
        <v>43</v>
      </c>
      <c r="N171" s="25"/>
    </row>
    <row r="172" spans="1:14" ht="2.1" customHeight="1" x14ac:dyDescent="0.2">
      <c r="C172" s="38"/>
      <c r="F172" s="7"/>
      <c r="H172" s="7"/>
      <c r="L172" s="7"/>
      <c r="N172" s="26"/>
    </row>
    <row r="173" spans="1:14" x14ac:dyDescent="0.2">
      <c r="C173" s="38" t="s">
        <v>369</v>
      </c>
      <c r="D173" s="11"/>
      <c r="F173" s="30" t="str">
        <f>IF($F$167="x","x","-")</f>
        <v>-</v>
      </c>
      <c r="H173" s="12" t="str">
        <f>IF($F$167="x","-",(IF(J173="x","-",IF(F173="x","-","x"))))</f>
        <v>x</v>
      </c>
      <c r="J173" s="30" t="str">
        <f>IF($J$167="x","x","-")</f>
        <v>-</v>
      </c>
      <c r="L173" s="30" t="s">
        <v>43</v>
      </c>
      <c r="N173" s="25"/>
    </row>
    <row r="174" spans="1:14" x14ac:dyDescent="0.2">
      <c r="D174" s="11"/>
      <c r="F174" s="11"/>
      <c r="H174" s="114"/>
      <c r="J174" s="7"/>
      <c r="L174" s="7"/>
      <c r="N174" s="26"/>
    </row>
    <row r="175" spans="1:14" ht="15" customHeight="1" thickBot="1" x14ac:dyDescent="0.25">
      <c r="B175" s="3" t="s">
        <v>498</v>
      </c>
      <c r="H175" s="114"/>
      <c r="J175" s="7"/>
      <c r="L175" s="7"/>
      <c r="N175" s="26"/>
    </row>
    <row r="176" spans="1:14" ht="15" customHeight="1" thickBot="1" x14ac:dyDescent="0.25">
      <c r="B176" s="46" t="s">
        <v>499</v>
      </c>
      <c r="D176" s="11" t="s">
        <v>875</v>
      </c>
      <c r="F176" s="258" t="s">
        <v>43</v>
      </c>
      <c r="H176" s="114"/>
      <c r="J176" s="7"/>
      <c r="L176" s="7"/>
      <c r="N176" s="26"/>
    </row>
    <row r="177" spans="1:14" ht="1.5" customHeight="1" x14ac:dyDescent="0.2">
      <c r="D177" s="11"/>
      <c r="F177" s="11"/>
      <c r="H177" s="114"/>
      <c r="J177" s="7"/>
      <c r="L177" s="7"/>
      <c r="N177" s="26"/>
    </row>
    <row r="178" spans="1:14" x14ac:dyDescent="0.2">
      <c r="C178" s="38" t="s">
        <v>293</v>
      </c>
      <c r="F178" s="30" t="str">
        <f>IF($F$176="x","x","-")</f>
        <v>-</v>
      </c>
      <c r="H178" s="12" t="str">
        <f>IF($F$176="x","-",(IF(J178="x","-",IF(F178="x","-","x"))))</f>
        <v>x</v>
      </c>
      <c r="J178" s="7"/>
      <c r="L178" s="7"/>
      <c r="N178" s="25"/>
    </row>
    <row r="179" spans="1:14" ht="2.1" customHeight="1" x14ac:dyDescent="0.2">
      <c r="C179" s="38"/>
      <c r="F179" s="7"/>
      <c r="H179" s="7"/>
      <c r="N179" s="26"/>
    </row>
    <row r="180" spans="1:14" x14ac:dyDescent="0.2">
      <c r="C180" s="38" t="s">
        <v>294</v>
      </c>
      <c r="D180" s="11"/>
      <c r="F180" s="30" t="str">
        <f>IF($F$176="x","x","-")</f>
        <v>-</v>
      </c>
      <c r="H180" s="12" t="str">
        <f>IF($F$176="x","-",(IF(J180="x","-",IF(F180="x","-","x"))))</f>
        <v>x</v>
      </c>
      <c r="J180" s="27"/>
      <c r="L180" s="27"/>
      <c r="N180" s="25"/>
    </row>
    <row r="181" spans="1:14" ht="2.1" customHeight="1" x14ac:dyDescent="0.2">
      <c r="C181" s="38"/>
      <c r="F181" s="7"/>
      <c r="H181" s="7"/>
      <c r="L181" s="7"/>
      <c r="N181" s="26"/>
    </row>
    <row r="182" spans="1:14" x14ac:dyDescent="0.2">
      <c r="C182" s="38" t="s">
        <v>369</v>
      </c>
      <c r="D182" s="11"/>
      <c r="F182" s="30" t="str">
        <f>IF($F$176="x","x","-")</f>
        <v>-</v>
      </c>
      <c r="H182" s="12" t="str">
        <f>IF($F$176="x","-",(IF(J182="x","-",IF(F182="x","-","x"))))</f>
        <v>x</v>
      </c>
      <c r="J182" s="27"/>
      <c r="L182" s="27"/>
      <c r="N182" s="25"/>
    </row>
    <row r="183" spans="1:14" x14ac:dyDescent="0.2">
      <c r="D183" s="11"/>
      <c r="F183" s="11"/>
      <c r="H183" s="114"/>
      <c r="J183" s="7"/>
      <c r="L183" s="7"/>
      <c r="N183" s="26"/>
    </row>
    <row r="184" spans="1:14" x14ac:dyDescent="0.2">
      <c r="A184" s="2" t="s">
        <v>9</v>
      </c>
      <c r="B184" s="2"/>
      <c r="N184" s="26"/>
    </row>
    <row r="185" spans="1:14" ht="2.1" customHeight="1" thickBot="1" x14ac:dyDescent="0.25">
      <c r="N185" s="26"/>
    </row>
    <row r="186" spans="1:14" ht="14.25" thickBot="1" x14ac:dyDescent="0.25">
      <c r="B186" s="3" t="s">
        <v>306</v>
      </c>
      <c r="D186" s="11" t="s">
        <v>875</v>
      </c>
      <c r="F186" s="258" t="s">
        <v>43</v>
      </c>
      <c r="N186" s="26"/>
    </row>
    <row r="187" spans="1:14" ht="2.1" customHeight="1" x14ac:dyDescent="0.2">
      <c r="F187" s="3" t="s">
        <v>43</v>
      </c>
      <c r="N187" s="26"/>
    </row>
    <row r="188" spans="1:14" x14ac:dyDescent="0.2">
      <c r="C188" s="3" t="s">
        <v>307</v>
      </c>
      <c r="F188" s="30" t="str">
        <f>IF($F$186="x","x","-")</f>
        <v>-</v>
      </c>
      <c r="H188" s="12" t="str">
        <f>IF(OR($F$186="x",J188="x"),"-",IF(F188="x","-","x"))</f>
        <v>x</v>
      </c>
      <c r="J188" s="7"/>
      <c r="L188" s="7"/>
      <c r="N188" s="25"/>
    </row>
    <row r="189" spans="1:14" ht="2.1" customHeight="1" x14ac:dyDescent="0.2">
      <c r="F189" s="7"/>
      <c r="H189" s="7"/>
      <c r="N189" s="26"/>
    </row>
    <row r="190" spans="1:14" x14ac:dyDescent="0.2">
      <c r="C190" s="3" t="s">
        <v>308</v>
      </c>
      <c r="D190" s="11"/>
      <c r="F190" s="30" t="str">
        <f>IF($F$186="x","x","-")</f>
        <v>-</v>
      </c>
      <c r="H190" s="12" t="str">
        <f>IF(OR($F$186="x",J190="x"),"-",IF(F190="x","-","x"))</f>
        <v>x</v>
      </c>
      <c r="J190" s="7"/>
      <c r="L190" s="7"/>
      <c r="N190" s="25"/>
    </row>
    <row r="191" spans="1:14" ht="2.1" customHeight="1" x14ac:dyDescent="0.2">
      <c r="F191" s="7"/>
      <c r="H191" s="7"/>
      <c r="J191" s="7"/>
      <c r="N191" s="26"/>
    </row>
    <row r="192" spans="1:14" x14ac:dyDescent="0.2">
      <c r="C192" s="3" t="s">
        <v>374</v>
      </c>
      <c r="D192" s="11"/>
      <c r="F192" s="30" t="str">
        <f>IF($F$186="x","x","-")</f>
        <v>-</v>
      </c>
      <c r="H192" s="12" t="str">
        <f>IF(OR($F$186="x",J192="x"),"-",IF(F192="x","-","x"))</f>
        <v>x</v>
      </c>
      <c r="J192" s="7"/>
      <c r="L192" s="7"/>
      <c r="N192" s="25"/>
    </row>
    <row r="193" spans="1:14" ht="2.1" customHeight="1" x14ac:dyDescent="0.2">
      <c r="A193" s="2"/>
      <c r="B193" s="2"/>
      <c r="N193" s="26"/>
    </row>
    <row r="194" spans="1:14" ht="13.9" customHeight="1" x14ac:dyDescent="0.2">
      <c r="A194" s="2"/>
      <c r="B194" s="2"/>
      <c r="C194" s="3" t="s">
        <v>379</v>
      </c>
      <c r="F194" s="30" t="str">
        <f>IF($F$186="x","x","-")</f>
        <v>-</v>
      </c>
      <c r="H194" s="12" t="str">
        <f>IF(OR($F$186="x",J194="x"),"-",IF(F194="x","-","x"))</f>
        <v>x</v>
      </c>
      <c r="J194" s="7"/>
      <c r="L194" s="7"/>
      <c r="N194" s="25"/>
    </row>
    <row r="195" spans="1:14" ht="2.1" customHeight="1" x14ac:dyDescent="0.2">
      <c r="A195" s="2"/>
      <c r="B195" s="2"/>
      <c r="N195" s="26"/>
    </row>
    <row r="196" spans="1:14" ht="13.5" customHeight="1" thickBot="1" x14ac:dyDescent="0.25">
      <c r="A196" s="2"/>
      <c r="B196" s="2"/>
      <c r="N196" s="26"/>
    </row>
    <row r="197" spans="1:14" ht="14.25" thickBot="1" x14ac:dyDescent="0.25">
      <c r="B197" s="3" t="s">
        <v>309</v>
      </c>
      <c r="D197" s="11" t="s">
        <v>875</v>
      </c>
      <c r="F197" s="258" t="s">
        <v>43</v>
      </c>
      <c r="N197" s="25"/>
    </row>
    <row r="198" spans="1:14" ht="2.1" customHeight="1" x14ac:dyDescent="0.2">
      <c r="F198" s="3" t="s">
        <v>43</v>
      </c>
      <c r="N198" s="26"/>
    </row>
    <row r="199" spans="1:14" x14ac:dyDescent="0.2">
      <c r="C199" s="3" t="s">
        <v>307</v>
      </c>
      <c r="F199" s="30" t="str">
        <f>IF($F$197="x","x","-")</f>
        <v>-</v>
      </c>
      <c r="H199" s="12" t="str">
        <f>IF($F$197="x","-",(IF(J199="x","-",IF(F199="x","-","x"))))</f>
        <v>x</v>
      </c>
      <c r="J199" s="7"/>
      <c r="L199" s="7"/>
      <c r="N199" s="25"/>
    </row>
    <row r="200" spans="1:14" ht="2.1" customHeight="1" x14ac:dyDescent="0.2">
      <c r="F200" s="7"/>
      <c r="H200" s="7"/>
      <c r="N200" s="26"/>
    </row>
    <row r="201" spans="1:14" x14ac:dyDescent="0.2">
      <c r="C201" s="3" t="s">
        <v>310</v>
      </c>
      <c r="D201" s="11"/>
      <c r="F201" s="30" t="str">
        <f>IF($F$197="x","x","-")</f>
        <v>-</v>
      </c>
      <c r="H201" s="12" t="str">
        <f>IF($F$197="x","-",(IF(J201="x","-",IF(F201="x","-","x"))))</f>
        <v>x</v>
      </c>
      <c r="J201" s="7"/>
      <c r="L201" s="7"/>
      <c r="N201" s="25"/>
    </row>
    <row r="202" spans="1:14" ht="2.1" customHeight="1" x14ac:dyDescent="0.2">
      <c r="D202" s="11"/>
      <c r="F202" s="42"/>
      <c r="H202" s="14"/>
      <c r="J202" s="7"/>
      <c r="L202" s="7"/>
      <c r="N202" s="26"/>
    </row>
    <row r="203" spans="1:14" x14ac:dyDescent="0.2">
      <c r="C203" s="3" t="s">
        <v>379</v>
      </c>
      <c r="F203" s="30" t="str">
        <f>IF($F$197="x","x","-")</f>
        <v>-</v>
      </c>
      <c r="H203" s="12" t="str">
        <f>IF($F$197="x","-",(IF(J203="x","-",IF(F203="x","-","x"))))</f>
        <v>x</v>
      </c>
      <c r="J203" s="7"/>
      <c r="L203" s="7"/>
      <c r="N203" s="25"/>
    </row>
    <row r="204" spans="1:14" ht="64.150000000000006" customHeight="1" x14ac:dyDescent="0.2">
      <c r="N204" s="26"/>
    </row>
    <row r="205" spans="1:14" x14ac:dyDescent="0.2">
      <c r="A205" s="2" t="s">
        <v>378</v>
      </c>
      <c r="B205" s="2"/>
      <c r="N205" s="26"/>
    </row>
    <row r="206" spans="1:14" ht="2.1" customHeight="1" thickBot="1" x14ac:dyDescent="0.25">
      <c r="N206" s="26"/>
    </row>
    <row r="207" spans="1:14" ht="14.25" thickBot="1" x14ac:dyDescent="0.25">
      <c r="B207" s="3" t="s">
        <v>289</v>
      </c>
      <c r="D207" s="11" t="s">
        <v>875</v>
      </c>
      <c r="F207" s="258" t="s">
        <v>43</v>
      </c>
      <c r="N207" s="25"/>
    </row>
    <row r="208" spans="1:14" ht="2.1" customHeight="1" x14ac:dyDescent="0.2">
      <c r="F208" s="7"/>
      <c r="N208" s="26"/>
    </row>
    <row r="209" spans="1:14" x14ac:dyDescent="0.2">
      <c r="C209" s="3" t="s">
        <v>293</v>
      </c>
      <c r="F209" s="30" t="str">
        <f>IF($F$207="x","x","-")</f>
        <v>-</v>
      </c>
      <c r="H209" s="12" t="str">
        <f>IF($F$207="x","-",(IF(J209="x","-",IF(F209="x","-","x"))))</f>
        <v>x</v>
      </c>
      <c r="J209" s="7"/>
      <c r="L209" s="7"/>
      <c r="N209" s="25"/>
    </row>
    <row r="210" spans="1:14" ht="2.1" customHeight="1" x14ac:dyDescent="0.2">
      <c r="F210" s="7"/>
      <c r="H210" s="7"/>
      <c r="N210" s="26"/>
    </row>
    <row r="211" spans="1:14" x14ac:dyDescent="0.2">
      <c r="C211" s="3" t="s">
        <v>294</v>
      </c>
      <c r="D211" s="11"/>
      <c r="F211" s="30" t="str">
        <f>IF($F$207="x","x","-")</f>
        <v>-</v>
      </c>
      <c r="H211" s="12" t="str">
        <f>IF(OR(F207="x",J211="x"),"-",IF(F211="x","-","x"))</f>
        <v>x</v>
      </c>
      <c r="J211" s="7"/>
      <c r="L211" s="7"/>
      <c r="N211" s="25"/>
    </row>
    <row r="212" spans="1:14" ht="2.1" customHeight="1" x14ac:dyDescent="0.2">
      <c r="F212" s="7"/>
      <c r="H212" s="7"/>
      <c r="J212" s="7"/>
      <c r="N212" s="26"/>
    </row>
    <row r="213" spans="1:14" x14ac:dyDescent="0.2">
      <c r="C213" s="3" t="s">
        <v>375</v>
      </c>
      <c r="D213" s="11"/>
      <c r="F213" s="30" t="str">
        <f>IF($F$207="x","x","-")</f>
        <v>-</v>
      </c>
      <c r="H213" s="12" t="str">
        <f>IF(OR(F207="x",J213="x"),"-",IF(F213="x","-","x"))</f>
        <v>x</v>
      </c>
      <c r="J213" s="7"/>
      <c r="L213" s="7"/>
      <c r="N213" s="25"/>
    </row>
    <row r="214" spans="1:14" ht="2.1" customHeight="1" x14ac:dyDescent="0.2">
      <c r="A214" s="2"/>
      <c r="B214" s="2"/>
      <c r="F214" s="7"/>
      <c r="N214" s="26"/>
    </row>
    <row r="215" spans="1:14" ht="13.9" customHeight="1" x14ac:dyDescent="0.2">
      <c r="A215" s="2"/>
      <c r="B215" s="2"/>
      <c r="C215" s="3" t="s">
        <v>377</v>
      </c>
      <c r="D215" s="11"/>
      <c r="F215" s="30" t="str">
        <f>IF($F$207="x","x","-")</f>
        <v>-</v>
      </c>
      <c r="H215" s="12" t="str">
        <f>IF(OR($F$207="x",J215="x"),"-",IF(F215="x","-","x"))</f>
        <v>x</v>
      </c>
      <c r="J215" s="30" t="s">
        <v>43</v>
      </c>
      <c r="L215" s="7"/>
      <c r="N215" s="25"/>
    </row>
    <row r="216" spans="1:14" ht="2.1" customHeight="1" x14ac:dyDescent="0.2">
      <c r="A216" s="2"/>
      <c r="B216" s="2"/>
      <c r="F216" s="7"/>
      <c r="N216" s="26"/>
    </row>
    <row r="217" spans="1:14" ht="60.75" customHeight="1" thickBot="1" x14ac:dyDescent="0.25">
      <c r="A217" s="2"/>
      <c r="B217" s="2"/>
      <c r="F217" s="7"/>
      <c r="N217" s="26"/>
    </row>
    <row r="218" spans="1:14" ht="14.25" thickBot="1" x14ac:dyDescent="0.25">
      <c r="B218" s="3" t="s">
        <v>297</v>
      </c>
      <c r="D218" s="11" t="s">
        <v>875</v>
      </c>
      <c r="F218" s="258" t="s">
        <v>43</v>
      </c>
      <c r="N218" s="25"/>
    </row>
    <row r="219" spans="1:14" ht="2.1" customHeight="1" x14ac:dyDescent="0.2">
      <c r="F219" s="7"/>
      <c r="N219" s="26"/>
    </row>
    <row r="220" spans="1:14" x14ac:dyDescent="0.2">
      <c r="C220" s="3" t="s">
        <v>293</v>
      </c>
      <c r="F220" s="30" t="str">
        <f>IF($F$218="x","x","-")</f>
        <v>-</v>
      </c>
      <c r="H220" s="12" t="str">
        <f>IF(OR($F$218="x",J220="x"),"-",IF(F220="x","-","x"))</f>
        <v>x</v>
      </c>
      <c r="J220" s="7"/>
      <c r="L220" s="7"/>
      <c r="N220" s="25"/>
    </row>
    <row r="221" spans="1:14" ht="2.1" customHeight="1" x14ac:dyDescent="0.2">
      <c r="F221" s="7"/>
      <c r="H221" s="7"/>
      <c r="N221" s="26"/>
    </row>
    <row r="222" spans="1:14" x14ac:dyDescent="0.2">
      <c r="C222" s="3" t="s">
        <v>294</v>
      </c>
      <c r="D222" s="11"/>
      <c r="F222" s="30" t="str">
        <f>IF($F$218="x","x","-")</f>
        <v>-</v>
      </c>
      <c r="H222" s="12" t="str">
        <f>IF(OR($F$218="x",J222="x"),"-",IF(F222="x","-","x"))</f>
        <v>x</v>
      </c>
      <c r="J222" s="7"/>
      <c r="L222" s="7"/>
      <c r="N222" s="25"/>
    </row>
    <row r="223" spans="1:14" ht="2.1" customHeight="1" x14ac:dyDescent="0.2">
      <c r="F223" s="7"/>
      <c r="H223" s="7"/>
      <c r="J223" s="7"/>
      <c r="N223" s="26"/>
    </row>
    <row r="224" spans="1:14" x14ac:dyDescent="0.2">
      <c r="C224" s="3" t="s">
        <v>375</v>
      </c>
      <c r="D224" s="11"/>
      <c r="F224" s="30" t="str">
        <f>IF($F$218="x","x","-")</f>
        <v>-</v>
      </c>
      <c r="H224" s="12" t="str">
        <f>IF(OR($F$218="x",J224="x"),"-",IF(F224="x","-","x"))</f>
        <v>x</v>
      </c>
      <c r="J224" s="7"/>
      <c r="L224" s="7"/>
      <c r="N224" s="25"/>
    </row>
    <row r="225" spans="1:14" ht="2.1" customHeight="1" x14ac:dyDescent="0.2">
      <c r="A225" s="2"/>
      <c r="B225" s="2"/>
      <c r="F225" s="7"/>
      <c r="N225" s="26"/>
    </row>
    <row r="226" spans="1:14" ht="13.9" customHeight="1" x14ac:dyDescent="0.2">
      <c r="A226" s="2"/>
      <c r="B226" s="2"/>
      <c r="C226" s="3" t="s">
        <v>377</v>
      </c>
      <c r="D226" s="11"/>
      <c r="F226" s="30" t="str">
        <f>IF($F$218="x","x","-")</f>
        <v>-</v>
      </c>
      <c r="H226" s="12" t="str">
        <f>IF(OR($F$218="x",J226="x"),"-",IF(F226="x","-","x"))</f>
        <v>x</v>
      </c>
      <c r="J226" s="30" t="s">
        <v>43</v>
      </c>
      <c r="L226" s="7"/>
      <c r="N226" s="25"/>
    </row>
    <row r="227" spans="1:14" ht="13.5" customHeight="1" x14ac:dyDescent="0.2">
      <c r="A227" s="2"/>
      <c r="B227" s="2"/>
      <c r="F227" s="7"/>
      <c r="N227" s="26"/>
    </row>
    <row r="228" spans="1:14" ht="2.1" customHeight="1" thickBot="1" x14ac:dyDescent="0.25">
      <c r="A228" s="2"/>
      <c r="B228" s="2"/>
      <c r="F228" s="7"/>
      <c r="N228" s="26"/>
    </row>
    <row r="229" spans="1:14" ht="14.25" thickBot="1" x14ac:dyDescent="0.25">
      <c r="B229" s="3" t="s">
        <v>298</v>
      </c>
      <c r="D229" s="11" t="s">
        <v>875</v>
      </c>
      <c r="F229" s="258" t="s">
        <v>43</v>
      </c>
      <c r="N229" s="25"/>
    </row>
    <row r="230" spans="1:14" ht="2.1" customHeight="1" x14ac:dyDescent="0.2">
      <c r="F230" s="7"/>
      <c r="N230" s="26"/>
    </row>
    <row r="231" spans="1:14" x14ac:dyDescent="0.2">
      <c r="C231" s="3" t="s">
        <v>299</v>
      </c>
      <c r="F231" s="30" t="str">
        <f>IF($F$229="x","x","-")</f>
        <v>-</v>
      </c>
      <c r="H231" s="12" t="str">
        <f>IF(OR($F$229="x",J231="x"),"-",IF(F231="x","-","x"))</f>
        <v>x</v>
      </c>
      <c r="J231" s="7"/>
      <c r="L231" s="7"/>
      <c r="N231" s="25"/>
    </row>
    <row r="232" spans="1:14" ht="2.1" customHeight="1" x14ac:dyDescent="0.2">
      <c r="F232" s="7"/>
      <c r="H232" s="7"/>
      <c r="N232" s="26"/>
    </row>
    <row r="233" spans="1:14" x14ac:dyDescent="0.2">
      <c r="C233" s="3" t="s">
        <v>294</v>
      </c>
      <c r="D233" s="11"/>
      <c r="F233" s="30" t="str">
        <f>IF($F$229="x","x","-")</f>
        <v>-</v>
      </c>
      <c r="H233" s="12" t="str">
        <f>IF(OR($F$229="x",J233="x"),"-",IF(F233="x","-","x"))</f>
        <v>x</v>
      </c>
      <c r="J233" s="7"/>
      <c r="L233" s="7"/>
      <c r="N233" s="25"/>
    </row>
    <row r="234" spans="1:14" ht="2.1" customHeight="1" x14ac:dyDescent="0.2">
      <c r="F234" s="7"/>
      <c r="H234" s="7"/>
      <c r="J234" s="7"/>
      <c r="N234" s="26"/>
    </row>
    <row r="235" spans="1:14" ht="14.1" customHeight="1" x14ac:dyDescent="0.2">
      <c r="C235" s="3" t="s">
        <v>375</v>
      </c>
      <c r="D235" s="11"/>
      <c r="F235" s="30" t="str">
        <f>IF($F$229="x","x","-")</f>
        <v>-</v>
      </c>
      <c r="H235" s="12" t="str">
        <f>IF(OR($F$229="x",J235="x"),"-",IF(F235="x","-","x"))</f>
        <v>x</v>
      </c>
      <c r="J235" s="7"/>
      <c r="L235" s="7"/>
      <c r="N235" s="25"/>
    </row>
    <row r="236" spans="1:14" ht="2.1" customHeight="1" x14ac:dyDescent="0.2">
      <c r="A236" s="2"/>
      <c r="B236" s="2"/>
      <c r="F236" s="7"/>
      <c r="N236" s="26"/>
    </row>
    <row r="237" spans="1:14" ht="13.9" customHeight="1" x14ac:dyDescent="0.2">
      <c r="A237" s="2"/>
      <c r="B237" s="2"/>
      <c r="C237" s="3" t="s">
        <v>380</v>
      </c>
      <c r="D237" s="11"/>
      <c r="F237" s="30" t="str">
        <f>IF($F$229="x","x","-")</f>
        <v>-</v>
      </c>
      <c r="H237" s="12" t="str">
        <f>IF(OR($F$229="x",J237="x"),"-",IF(F237="x","-","x"))</f>
        <v>x</v>
      </c>
      <c r="J237" s="7"/>
      <c r="L237" s="7"/>
      <c r="N237" s="25"/>
    </row>
    <row r="238" spans="1:14" ht="2.1" customHeight="1" x14ac:dyDescent="0.2">
      <c r="A238" s="2"/>
      <c r="B238" s="2"/>
      <c r="F238" s="7"/>
      <c r="N238" s="26"/>
    </row>
    <row r="239" spans="1:14" ht="35.25" customHeight="1" thickBot="1" x14ac:dyDescent="0.25">
      <c r="A239" s="2"/>
      <c r="B239" s="2"/>
      <c r="F239" s="7"/>
      <c r="N239" s="26"/>
    </row>
    <row r="240" spans="1:14" ht="14.25" thickBot="1" x14ac:dyDescent="0.25">
      <c r="B240" s="3" t="s">
        <v>304</v>
      </c>
      <c r="D240" s="11" t="s">
        <v>875</v>
      </c>
      <c r="F240" s="258" t="s">
        <v>43</v>
      </c>
      <c r="N240" s="25"/>
    </row>
    <row r="241" spans="1:14" ht="2.1" customHeight="1" x14ac:dyDescent="0.2">
      <c r="F241" s="7"/>
      <c r="N241" s="26"/>
    </row>
    <row r="242" spans="1:14" x14ac:dyDescent="0.2">
      <c r="C242" s="3" t="s">
        <v>293</v>
      </c>
      <c r="F242" s="30" t="str">
        <f>IF($F$240="x","x","-")</f>
        <v>-</v>
      </c>
      <c r="H242" s="12" t="str">
        <f>IF(OR($F$240="x",J242="x"),"-",IF(F242="x","-","x"))</f>
        <v>x</v>
      </c>
      <c r="J242" s="7"/>
      <c r="L242" s="7"/>
      <c r="N242" s="25"/>
    </row>
    <row r="243" spans="1:14" ht="2.1" customHeight="1" x14ac:dyDescent="0.2">
      <c r="F243" s="7"/>
      <c r="H243" s="7"/>
      <c r="N243" s="26"/>
    </row>
    <row r="244" spans="1:14" x14ac:dyDescent="0.2">
      <c r="C244" s="3" t="s">
        <v>294</v>
      </c>
      <c r="D244" s="11"/>
      <c r="F244" s="30" t="str">
        <f>IF($F$240="x","x","-")</f>
        <v>-</v>
      </c>
      <c r="H244" s="12" t="str">
        <f>IF(OR($F$240="x",J244="x"),"-",IF(F244="x","-","x"))</f>
        <v>x</v>
      </c>
      <c r="J244" s="7"/>
      <c r="L244" s="7"/>
      <c r="N244" s="25"/>
    </row>
    <row r="245" spans="1:14" ht="2.1" customHeight="1" x14ac:dyDescent="0.2">
      <c r="F245" s="7"/>
      <c r="H245" s="7"/>
      <c r="J245" s="7"/>
      <c r="N245" s="26"/>
    </row>
    <row r="246" spans="1:14" x14ac:dyDescent="0.2">
      <c r="C246" s="3" t="s">
        <v>375</v>
      </c>
      <c r="D246" s="11"/>
      <c r="F246" s="30" t="str">
        <f>IF($F$240="x","x","-")</f>
        <v>-</v>
      </c>
      <c r="H246" s="12" t="str">
        <f>IF(OR($F$240="x",J246="x"),"-",IF(F246="x","-","x"))</f>
        <v>x</v>
      </c>
      <c r="J246" s="7"/>
      <c r="L246" s="7"/>
      <c r="N246" s="25"/>
    </row>
    <row r="247" spans="1:14" ht="2.1" customHeight="1" x14ac:dyDescent="0.2">
      <c r="A247" s="2"/>
      <c r="B247" s="2"/>
      <c r="F247" s="7"/>
      <c r="N247" s="26"/>
    </row>
    <row r="248" spans="1:14" ht="13.9" customHeight="1" x14ac:dyDescent="0.2">
      <c r="A248" s="2"/>
      <c r="B248" s="2"/>
      <c r="C248" s="3" t="s">
        <v>377</v>
      </c>
      <c r="D248" s="11"/>
      <c r="F248" s="30" t="str">
        <f>IF($F$240="x","x","-")</f>
        <v>-</v>
      </c>
      <c r="H248" s="12" t="str">
        <f>IF(OR($F$240="x",J248="x"),"-",IF(F248="x","-","x"))</f>
        <v>x</v>
      </c>
      <c r="J248" s="30" t="s">
        <v>43</v>
      </c>
      <c r="L248" s="7"/>
      <c r="N248" s="25"/>
    </row>
    <row r="249" spans="1:14" ht="13.5" customHeight="1" thickBot="1" x14ac:dyDescent="0.25">
      <c r="A249" s="2"/>
      <c r="B249" s="2"/>
      <c r="F249" s="7"/>
      <c r="N249" s="26"/>
    </row>
    <row r="250" spans="1:14" ht="14.25" thickBot="1" x14ac:dyDescent="0.25">
      <c r="B250" s="3" t="s">
        <v>305</v>
      </c>
      <c r="D250" s="11" t="s">
        <v>875</v>
      </c>
      <c r="E250" s="11"/>
      <c r="F250" s="258" t="s">
        <v>43</v>
      </c>
      <c r="N250" s="25"/>
    </row>
    <row r="251" spans="1:14" ht="2.1" customHeight="1" x14ac:dyDescent="0.2">
      <c r="F251" s="7"/>
      <c r="N251" s="26"/>
    </row>
    <row r="252" spans="1:14" x14ac:dyDescent="0.2">
      <c r="C252" s="3" t="s">
        <v>293</v>
      </c>
      <c r="F252" s="30" t="str">
        <f>IF($F$250="x","x","-")</f>
        <v>-</v>
      </c>
      <c r="H252" s="12" t="str">
        <f>IF(OR($F$250="x",J252="x"),"-",IF(F252="x","-","x"))</f>
        <v>x</v>
      </c>
      <c r="J252" s="7"/>
      <c r="L252" s="7"/>
      <c r="N252" s="25"/>
    </row>
    <row r="253" spans="1:14" ht="2.1" customHeight="1" x14ac:dyDescent="0.2">
      <c r="F253" s="7"/>
      <c r="H253" s="7"/>
      <c r="N253" s="26"/>
    </row>
    <row r="254" spans="1:14" x14ac:dyDescent="0.2">
      <c r="C254" s="3" t="s">
        <v>294</v>
      </c>
      <c r="D254" s="11"/>
      <c r="F254" s="30" t="str">
        <f>IF($F$250="x","x","-")</f>
        <v>-</v>
      </c>
      <c r="H254" s="12" t="str">
        <f>IF(OR($F$250="x",J254="x"),"-",IF(F254="x","-","x"))</f>
        <v>x</v>
      </c>
      <c r="J254" s="7"/>
      <c r="L254" s="7"/>
      <c r="N254" s="25"/>
    </row>
    <row r="255" spans="1:14" ht="2.1" customHeight="1" x14ac:dyDescent="0.2">
      <c r="F255" s="7"/>
      <c r="H255" s="7"/>
      <c r="J255" s="7"/>
      <c r="N255" s="26"/>
    </row>
    <row r="256" spans="1:14" x14ac:dyDescent="0.2">
      <c r="C256" s="3" t="s">
        <v>375</v>
      </c>
      <c r="D256" s="11"/>
      <c r="F256" s="30" t="str">
        <f>IF($F$250="x","x","-")</f>
        <v>-</v>
      </c>
      <c r="H256" s="12" t="str">
        <f>IF(OR($F$250="x",J256="x"),"-",IF(F256="x","-","x"))</f>
        <v>x</v>
      </c>
      <c r="J256" s="7"/>
      <c r="L256" s="7"/>
      <c r="N256" s="25"/>
    </row>
    <row r="257" spans="1:16" x14ac:dyDescent="0.2">
      <c r="D257" s="99"/>
      <c r="E257" s="54"/>
      <c r="F257" s="55"/>
      <c r="G257" s="54"/>
      <c r="H257" s="56"/>
      <c r="I257" s="54"/>
      <c r="J257" s="57"/>
      <c r="L257" s="7"/>
    </row>
    <row r="258" spans="1:16" ht="63.75" customHeight="1" x14ac:dyDescent="0.2">
      <c r="D258" s="99"/>
      <c r="E258" s="54"/>
      <c r="F258" s="55"/>
      <c r="G258" s="54"/>
      <c r="H258" s="56"/>
      <c r="I258" s="54"/>
      <c r="J258" s="57"/>
      <c r="L258" s="7"/>
    </row>
    <row r="259" spans="1:16" ht="75" customHeight="1" x14ac:dyDescent="0.2">
      <c r="D259" s="99"/>
      <c r="E259" s="54"/>
      <c r="F259" s="55"/>
      <c r="G259" s="54"/>
      <c r="H259" s="56"/>
      <c r="I259" s="54"/>
      <c r="J259" s="57"/>
      <c r="L259" s="7"/>
    </row>
    <row r="260" spans="1:16" ht="21.6" customHeight="1" x14ac:dyDescent="0.2">
      <c r="D260" s="99"/>
      <c r="E260" s="54"/>
      <c r="F260" s="55"/>
      <c r="G260" s="54"/>
      <c r="H260" s="56"/>
      <c r="I260" s="54"/>
      <c r="J260" s="57"/>
      <c r="L260" s="7"/>
    </row>
    <row r="261" spans="1:16" ht="24" customHeight="1" x14ac:dyDescent="0.2">
      <c r="D261" s="99"/>
      <c r="E261" s="54"/>
      <c r="F261" s="55"/>
      <c r="G261" s="54"/>
      <c r="H261" s="56"/>
      <c r="I261" s="54"/>
      <c r="J261" s="57"/>
      <c r="L261" s="7"/>
    </row>
    <row r="262" spans="1:16" ht="24" customHeight="1" x14ac:dyDescent="0.2">
      <c r="D262" s="99"/>
      <c r="E262" s="54"/>
      <c r="F262" s="55"/>
      <c r="G262" s="54"/>
      <c r="H262" s="56"/>
      <c r="I262" s="54"/>
      <c r="J262" s="57"/>
      <c r="L262" s="7"/>
    </row>
    <row r="263" spans="1:16" s="34" customFormat="1" ht="30" customHeight="1" x14ac:dyDescent="0.2">
      <c r="C263" s="35"/>
      <c r="D263" s="35"/>
      <c r="E263" s="35"/>
      <c r="F263" s="41"/>
      <c r="H263" s="36"/>
    </row>
    <row r="264" spans="1:16" s="39" customFormat="1" ht="52.5" customHeight="1" x14ac:dyDescent="0.2">
      <c r="A264" s="2" t="s">
        <v>542</v>
      </c>
      <c r="B264" s="34"/>
      <c r="C264" s="35"/>
      <c r="D264" s="35"/>
      <c r="E264" s="35"/>
      <c r="F264" s="34"/>
      <c r="G264" s="34"/>
      <c r="H264" s="36"/>
      <c r="I264" s="34"/>
      <c r="J264" s="34"/>
      <c r="K264" s="34"/>
      <c r="L264" s="34"/>
      <c r="M264" s="34"/>
      <c r="N264" s="34"/>
      <c r="P264" s="39" t="e">
        <f>MATCH("x",#REF!,0)</f>
        <v>#REF!</v>
      </c>
    </row>
    <row r="265" spans="1:16" s="39" customFormat="1" ht="1.5" customHeight="1" x14ac:dyDescent="0.2">
      <c r="A265" s="34"/>
      <c r="B265" s="34"/>
      <c r="C265" s="35"/>
      <c r="D265" s="35"/>
      <c r="E265" s="35"/>
      <c r="F265" s="34"/>
      <c r="G265" s="34"/>
      <c r="H265" s="36"/>
      <c r="I265" s="34"/>
      <c r="J265" s="34"/>
      <c r="K265" s="34"/>
      <c r="L265" s="34"/>
      <c r="M265" s="34"/>
      <c r="N265" s="34"/>
    </row>
    <row r="266" spans="1:16" s="39" customFormat="1" ht="70.5" customHeight="1" x14ac:dyDescent="0.2">
      <c r="A266" s="52"/>
      <c r="B266" s="404"/>
      <c r="C266" s="404"/>
      <c r="D266" s="404"/>
      <c r="E266" s="404"/>
      <c r="F266" s="404"/>
      <c r="G266" s="404"/>
      <c r="H266" s="404"/>
      <c r="I266" s="404"/>
      <c r="J266" s="404"/>
      <c r="K266" s="404"/>
      <c r="L266" s="404"/>
      <c r="M266" s="404"/>
      <c r="N266" s="404"/>
      <c r="O266" s="52"/>
      <c r="P266" s="52"/>
    </row>
    <row r="267" spans="1:16" s="34" customFormat="1" ht="20.100000000000001" customHeight="1" x14ac:dyDescent="0.2">
      <c r="C267" s="35"/>
      <c r="D267" s="35"/>
      <c r="E267" s="35"/>
      <c r="H267" s="36"/>
    </row>
    <row r="268" spans="1:16" x14ac:dyDescent="0.2">
      <c r="A268" s="2" t="s">
        <v>38</v>
      </c>
      <c r="D268" s="34" t="b">
        <f>ISTEXT(B266)</f>
        <v>0</v>
      </c>
    </row>
    <row r="269" spans="1:16" ht="1.5" customHeight="1" x14ac:dyDescent="0.2">
      <c r="A269" s="2"/>
    </row>
    <row r="270" spans="1:16" ht="14.25" x14ac:dyDescent="0.2">
      <c r="A270" s="2"/>
      <c r="B270" s="3" t="s">
        <v>448</v>
      </c>
      <c r="D270" s="69" t="str">
        <f>IF(OR(COUNTIF(H15:H31,"x")=0,COUNTIF(F270,"x")&gt;0),"erfüllt", "nicht erfüllt")</f>
        <v>nicht erfüllt</v>
      </c>
      <c r="F270" s="30" t="s">
        <v>43</v>
      </c>
      <c r="H270" s="3" t="s">
        <v>451</v>
      </c>
    </row>
    <row r="271" spans="1:16" ht="1.5" customHeight="1" x14ac:dyDescent="0.2">
      <c r="A271" s="2"/>
    </row>
    <row r="272" spans="1:16" ht="14.25" x14ac:dyDescent="0.2">
      <c r="B272" s="3" t="s">
        <v>251</v>
      </c>
      <c r="D272" s="69" t="str">
        <f>IF(OR(COUNTIF(H34:H256,"x")=0,COUNTIF(F272,"x")&gt;0),"erfüllt", "nicht erfüllt")</f>
        <v>nicht erfüllt</v>
      </c>
      <c r="F272" s="30" t="s">
        <v>43</v>
      </c>
      <c r="H272" s="3" t="s">
        <v>449</v>
      </c>
    </row>
    <row r="273" spans="1:18" ht="1.5" customHeight="1" x14ac:dyDescent="0.2">
      <c r="D273" s="89"/>
    </row>
    <row r="275" spans="1:18" ht="13.5" customHeight="1" x14ac:dyDescent="0.2">
      <c r="A275" s="34"/>
      <c r="B275" s="3" t="s">
        <v>39</v>
      </c>
      <c r="D275" s="3" t="str">
        <f>IF(ISTEXT(Name_Kontr),Name_Kontr,"")</f>
        <v/>
      </c>
      <c r="F275" s="328" t="str">
        <f>IF(AND(NOT(D268),COUNTIF(F270:F272,"x")&gt;0),"Begründung und Empfehlung des weiteren Vorgehens erforderlich.","")</f>
        <v/>
      </c>
      <c r="G275" s="328"/>
      <c r="H275" s="328"/>
      <c r="I275" s="328"/>
      <c r="J275" s="328"/>
      <c r="K275" s="328"/>
      <c r="L275" s="328"/>
      <c r="M275" s="328"/>
      <c r="N275" s="328"/>
    </row>
    <row r="276" spans="1:18" ht="2.1" customHeight="1" x14ac:dyDescent="0.2">
      <c r="A276" s="34" t="s">
        <v>42</v>
      </c>
      <c r="D276" s="3" t="e">
        <f>IF(D243="befreit","-",'EN-Kt.'!#REF!)</f>
        <v>#REF!</v>
      </c>
      <c r="F276" s="328"/>
      <c r="G276" s="328"/>
      <c r="H276" s="328"/>
      <c r="I276" s="328"/>
      <c r="J276" s="328"/>
      <c r="K276" s="328"/>
      <c r="L276" s="328"/>
      <c r="M276" s="328"/>
      <c r="N276" s="328"/>
    </row>
    <row r="277" spans="1:18" x14ac:dyDescent="0.2">
      <c r="A277" s="34" t="s">
        <v>43</v>
      </c>
      <c r="B277" s="3" t="s">
        <v>40</v>
      </c>
      <c r="D277" s="113">
        <f ca="1">Datum</f>
        <v>45866</v>
      </c>
      <c r="F277" s="328"/>
      <c r="G277" s="328"/>
      <c r="H277" s="328"/>
      <c r="I277" s="328"/>
      <c r="J277" s="328"/>
      <c r="K277" s="328"/>
      <c r="L277" s="328"/>
      <c r="M277" s="328"/>
      <c r="N277" s="328"/>
    </row>
    <row r="287" spans="1:18" ht="15.75" x14ac:dyDescent="0.25">
      <c r="L287" s="28"/>
      <c r="N287" s="28"/>
      <c r="O287" s="28"/>
      <c r="Q287"/>
      <c r="R287"/>
    </row>
  </sheetData>
  <sheetProtection algorithmName="SHA-512" hashValue="g3ny6m1/mYpYXwoF57l41qhvCrOmwiB18M4Rd3rs6Ake+dKFkl7D2RLmWsjY5jUPY8PEcdH1n9UbJSmcRjQhrg==" saltValue="NWrvyBCHCxn+qR3AO47d3w==" spinCount="100000" sheet="1" formatRows="0"/>
  <mergeCells count="5">
    <mergeCell ref="B266:N266"/>
    <mergeCell ref="F275:N277"/>
    <mergeCell ref="D5:M5"/>
    <mergeCell ref="D7:M7"/>
    <mergeCell ref="D11:M11"/>
  </mergeCells>
  <phoneticPr fontId="7" type="noConversion"/>
  <conditionalFormatting sqref="B199:N203">
    <cfRule type="expression" dxfId="156" priority="57">
      <formula>$F$197="x"</formula>
    </cfRule>
  </conditionalFormatting>
  <conditionalFormatting sqref="C189:L189 C191:L191 C193:L193 C188:E188 G188 I188:L188 C190:E190 G190 I190:L190 C192:E192 G192 I192:L192 C194:E194 G194 I194:L194">
    <cfRule type="expression" dxfId="155" priority="360">
      <formula>#REF!="x"</formula>
    </cfRule>
  </conditionalFormatting>
  <conditionalFormatting sqref="C54:N60 B52">
    <cfRule type="expression" dxfId="154" priority="49">
      <formula>$D$54=""</formula>
    </cfRule>
  </conditionalFormatting>
  <conditionalFormatting sqref="C64:N70 B62">
    <cfRule type="expression" dxfId="153" priority="40">
      <formula>$D$64=""</formula>
    </cfRule>
  </conditionalFormatting>
  <conditionalFormatting sqref="C74:N80 B72">
    <cfRule type="expression" dxfId="152" priority="37">
      <formula>$D$74=""</formula>
    </cfRule>
  </conditionalFormatting>
  <conditionalFormatting sqref="D270">
    <cfRule type="beginsWith" dxfId="151" priority="1" operator="beginsWith" text="erfüllt">
      <formula>LEFT(D270,LEN("erfüllt"))="erfüllt"</formula>
    </cfRule>
    <cfRule type="containsText" dxfId="150" priority="2" operator="containsText" text="nicht erfüllt">
      <formula>NOT(ISERROR(SEARCH("nicht erfüllt",D270)))</formula>
    </cfRule>
  </conditionalFormatting>
  <conditionalFormatting sqref="D272:D273">
    <cfRule type="beginsWith" dxfId="148" priority="31" operator="beginsWith" text="erfüllt">
      <formula>LEFT(D272,LEN("erfüllt"))="erfüllt"</formula>
    </cfRule>
    <cfRule type="containsText" dxfId="147" priority="32" operator="containsText" text="nicht erfüllt">
      <formula>NOT(ISERROR(SEARCH("nicht erfüllt",D272)))</formula>
    </cfRule>
  </conditionalFormatting>
  <conditionalFormatting sqref="F62">
    <cfRule type="expression" dxfId="145" priority="47">
      <formula>IF(ISTEXT($D$54),FALSE,TRUE)</formula>
    </cfRule>
  </conditionalFormatting>
  <conditionalFormatting sqref="F72">
    <cfRule type="expression" dxfId="144" priority="46">
      <formula>IF(ISTEXT($D$54),FALSE,TRUE)</formula>
    </cfRule>
  </conditionalFormatting>
  <conditionalFormatting sqref="H15:H256">
    <cfRule type="cellIs" dxfId="143" priority="4" operator="equal">
      <formula>"x"</formula>
    </cfRule>
  </conditionalFormatting>
  <conditionalFormatting sqref="H90">
    <cfRule type="expression" dxfId="142" priority="23">
      <formula>$F$90="x"</formula>
    </cfRule>
  </conditionalFormatting>
  <conditionalFormatting sqref="H188">
    <cfRule type="expression" dxfId="141" priority="8">
      <formula>$F$218="x"</formula>
    </cfRule>
  </conditionalFormatting>
  <conditionalFormatting sqref="H190">
    <cfRule type="expression" dxfId="140" priority="7">
      <formula>$F$218="x"</formula>
    </cfRule>
  </conditionalFormatting>
  <conditionalFormatting sqref="H192">
    <cfRule type="expression" dxfId="139" priority="6">
      <formula>$F$218="x"</formula>
    </cfRule>
  </conditionalFormatting>
  <conditionalFormatting sqref="H194">
    <cfRule type="expression" dxfId="138" priority="5">
      <formula>$F$218="x"</formula>
    </cfRule>
  </conditionalFormatting>
  <conditionalFormatting sqref="J90">
    <cfRule type="expression" dxfId="137" priority="25">
      <formula>$F$90="x"</formula>
    </cfRule>
  </conditionalFormatting>
  <conditionalFormatting sqref="L90">
    <cfRule type="expression" dxfId="136" priority="24">
      <formula>$F$90="x"</formula>
    </cfRule>
  </conditionalFormatting>
  <conditionalFormatting sqref="N167">
    <cfRule type="expression" dxfId="135" priority="34">
      <formula>$F$140="x"</formula>
    </cfRule>
  </conditionalFormatting>
  <dataValidations count="4">
    <dataValidation type="list" allowBlank="1" showInputMessage="1" showErrorMessage="1" sqref="E287:I287 E305:I325" xr:uid="{00000000-0002-0000-0500-000000000000}">
      <formula1>Erzeugung</formula1>
    </dataValidation>
    <dataValidation type="list" allowBlank="1" showInputMessage="1" showErrorMessage="1" sqref="F202" xr:uid="{00000000-0002-0000-0500-000001000000}">
      <formula1>$A$106:$A$107</formula1>
    </dataValidation>
    <dataValidation type="list" allowBlank="1" showInputMessage="1" showErrorMessage="1" sqref="F17 J173 F62 F52 J215 J226 J248 F254 F252 F244 F180 F248 F242 F226 F237 F256:F262 F235 F233 F230:F231 F177:F178 F224 F222 F220 F215 F156 F213 F211 F209 F96 F161 F201 F199 F272 F194 F192 F190 F188 F182:F183 J163 F169 J165 F165 J138:K138 F136 F134 F132 F127 J156 L163 F154 F152 F150 F148 F146 F144 F142 F138 J127 F125 F123 F121 F116 J116 F114 F112 F163 F110 J104 F104 F102 F100 F38:F40 L92 L96 J96 F94 F92 J171 F203 F86 F84 L84 F80 F78 F76 F74 F70 F68 F66 F64 F60 F58 F56 F54 F50 F48 F46 F44 F72 F36 F34 L21 J29 L165 F29 F27 F25 F23 F21 F19 F31 F171 F173:F174 F246" xr:uid="{00000000-0002-0000-0500-000002000000}">
      <formula1>$A$111:$A$112</formula1>
    </dataValidation>
    <dataValidation type="list" allowBlank="1" showInputMessage="1" showErrorMessage="1" sqref="H84 H86" xr:uid="{00000000-0002-0000-0500-000003000000}">
      <formula1>#REF!</formula1>
    </dataValidation>
  </dataValidations>
  <hyperlinks>
    <hyperlink ref="N1" r:id="rId1" xr:uid="{95096BBE-9AD8-48E8-ABD4-AD3430B57745}"/>
    <hyperlink ref="N2" location="'EN-Kt.'!A1" display="Zurück zm EN-Kt. " xr:uid="{89686B89-FF53-4F93-AEE0-5A7F2A5EFB4C}"/>
    <hyperlink ref="B142" location="Hilfsdokumentation!A172" display="§" xr:uid="{CE4B58BE-B9DD-46F0-9B2D-E15925607807}"/>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legacyDrawingHF r:id="rId3"/>
  <extLst>
    <ext xmlns:x14="http://schemas.microsoft.com/office/spreadsheetml/2009/9/main" uri="{78C0D931-6437-407d-A8EE-F0AAD7539E65}">
      <x14:conditionalFormattings>
        <x14:conditionalFormatting xmlns:xm="http://schemas.microsoft.com/office/excel/2006/main">
          <x14:cfRule type="containsText" priority="3" operator="containsText" text="nicht" id="{73832E4C-B3D4-4DD4-9A2A-4B13988565A3}">
            <xm:f>NOT(ISERROR(SEARCH("nicht",'EN-104'!B273)))</xm:f>
            <x14:dxf>
              <font>
                <color rgb="FF9C0006"/>
              </font>
              <fill>
                <patternFill>
                  <bgColor rgb="FFFFC7CE"/>
                </patternFill>
              </fill>
            </x14:dxf>
          </x14:cfRule>
          <xm:sqref>D270</xm:sqref>
        </x14:conditionalFormatting>
        <x14:conditionalFormatting xmlns:xm="http://schemas.microsoft.com/office/excel/2006/main">
          <x14:cfRule type="containsText" priority="33" operator="containsText" text="nicht" id="{A8BAECFF-5F2C-4A7D-979B-41EC23ABB196}">
            <xm:f>NOT(ISERROR(SEARCH("nicht",'EN-104'!B266)))</xm:f>
            <x14:dxf>
              <font>
                <color rgb="FF9C0006"/>
              </font>
              <fill>
                <patternFill>
                  <bgColor rgb="FFFFC7CE"/>
                </patternFill>
              </fill>
            </x14:dxf>
          </x14:cfRule>
          <xm:sqref>D272:D273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4000000}">
          <x14:formula1>
            <xm:f>'EN-Kt.'!$A$207:$A$208</xm:f>
          </x14:formula1>
          <xm:sqref>J19 F15 F270 F90 F108 F119 F130 F140 F159 F167 F176 F186 F197 F207 F218 F229 F240 F250</xm:sqref>
        </x14:dataValidation>
        <x14:dataValidation type="list" allowBlank="1" showInputMessage="1" showErrorMessage="1" xr:uid="{00000000-0002-0000-0500-000005000000}">
          <x14:formula1>
            <xm:f>'EN-Kt.'!$C$298:$C$302</xm:f>
          </x14:formula1>
          <xm:sqref>D38</xm:sqref>
        </x14:dataValidation>
        <x14:dataValidation type="list" allowBlank="1" showInputMessage="1" showErrorMessage="1" xr:uid="{00000000-0002-0000-0500-000006000000}">
          <x14:formula1>
            <xm:f>'EN-Kt.'!$C$304:$C$307</xm:f>
          </x14:formula1>
          <xm:sqref>D9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theme="0"/>
  </sheetPr>
  <dimension ref="A1:U176"/>
  <sheetViews>
    <sheetView showGridLines="0" zoomScaleNormal="100" zoomScalePageLayoutView="70" workbookViewId="0"/>
  </sheetViews>
  <sheetFormatPr baseColWidth="10" defaultColWidth="10.875" defaultRowHeight="13.5" x14ac:dyDescent="0.2"/>
  <cols>
    <col min="1" max="1" width="4.375" style="3" customWidth="1"/>
    <col min="2" max="2" width="2.875" style="3" customWidth="1"/>
    <col min="3" max="3" width="21.375" style="3" customWidth="1"/>
    <col min="4" max="4" width="31.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6.125" style="3" customWidth="1"/>
    <col min="15" max="15" width="10.875" style="3"/>
    <col min="16" max="19" width="10.875" style="3" hidden="1" customWidth="1"/>
    <col min="20" max="21" width="0" style="3" hidden="1" customWidth="1"/>
    <col min="22" max="16384" width="10.875" style="3"/>
  </cols>
  <sheetData>
    <row r="1" spans="1:16" s="22" customFormat="1" ht="18" x14ac:dyDescent="0.25">
      <c r="A1" s="6" t="s">
        <v>211</v>
      </c>
      <c r="B1" s="6"/>
      <c r="N1" s="117" t="s">
        <v>503</v>
      </c>
      <c r="P1" s="23"/>
    </row>
    <row r="2" spans="1:16" s="22" customFormat="1" ht="18" x14ac:dyDescent="0.25">
      <c r="A2" s="6" t="s">
        <v>212</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736</v>
      </c>
      <c r="F15" s="30" t="s">
        <v>43</v>
      </c>
      <c r="H15" s="12" t="str">
        <f>IF(J15="x","-",IF(F15="x","-","x"))</f>
        <v>x</v>
      </c>
      <c r="J15" s="7"/>
      <c r="L15" s="7"/>
      <c r="N15" s="25"/>
    </row>
    <row r="16" spans="1:16" ht="2.1" customHeight="1" x14ac:dyDescent="0.2">
      <c r="A16" s="2"/>
      <c r="B16" s="2"/>
      <c r="F16" s="7"/>
      <c r="G16" s="7"/>
      <c r="H16" s="7"/>
      <c r="I16" s="7"/>
      <c r="J16" s="8"/>
      <c r="L16" s="8"/>
    </row>
    <row r="17" spans="1:21" x14ac:dyDescent="0.2">
      <c r="B17" s="3" t="s">
        <v>85</v>
      </c>
      <c r="F17" s="30" t="s">
        <v>43</v>
      </c>
      <c r="H17" s="12" t="str">
        <f>IF(J17="x","-",IF(F17="x","-","x"))</f>
        <v>x</v>
      </c>
      <c r="J17" s="30" t="s">
        <v>43</v>
      </c>
      <c r="L17" s="7"/>
      <c r="M17" s="3" t="b">
        <f>IF(Kanton="Nidwalden","Kt. NW: Nicht erforderlich bei einfachen Bauten")</f>
        <v>0</v>
      </c>
      <c r="N17" s="50"/>
    </row>
    <row r="18" spans="1:21" ht="2.1" customHeight="1" x14ac:dyDescent="0.2">
      <c r="F18" s="7"/>
      <c r="H18" s="7"/>
      <c r="J18" s="7"/>
      <c r="L18" s="7"/>
    </row>
    <row r="19" spans="1:21" x14ac:dyDescent="0.2">
      <c r="B19" s="3" t="s">
        <v>501</v>
      </c>
      <c r="F19" s="30" t="s">
        <v>43</v>
      </c>
      <c r="H19" s="12" t="str">
        <f>IF(J19="x","-",IF(F19="x","-","x"))</f>
        <v>x</v>
      </c>
      <c r="J19" s="30" t="s">
        <v>43</v>
      </c>
      <c r="L19" s="7"/>
      <c r="M19" s="3" t="b">
        <f>IF(Kanton="Nidwalden","Kt. NW: Nicht erforderlich bei einfachen Bauten")</f>
        <v>0</v>
      </c>
      <c r="N19" s="25"/>
    </row>
    <row r="20" spans="1:21" ht="1.5" customHeight="1" x14ac:dyDescent="0.2">
      <c r="F20" s="75"/>
      <c r="H20" s="76"/>
      <c r="J20" s="75"/>
      <c r="L20" s="7"/>
      <c r="N20" s="26"/>
    </row>
    <row r="21" spans="1:21" x14ac:dyDescent="0.2">
      <c r="B21" s="3" t="s">
        <v>217</v>
      </c>
      <c r="F21" s="30" t="s">
        <v>43</v>
      </c>
      <c r="H21" s="12" t="str">
        <f>IF(J21="x","-",IF(F21="x","-","x"))</f>
        <v>x</v>
      </c>
      <c r="J21" s="30" t="s">
        <v>43</v>
      </c>
      <c r="L21" s="7"/>
      <c r="M21" s="3" t="b">
        <f>IF(Kanton="Nidwalden","Kt. NW: Nicht erforderlich bei einfachen Bauten")</f>
        <v>0</v>
      </c>
      <c r="N21" s="50"/>
    </row>
    <row r="22" spans="1:21" ht="1.5" customHeight="1" x14ac:dyDescent="0.2">
      <c r="F22" s="7"/>
      <c r="H22" s="7"/>
      <c r="J22" s="7"/>
      <c r="L22" s="7"/>
    </row>
    <row r="23" spans="1:21" x14ac:dyDescent="0.2">
      <c r="B23" s="3" t="s">
        <v>231</v>
      </c>
      <c r="F23" s="30" t="s">
        <v>43</v>
      </c>
      <c r="H23" s="12" t="str">
        <f>IF(J23="x","-",IF(F23="x","-","x"))</f>
        <v>x</v>
      </c>
      <c r="J23" s="30" t="s">
        <v>43</v>
      </c>
      <c r="L23" s="7"/>
      <c r="M23" s="3" t="b">
        <f>IF(Kanton="Nidwalden","Kt. NW: Nicht erforderlich bei einfachen Bauten")</f>
        <v>0</v>
      </c>
      <c r="N23" s="25"/>
    </row>
    <row r="24" spans="1:21" ht="1.5" customHeight="1" x14ac:dyDescent="0.2">
      <c r="F24" s="27"/>
      <c r="H24" s="14"/>
      <c r="J24" s="27"/>
      <c r="L24" s="7"/>
      <c r="N24" s="26"/>
    </row>
    <row r="25" spans="1:21" ht="13.5" customHeight="1" x14ac:dyDescent="0.2">
      <c r="F25" s="7"/>
      <c r="H25" s="7"/>
      <c r="J25" s="7"/>
      <c r="L25" s="7"/>
    </row>
    <row r="26" spans="1:21" x14ac:dyDescent="0.2">
      <c r="B26" s="3" t="s">
        <v>856</v>
      </c>
      <c r="F26" s="30" t="s">
        <v>43</v>
      </c>
      <c r="N26" s="51" t="str">
        <f>IF(AND(Kanton="Schwyz",F26="-"),"&lt;- Auswahl b. Bewilligungspflicht im Meldeverfahren Kt. SZ","")</f>
        <v/>
      </c>
      <c r="S26" s="3" t="str">
        <f>IF(OR(AND(C50="-", Q26=C182),OR(Q17="III – Verwaltung",Q19="III – Verwaltung")),"nicht zulässig", IF(AND(OR(E17="x",E19="x",E21="x"),Q26=""),"Angabe fehlt",""  ))</f>
        <v/>
      </c>
    </row>
    <row r="27" spans="1:21" ht="2.1" customHeight="1" x14ac:dyDescent="0.2"/>
    <row r="28" spans="1:21" ht="15.6" customHeight="1" x14ac:dyDescent="0.2">
      <c r="B28" s="51" t="str">
        <f>IF(F26="x","Begründung im Feld 'Bemerkungen' und Angaben zur Wärmeerzeugung 1/2 erforderlich.","")</f>
        <v/>
      </c>
      <c r="N28" s="408" t="str">
        <f>IF(AND(Kanton="Nidwalden",OR(Wärmeerzeuger1="Elektro-Wassererwärmer",Wärmeerzeuger2="Elektro-Wassererwärmer")),U29,"")</f>
        <v/>
      </c>
    </row>
    <row r="29" spans="1:21" ht="63.95" customHeight="1" x14ac:dyDescent="0.2">
      <c r="A29" s="2" t="s">
        <v>113</v>
      </c>
      <c r="B29" s="2"/>
      <c r="N29" s="408"/>
      <c r="U29" s="253" t="s">
        <v>851</v>
      </c>
    </row>
    <row r="30" spans="1:21" ht="1.5" customHeight="1" x14ac:dyDescent="0.2">
      <c r="A30" s="2"/>
      <c r="B30" s="2"/>
      <c r="F30" s="7"/>
      <c r="G30" s="7"/>
      <c r="H30" s="7"/>
      <c r="I30" s="7"/>
      <c r="J30" s="8"/>
      <c r="L30" s="8"/>
    </row>
    <row r="31" spans="1:21" x14ac:dyDescent="0.2">
      <c r="B31" s="3" t="s">
        <v>215</v>
      </c>
      <c r="D31" s="79" t="s">
        <v>157</v>
      </c>
      <c r="F31" s="30" t="s">
        <v>43</v>
      </c>
      <c r="H31" s="12" t="str">
        <f>IF(J31="x","-",IF(F31="x","-","x"))</f>
        <v>x</v>
      </c>
      <c r="J31" s="30" t="s">
        <v>43</v>
      </c>
      <c r="L31" s="30" t="s">
        <v>43</v>
      </c>
      <c r="M31" s="51" t="str">
        <f>IF(AND($F$26="x",$H$31="x"),"Auswahl erforderlich","")</f>
        <v/>
      </c>
      <c r="N31" s="25"/>
      <c r="O31" s="51" t="str">
        <f>IF(OR(Wärmeerzeuger1="Holzpelletfeuerung",Wärmeerzeuger1="Holzschnitzelfeuerung"),"Hinweis: Bei Neuanlagen vermutlich KONDENSIEREND","")</f>
        <v/>
      </c>
    </row>
    <row r="32" spans="1:21" ht="1.5" customHeight="1" x14ac:dyDescent="0.2">
      <c r="D32" s="26"/>
      <c r="F32" s="27" t="s">
        <v>42</v>
      </c>
      <c r="H32" s="14"/>
      <c r="J32" s="27"/>
      <c r="L32" s="27"/>
      <c r="N32" s="26"/>
    </row>
    <row r="33" spans="2:15" x14ac:dyDescent="0.2">
      <c r="C33" s="3" t="s">
        <v>546</v>
      </c>
      <c r="D33" s="37" t="s">
        <v>549</v>
      </c>
      <c r="F33" s="27"/>
      <c r="H33" s="14"/>
      <c r="J33" s="27"/>
      <c r="L33" s="27"/>
      <c r="M33" s="51" t="str">
        <f>IF(AND($F$26="x",$H$31="x"),"Auswahl erforderlich","")</f>
        <v/>
      </c>
      <c r="N33" s="49"/>
    </row>
    <row r="34" spans="2:15" ht="1.5" customHeight="1" x14ac:dyDescent="0.2">
      <c r="D34" s="26"/>
      <c r="F34" s="27"/>
      <c r="H34" s="14"/>
      <c r="J34" s="27"/>
      <c r="L34" s="27"/>
      <c r="N34" s="93"/>
    </row>
    <row r="35" spans="2:15" x14ac:dyDescent="0.2">
      <c r="C35" s="3" t="s">
        <v>580</v>
      </c>
      <c r="D35" s="37"/>
      <c r="F35" s="27"/>
      <c r="H35" s="14"/>
      <c r="J35" s="27"/>
      <c r="L35" s="27"/>
      <c r="M35" s="51" t="str">
        <f>IF(AND($F$26="x",$H$31="x"),"Auswahl erforderlich","")</f>
        <v/>
      </c>
      <c r="N35" s="49"/>
    </row>
    <row r="36" spans="2:15" ht="2.1" customHeight="1" x14ac:dyDescent="0.2">
      <c r="F36" s="7"/>
      <c r="H36" s="7"/>
      <c r="J36" s="7"/>
      <c r="L36" s="7"/>
    </row>
    <row r="37" spans="2:15" x14ac:dyDescent="0.2">
      <c r="B37" s="3" t="s">
        <v>245</v>
      </c>
      <c r="F37" s="30" t="s">
        <v>43</v>
      </c>
      <c r="H37" s="12" t="str">
        <f>IF(J37="x","-",IF(F37="x","-","x"))</f>
        <v>x</v>
      </c>
      <c r="J37" s="30" t="s">
        <v>43</v>
      </c>
      <c r="L37" s="30" t="s">
        <v>43</v>
      </c>
      <c r="M37" s="51"/>
      <c r="N37" s="49"/>
    </row>
    <row r="38" spans="2:15" ht="2.1" customHeight="1" x14ac:dyDescent="0.2">
      <c r="F38" s="7"/>
      <c r="H38" s="7"/>
      <c r="J38" s="7"/>
      <c r="L38" s="7"/>
    </row>
    <row r="39" spans="2:15" x14ac:dyDescent="0.2">
      <c r="B39" s="3" t="s">
        <v>216</v>
      </c>
      <c r="D39" s="79"/>
      <c r="F39" s="30" t="s">
        <v>43</v>
      </c>
      <c r="H39" s="12" t="str">
        <f>IF(OR(D$39="",J39="x"),"-",IF(F39="x","-","x"))</f>
        <v>-</v>
      </c>
      <c r="J39" s="30" t="s">
        <v>43</v>
      </c>
      <c r="L39" s="30" t="s">
        <v>43</v>
      </c>
      <c r="M39" s="51" t="str">
        <f>IF(AND($F$26="x",$H$39="x"),"Auswahl erforderlich falls 2. Wärmeerzeuger vorhanden.","")</f>
        <v/>
      </c>
      <c r="N39" s="49"/>
      <c r="O39" s="51" t="str">
        <f>IF(OR(Wärmeerzeuger2="Holzpelletfeuerung",Wärmeerzeuger2="Holzschnitzelfeuerung"),"Hinweis: Bei Neuanlagen vermutlich KONDENSIEREND","")</f>
        <v/>
      </c>
    </row>
    <row r="40" spans="2:15" ht="1.5" customHeight="1" x14ac:dyDescent="0.2">
      <c r="D40" s="26"/>
      <c r="F40" s="27"/>
      <c r="H40" s="14"/>
      <c r="J40" s="27"/>
      <c r="L40" s="27"/>
      <c r="N40" s="112"/>
    </row>
    <row r="41" spans="2:15" x14ac:dyDescent="0.2">
      <c r="C41" s="3" t="s">
        <v>546</v>
      </c>
      <c r="D41" s="37"/>
      <c r="F41" s="27"/>
      <c r="H41" s="14"/>
      <c r="J41" s="27"/>
      <c r="L41" s="27"/>
      <c r="M41" s="51" t="str">
        <f>IF(AND($F$26="x",$H$39="x"),"Auswahl erforderlich falls 2. Wärmeerzeuger vorhanden.","")</f>
        <v/>
      </c>
      <c r="N41" s="49"/>
    </row>
    <row r="42" spans="2:15" ht="1.5" customHeight="1" x14ac:dyDescent="0.2">
      <c r="D42" s="37"/>
      <c r="F42" s="27"/>
      <c r="H42" s="14"/>
      <c r="J42" s="27"/>
      <c r="L42" s="27"/>
      <c r="N42" s="93"/>
    </row>
    <row r="43" spans="2:15" x14ac:dyDescent="0.2">
      <c r="C43" s="3" t="s">
        <v>580</v>
      </c>
      <c r="D43" s="37"/>
      <c r="F43" s="27"/>
      <c r="H43" s="14"/>
      <c r="J43" s="27"/>
      <c r="L43" s="27"/>
      <c r="M43" s="51" t="str">
        <f>IF(AND($F$26="x",$H$39="x"),"Auswahl erforderlich falls 2. Wärmeerzeuger vorhanden.","")</f>
        <v/>
      </c>
      <c r="N43" s="49"/>
    </row>
    <row r="44" spans="2:15" ht="2.1" customHeight="1" x14ac:dyDescent="0.2">
      <c r="F44" s="7"/>
      <c r="H44" s="7"/>
      <c r="J44" s="7"/>
      <c r="L44" s="7"/>
    </row>
    <row r="45" spans="2:15" ht="13.5" customHeight="1" x14ac:dyDescent="0.2">
      <c r="B45" s="3" t="s">
        <v>730</v>
      </c>
      <c r="F45" s="7"/>
      <c r="H45" s="7"/>
      <c r="J45" s="7"/>
      <c r="L45" s="7"/>
      <c r="M45" s="51" t="str">
        <f>IF(AND($F$26="x",$H$39="x"),"Auswahl erforderlich falls 2. Wärmeerzeuger vorhanden.","")</f>
        <v/>
      </c>
      <c r="N45" s="49"/>
    </row>
    <row r="46" spans="2:15" ht="1.5" customHeight="1" x14ac:dyDescent="0.2">
      <c r="F46" s="7"/>
      <c r="H46" s="7"/>
      <c r="J46" s="7"/>
      <c r="L46" s="7"/>
    </row>
    <row r="47" spans="2:15" ht="13.5" customHeight="1" x14ac:dyDescent="0.2">
      <c r="D47" s="79" t="s">
        <v>691</v>
      </c>
      <c r="F47" s="7"/>
      <c r="H47" s="7"/>
      <c r="J47" s="7"/>
      <c r="L47" s="7"/>
      <c r="M47" s="51" t="str">
        <f>IF(D47="Ja","GWR-Daten im 'Begleitschreiben' manuell überprüfen","")</f>
        <v/>
      </c>
      <c r="N47" s="49"/>
    </row>
    <row r="48" spans="2:15" ht="2.1" customHeight="1" x14ac:dyDescent="0.2">
      <c r="F48" s="7"/>
      <c r="H48" s="7"/>
      <c r="J48" s="7"/>
      <c r="L48" s="7"/>
    </row>
    <row r="49" spans="1:14" x14ac:dyDescent="0.2">
      <c r="B49" s="3" t="s">
        <v>245</v>
      </c>
      <c r="F49" s="30" t="s">
        <v>43</v>
      </c>
      <c r="H49" s="12" t="str">
        <f>IF(OR(D$39="",J49="x"),"-",IF(F49="x","-","x"))</f>
        <v>-</v>
      </c>
      <c r="J49" s="30" t="s">
        <v>43</v>
      </c>
      <c r="L49" s="30" t="s">
        <v>43</v>
      </c>
      <c r="N49" s="25"/>
    </row>
    <row r="50" spans="1:14" ht="2.1" customHeight="1" x14ac:dyDescent="0.2">
      <c r="F50" s="7"/>
      <c r="H50" s="7"/>
      <c r="J50" s="7"/>
      <c r="L50" s="7"/>
    </row>
    <row r="51" spans="1:14" x14ac:dyDescent="0.2">
      <c r="B51" s="3" t="s">
        <v>855</v>
      </c>
      <c r="F51" s="30" t="s">
        <v>43</v>
      </c>
      <c r="H51" s="12" t="str">
        <f>IF(J51="x","-",IF(F51="x","-","x"))</f>
        <v>x</v>
      </c>
      <c r="J51" s="30" t="s">
        <v>43</v>
      </c>
      <c r="L51" s="7"/>
      <c r="N51" s="25"/>
    </row>
    <row r="52" spans="1:14" ht="2.1" customHeight="1" x14ac:dyDescent="0.2">
      <c r="F52" s="7"/>
      <c r="H52" s="7"/>
      <c r="J52" s="7"/>
      <c r="L52" s="7"/>
    </row>
    <row r="53" spans="1:14" x14ac:dyDescent="0.2">
      <c r="B53" s="3" t="s">
        <v>879</v>
      </c>
      <c r="F53" s="30" t="s">
        <v>43</v>
      </c>
      <c r="H53" s="12" t="str">
        <f>IF(J53="x","-",IF(F53="x","-","x"))</f>
        <v>x</v>
      </c>
      <c r="J53" s="30" t="s">
        <v>43</v>
      </c>
      <c r="L53" s="7"/>
      <c r="N53" s="25"/>
    </row>
    <row r="54" spans="1:14" ht="2.1" customHeight="1" x14ac:dyDescent="0.2">
      <c r="F54" s="7"/>
      <c r="H54" s="7"/>
      <c r="J54" s="7"/>
      <c r="L54" s="7"/>
    </row>
    <row r="55" spans="1:14" x14ac:dyDescent="0.2">
      <c r="B55" s="3" t="s">
        <v>213</v>
      </c>
      <c r="F55" s="30" t="s">
        <v>43</v>
      </c>
      <c r="H55" s="12" t="str">
        <f>IF(J55="x","-",IF(F55="x","-","x"))</f>
        <v>x</v>
      </c>
      <c r="J55" s="30" t="s">
        <v>43</v>
      </c>
      <c r="L55" s="7"/>
      <c r="N55" s="25"/>
    </row>
    <row r="56" spans="1:14" ht="2.1" customHeight="1" x14ac:dyDescent="0.2">
      <c r="F56" s="7"/>
      <c r="H56" s="7"/>
      <c r="J56" s="7"/>
      <c r="L56" s="7"/>
    </row>
    <row r="57" spans="1:14" x14ac:dyDescent="0.2">
      <c r="B57" s="3" t="s">
        <v>214</v>
      </c>
      <c r="F57" s="30" t="s">
        <v>43</v>
      </c>
      <c r="H57" s="12" t="str">
        <f>IF(J57="x","-",IF(F57="x","-","x"))</f>
        <v>x</v>
      </c>
      <c r="J57" s="30" t="s">
        <v>43</v>
      </c>
      <c r="L57" s="30" t="s">
        <v>43</v>
      </c>
      <c r="N57" s="25"/>
    </row>
    <row r="58" spans="1:14" ht="20.100000000000001" customHeight="1" thickBot="1" x14ac:dyDescent="0.25"/>
    <row r="59" spans="1:14" ht="16.5" thickBot="1" x14ac:dyDescent="0.3">
      <c r="A59" s="2" t="s">
        <v>218</v>
      </c>
      <c r="B59" s="2"/>
      <c r="F59" s="258" t="s">
        <v>43</v>
      </c>
      <c r="J59" s="258" t="s">
        <v>43</v>
      </c>
      <c r="N59" s="117" t="s">
        <v>733</v>
      </c>
    </row>
    <row r="60" spans="1:14" ht="2.1" customHeight="1" x14ac:dyDescent="0.2">
      <c r="A60" s="2"/>
      <c r="B60" s="2"/>
    </row>
    <row r="61" spans="1:14" x14ac:dyDescent="0.2">
      <c r="B61" s="3" t="s">
        <v>219</v>
      </c>
      <c r="E61" s="4"/>
      <c r="F61" s="30" t="str">
        <f>IF($F$59="x","x","-")</f>
        <v>-</v>
      </c>
      <c r="H61" s="12" t="str">
        <f>IF(J61="x","-",IF(F61="x","-","x"))</f>
        <v>x</v>
      </c>
      <c r="J61" s="30" t="str">
        <f>IF($J$59="x","x","-")</f>
        <v>-</v>
      </c>
      <c r="L61" s="7"/>
      <c r="N61" s="25"/>
    </row>
    <row r="62" spans="1:14" ht="2.1" customHeight="1" x14ac:dyDescent="0.2">
      <c r="B62" s="4"/>
      <c r="E62" s="4"/>
      <c r="F62" s="7"/>
      <c r="H62" s="7"/>
      <c r="J62" s="7"/>
      <c r="L62" s="7"/>
    </row>
    <row r="63" spans="1:14" x14ac:dyDescent="0.2">
      <c r="B63" s="3" t="s">
        <v>220</v>
      </c>
      <c r="D63" s="4"/>
      <c r="E63" s="4"/>
      <c r="F63" s="30" t="str">
        <f>IF($F$59="x","x","-")</f>
        <v>-</v>
      </c>
      <c r="H63" s="12" t="str">
        <f>IF(J63="x","-",IF(F63="x","-","x"))</f>
        <v>x</v>
      </c>
      <c r="J63" s="30" t="str">
        <f>IF($J$59="x","x","-")</f>
        <v>-</v>
      </c>
      <c r="L63" s="30" t="s">
        <v>43</v>
      </c>
      <c r="N63" s="25"/>
    </row>
    <row r="64" spans="1:14" ht="2.1" customHeight="1" x14ac:dyDescent="0.2">
      <c r="B64" s="4"/>
      <c r="D64" s="4"/>
      <c r="E64" s="4"/>
      <c r="F64" s="7"/>
      <c r="H64" s="7"/>
      <c r="J64" s="7"/>
      <c r="L64" s="7"/>
    </row>
    <row r="65" spans="1:14" x14ac:dyDescent="0.2">
      <c r="B65" s="3" t="s">
        <v>221</v>
      </c>
      <c r="D65" s="4"/>
      <c r="E65" s="4"/>
      <c r="F65" s="30" t="str">
        <f>IF($F$59="x","x","-")</f>
        <v>-</v>
      </c>
      <c r="H65" s="12" t="str">
        <f>IF(J65="x","-",IF(F65="x","-","x"))</f>
        <v>x</v>
      </c>
      <c r="J65" s="30" t="str">
        <f>IF($J$59="x","x","-")</f>
        <v>-</v>
      </c>
      <c r="L65" s="7"/>
      <c r="N65" s="25"/>
    </row>
    <row r="66" spans="1:14" ht="20.100000000000001" customHeight="1" thickBot="1" x14ac:dyDescent="0.25">
      <c r="C66" s="4"/>
      <c r="D66" s="4"/>
      <c r="E66" s="4"/>
    </row>
    <row r="67" spans="1:14" ht="14.25" thickBot="1" x14ac:dyDescent="0.25">
      <c r="A67" s="2" t="s">
        <v>222</v>
      </c>
      <c r="B67" s="2"/>
      <c r="F67" s="258" t="s">
        <v>43</v>
      </c>
      <c r="J67" s="27"/>
    </row>
    <row r="68" spans="1:14" ht="2.1" customHeight="1" x14ac:dyDescent="0.2">
      <c r="A68" s="2"/>
      <c r="B68" s="2"/>
    </row>
    <row r="69" spans="1:14" x14ac:dyDescent="0.2">
      <c r="B69" s="3" t="s">
        <v>223</v>
      </c>
      <c r="F69" s="30" t="str">
        <f>IF($F$67="x","x","-")</f>
        <v>-</v>
      </c>
      <c r="H69" s="12" t="str">
        <f>IF(J69="x","-",IF(F69="x","-","x"))</f>
        <v>x</v>
      </c>
      <c r="J69" s="30" t="str">
        <f>IF($J$67="x","x","-")</f>
        <v>-</v>
      </c>
      <c r="L69" s="30" t="s">
        <v>43</v>
      </c>
      <c r="N69" s="25"/>
    </row>
    <row r="70" spans="1:14" ht="2.1" customHeight="1" x14ac:dyDescent="0.2">
      <c r="A70" s="2"/>
      <c r="F70" s="7"/>
      <c r="H70" s="7"/>
      <c r="J70" s="7"/>
      <c r="L70" s="7"/>
    </row>
    <row r="71" spans="1:14" x14ac:dyDescent="0.2">
      <c r="B71" s="3" t="s">
        <v>225</v>
      </c>
      <c r="F71" s="30" t="str">
        <f>IF($F$67="x","x","-")</f>
        <v>-</v>
      </c>
      <c r="H71" s="12" t="str">
        <f>IF(J71="x","-",IF(F71="x","-","x"))</f>
        <v>x</v>
      </c>
      <c r="J71" s="30" t="str">
        <f>IF($J$67="x","x","-")</f>
        <v>-</v>
      </c>
      <c r="L71" s="30" t="s">
        <v>43</v>
      </c>
      <c r="N71" s="25"/>
    </row>
    <row r="72" spans="1:14" ht="2.1" customHeight="1" x14ac:dyDescent="0.2">
      <c r="A72" s="2"/>
      <c r="B72" s="2"/>
      <c r="F72" s="7"/>
      <c r="H72" s="7"/>
      <c r="J72" s="7"/>
      <c r="L72" s="7"/>
    </row>
    <row r="73" spans="1:14" x14ac:dyDescent="0.2">
      <c r="B73" s="3" t="s">
        <v>226</v>
      </c>
      <c r="F73" s="30" t="str">
        <f>IF($F$67="x","x","-")</f>
        <v>-</v>
      </c>
      <c r="H73" s="12" t="str">
        <f>IF(J73="x","-",IF(F73="x","-","x"))</f>
        <v>x</v>
      </c>
      <c r="J73" s="30" t="str">
        <f>IF($J$67="x","x","-")</f>
        <v>-</v>
      </c>
      <c r="L73" s="30" t="s">
        <v>43</v>
      </c>
      <c r="N73" s="25"/>
    </row>
    <row r="74" spans="1:14" ht="2.1" customHeight="1" x14ac:dyDescent="0.2">
      <c r="A74" s="2"/>
      <c r="B74" s="2"/>
      <c r="F74" s="7"/>
      <c r="H74" s="7"/>
      <c r="J74" s="7"/>
      <c r="L74" s="7"/>
    </row>
    <row r="75" spans="1:14" x14ac:dyDescent="0.2">
      <c r="B75" s="3" t="s">
        <v>359</v>
      </c>
      <c r="F75" s="30" t="str">
        <f>IF($F$67="x","x","-")</f>
        <v>-</v>
      </c>
      <c r="H75" s="12" t="str">
        <f>IF(J75="x","-",IF(F75="x","-","x"))</f>
        <v>x</v>
      </c>
      <c r="J75" s="30" t="str">
        <f>IF($J$67="x","x","-")</f>
        <v>-</v>
      </c>
      <c r="L75" s="7"/>
      <c r="N75" s="25"/>
    </row>
    <row r="76" spans="1:14" ht="2.1" customHeight="1" x14ac:dyDescent="0.2">
      <c r="D76" s="3">
        <f>IF(D59="befreit","-",'EN-Kt.'!H44)</f>
        <v>0</v>
      </c>
    </row>
    <row r="77" spans="1:14" x14ac:dyDescent="0.2">
      <c r="B77" s="3" t="s">
        <v>227</v>
      </c>
      <c r="L77" s="30" t="s">
        <v>43</v>
      </c>
      <c r="N77" s="25"/>
    </row>
    <row r="78" spans="1:14" ht="2.1" customHeight="1" x14ac:dyDescent="0.2">
      <c r="A78" s="2"/>
      <c r="L78" s="7"/>
    </row>
    <row r="79" spans="1:14" x14ac:dyDescent="0.2">
      <c r="B79" s="3" t="s">
        <v>228</v>
      </c>
      <c r="L79" s="30" t="s">
        <v>43</v>
      </c>
      <c r="N79" s="25"/>
    </row>
    <row r="80" spans="1:14" ht="2.1" customHeight="1" x14ac:dyDescent="0.2">
      <c r="A80" s="2"/>
      <c r="L80" s="7"/>
    </row>
    <row r="81" spans="1:14" x14ac:dyDescent="0.2">
      <c r="B81" s="3" t="s">
        <v>229</v>
      </c>
      <c r="L81" s="30" t="s">
        <v>43</v>
      </c>
      <c r="N81" s="25"/>
    </row>
    <row r="82" spans="1:14" ht="20.100000000000001" customHeight="1" thickBot="1" x14ac:dyDescent="0.25">
      <c r="C82" s="4"/>
      <c r="D82" s="4"/>
      <c r="E82" s="4"/>
    </row>
    <row r="83" spans="1:14" ht="14.25" thickBot="1" x14ac:dyDescent="0.25">
      <c r="A83" s="2" t="s">
        <v>230</v>
      </c>
      <c r="B83" s="2"/>
      <c r="F83" s="258" t="s">
        <v>43</v>
      </c>
      <c r="J83" s="27"/>
    </row>
    <row r="84" spans="1:14" ht="2.1" customHeight="1" x14ac:dyDescent="0.2">
      <c r="A84" s="2"/>
      <c r="B84" s="2"/>
    </row>
    <row r="85" spans="1:14" x14ac:dyDescent="0.2">
      <c r="B85" s="3" t="s">
        <v>878</v>
      </c>
      <c r="F85" s="30" t="str">
        <f>IF($F$83="x","x","-")</f>
        <v>-</v>
      </c>
      <c r="H85" s="12" t="str">
        <f>IF(J85="x","-",IF(F85="x","-","x"))</f>
        <v>x</v>
      </c>
      <c r="J85" s="30" t="str">
        <f>IF($J$83="x","x","-")</f>
        <v>-</v>
      </c>
      <c r="L85" s="7"/>
      <c r="N85" s="25"/>
    </row>
    <row r="86" spans="1:14" ht="2.1" customHeight="1" x14ac:dyDescent="0.2">
      <c r="D86" s="3" t="e">
        <f>IF(#REF!="befreit","-",'EN-Kt.'!H87)</f>
        <v>#REF!</v>
      </c>
      <c r="F86" s="7"/>
      <c r="H86" s="7"/>
      <c r="J86" s="7"/>
      <c r="L86" s="7"/>
    </row>
    <row r="87" spans="1:14" x14ac:dyDescent="0.2">
      <c r="B87" s="3" t="s">
        <v>232</v>
      </c>
      <c r="F87" s="30" t="str">
        <f>IF($F$83="x","x","-")</f>
        <v>-</v>
      </c>
      <c r="H87" s="12" t="str">
        <f>IF(J87="x","-",IF(F87="x","-","x"))</f>
        <v>x</v>
      </c>
      <c r="J87" s="30" t="str">
        <f>IF($J$83="x","x","-")</f>
        <v>-</v>
      </c>
      <c r="L87" s="7"/>
      <c r="N87" s="25"/>
    </row>
    <row r="88" spans="1:14" ht="2.1" customHeight="1" x14ac:dyDescent="0.2">
      <c r="A88" s="2"/>
      <c r="F88" s="7"/>
      <c r="H88" s="7"/>
      <c r="J88" s="7"/>
      <c r="L88" s="7"/>
    </row>
    <row r="89" spans="1:14" x14ac:dyDescent="0.2">
      <c r="B89" s="3" t="s">
        <v>358</v>
      </c>
      <c r="F89" s="30" t="str">
        <f>IF($F$83="x","x","-")</f>
        <v>-</v>
      </c>
      <c r="H89" s="12" t="str">
        <f>IF(J89="x","-",IF(F89="x","-","x"))</f>
        <v>x</v>
      </c>
      <c r="J89" s="30" t="str">
        <f>IF($J$83="x","x","-")</f>
        <v>-</v>
      </c>
      <c r="L89" s="7"/>
      <c r="N89" s="25"/>
    </row>
    <row r="90" spans="1:14" ht="2.1" customHeight="1" x14ac:dyDescent="0.2">
      <c r="A90" s="2"/>
      <c r="B90" s="2"/>
      <c r="F90" s="7"/>
      <c r="H90" s="7"/>
      <c r="J90" s="7"/>
      <c r="L90" s="7"/>
    </row>
    <row r="91" spans="1:14" x14ac:dyDescent="0.2">
      <c r="B91" s="3" t="s">
        <v>233</v>
      </c>
      <c r="F91" s="30" t="str">
        <f>IF($F$83="x","x","-")</f>
        <v>-</v>
      </c>
      <c r="H91" s="12" t="str">
        <f>IF(J91="x","-",IF(F91="x","-","x"))</f>
        <v>x</v>
      </c>
      <c r="J91" s="30" t="str">
        <f>IF($J$83="x","x","-")</f>
        <v>-</v>
      </c>
      <c r="L91" s="30" t="s">
        <v>43</v>
      </c>
      <c r="N91" s="25"/>
    </row>
    <row r="92" spans="1:14" ht="2.1" customHeight="1" x14ac:dyDescent="0.2">
      <c r="A92" s="2"/>
      <c r="B92" s="2"/>
      <c r="F92" s="7"/>
      <c r="H92" s="7"/>
      <c r="J92" s="7"/>
    </row>
    <row r="93" spans="1:14" x14ac:dyDescent="0.2">
      <c r="B93" s="3" t="s">
        <v>234</v>
      </c>
      <c r="F93" s="30" t="str">
        <f>IF($F$83="x","x","-")</f>
        <v>-</v>
      </c>
      <c r="H93" s="12" t="str">
        <f>IF(J93="x","-",IF(F93="x","-","x"))</f>
        <v>x</v>
      </c>
      <c r="J93" s="30" t="str">
        <f>IF($J$83="x","x","-")</f>
        <v>-</v>
      </c>
      <c r="N93" s="25"/>
    </row>
    <row r="94" spans="1:14" ht="2.1" customHeight="1" x14ac:dyDescent="0.2">
      <c r="D94" s="3">
        <f>IF(D75="befreit","-",'EN-Kt.'!H93)</f>
        <v>0</v>
      </c>
      <c r="F94" s="7"/>
      <c r="H94" s="7"/>
      <c r="J94" s="7"/>
    </row>
    <row r="95" spans="1:14" x14ac:dyDescent="0.2">
      <c r="B95" s="3" t="s">
        <v>239</v>
      </c>
      <c r="F95" s="30" t="str">
        <f>IF($F$83="x","x","-")</f>
        <v>-</v>
      </c>
      <c r="H95" s="12" t="str">
        <f>IF(J95="x","-",IF(F95="x","-","x"))</f>
        <v>x</v>
      </c>
      <c r="J95" s="30" t="str">
        <f>IF($J$83="x","x","-")</f>
        <v>-</v>
      </c>
      <c r="N95" s="25"/>
    </row>
    <row r="96" spans="1:14" ht="20.100000000000001" customHeight="1" thickBot="1" x14ac:dyDescent="0.25">
      <c r="C96" s="4"/>
      <c r="D96" s="4"/>
      <c r="E96" s="4"/>
    </row>
    <row r="97" spans="1:15" ht="14.25" thickBot="1" x14ac:dyDescent="0.25">
      <c r="A97" s="2" t="s">
        <v>235</v>
      </c>
      <c r="B97" s="2"/>
      <c r="F97" s="258" t="s">
        <v>43</v>
      </c>
      <c r="J97" s="27"/>
    </row>
    <row r="98" spans="1:15" ht="2.1" customHeight="1" x14ac:dyDescent="0.2">
      <c r="A98" s="2"/>
      <c r="B98" s="2"/>
    </row>
    <row r="99" spans="1:15" x14ac:dyDescent="0.2">
      <c r="B99" s="3" t="s">
        <v>236</v>
      </c>
      <c r="F99" s="30" t="str">
        <f>IF($F$97="x","x","-")</f>
        <v>-</v>
      </c>
      <c r="H99" s="12" t="str">
        <f>IF(J99="x","-",IF(F99="x","-","x"))</f>
        <v>x</v>
      </c>
      <c r="J99" s="30" t="str">
        <f>IF($J$97="x","x","-")</f>
        <v>-</v>
      </c>
      <c r="L99" s="30" t="s">
        <v>43</v>
      </c>
      <c r="N99" s="25"/>
    </row>
    <row r="100" spans="1:15" ht="2.1" customHeight="1" x14ac:dyDescent="0.2">
      <c r="D100" s="3">
        <f ca="1">IF(D83="befreit","-",'EN-Kt.'!E113)</f>
        <v>45866</v>
      </c>
      <c r="F100" s="7"/>
      <c r="H100" s="7"/>
      <c r="J100" s="7"/>
    </row>
    <row r="101" spans="1:15" x14ac:dyDescent="0.2">
      <c r="B101" s="3" t="s">
        <v>237</v>
      </c>
      <c r="F101" s="30" t="str">
        <f>IF($F$97="x","x","-")</f>
        <v>-</v>
      </c>
      <c r="H101" s="12" t="str">
        <f>IF(J101="x","-",IF(F101="x","-","x"))</f>
        <v>x</v>
      </c>
      <c r="J101" s="30" t="str">
        <f>IF($J$97="x","x","-")</f>
        <v>-</v>
      </c>
      <c r="N101" s="25"/>
    </row>
    <row r="102" spans="1:15" ht="2.1" customHeight="1" x14ac:dyDescent="0.2">
      <c r="A102" s="2"/>
      <c r="F102" s="7"/>
      <c r="H102" s="7"/>
      <c r="J102" s="7"/>
    </row>
    <row r="103" spans="1:15" x14ac:dyDescent="0.2">
      <c r="B103" s="3" t="s">
        <v>238</v>
      </c>
      <c r="F103" s="30" t="str">
        <f>IF($F$97="x","x","-")</f>
        <v>-</v>
      </c>
      <c r="H103" s="12" t="str">
        <f>IF(J103="x","-",IF(F103="x","-","x"))</f>
        <v>x</v>
      </c>
      <c r="J103" s="30" t="str">
        <f>IF($J$97="x","x","-")</f>
        <v>-</v>
      </c>
      <c r="N103" s="25"/>
    </row>
    <row r="104" spans="1:15" ht="2.1" customHeight="1" x14ac:dyDescent="0.2">
      <c r="D104" s="3" t="e">
        <f>IF(D87="befreit","-",'EN-Kt.'!#REF!)</f>
        <v>#REF!</v>
      </c>
      <c r="F104" s="7"/>
      <c r="H104" s="7"/>
      <c r="J104" s="7"/>
    </row>
    <row r="105" spans="1:15" x14ac:dyDescent="0.2">
      <c r="B105" s="3" t="s">
        <v>224</v>
      </c>
      <c r="F105" s="30" t="str">
        <f>IF($F$97="x","x","-")</f>
        <v>-</v>
      </c>
      <c r="H105" s="12" t="str">
        <f>IF(J105="x","-",IF(F105="x","-","x"))</f>
        <v>x</v>
      </c>
      <c r="J105" s="30" t="str">
        <f>IF($J$97="x","x","-")</f>
        <v>-</v>
      </c>
      <c r="L105" s="30" t="s">
        <v>43</v>
      </c>
      <c r="N105" s="25"/>
    </row>
    <row r="106" spans="1:15" ht="35.25" customHeight="1" thickBot="1" x14ac:dyDescent="0.25">
      <c r="C106" s="4"/>
      <c r="D106" s="4"/>
      <c r="E106" s="4"/>
      <c r="F106" s="7"/>
      <c r="H106" s="7"/>
      <c r="J106" s="7"/>
    </row>
    <row r="107" spans="1:15" ht="14.25" thickBot="1" x14ac:dyDescent="0.25">
      <c r="A107" s="2" t="s">
        <v>859</v>
      </c>
      <c r="B107" s="2"/>
      <c r="F107" s="258" t="s">
        <v>43</v>
      </c>
      <c r="J107" s="258" t="s">
        <v>43</v>
      </c>
    </row>
    <row r="108" spans="1:15" ht="2.1" customHeight="1" x14ac:dyDescent="0.2">
      <c r="A108" s="2"/>
      <c r="B108" s="2"/>
    </row>
    <row r="109" spans="1:15" x14ac:dyDescent="0.2">
      <c r="B109" s="3" t="s">
        <v>557</v>
      </c>
      <c r="F109" s="30" t="str">
        <f>IF($F$107="x","x","-")</f>
        <v>-</v>
      </c>
      <c r="H109" s="12" t="str">
        <f>IF(J109="x","-",IF(F109="x","-","x"))</f>
        <v>x</v>
      </c>
      <c r="J109" s="30" t="str">
        <f>IF($J$107="x","x","-")</f>
        <v>-</v>
      </c>
      <c r="L109" s="7"/>
      <c r="N109" s="49"/>
      <c r="O109" s="51"/>
    </row>
    <row r="110" spans="1:15" ht="2.1" customHeight="1" x14ac:dyDescent="0.2">
      <c r="D110" s="3" t="e">
        <f>IF(#REF!="befreit","-",'EN-Kt.'!#REF!)</f>
        <v>#REF!</v>
      </c>
      <c r="F110" s="7"/>
      <c r="H110" s="7"/>
      <c r="J110" s="7"/>
      <c r="L110" s="7"/>
    </row>
    <row r="111" spans="1:15" x14ac:dyDescent="0.2">
      <c r="B111" s="3" t="s">
        <v>240</v>
      </c>
      <c r="F111" s="30" t="str">
        <f>IF($F$107="x","x","-")</f>
        <v>-</v>
      </c>
      <c r="H111" s="12" t="str">
        <f>IF(J111="x","-",IF(F111="x","-","x"))</f>
        <v>x</v>
      </c>
      <c r="J111" s="30" t="str">
        <f>IF($J$107="x","x","-")</f>
        <v>-</v>
      </c>
      <c r="L111" s="7"/>
      <c r="N111" s="49"/>
    </row>
    <row r="112" spans="1:15" ht="2.1" customHeight="1" x14ac:dyDescent="0.2">
      <c r="A112" s="2"/>
      <c r="F112" s="7"/>
      <c r="H112" s="7"/>
      <c r="J112" s="7"/>
      <c r="L112" s="7"/>
    </row>
    <row r="113" spans="1:19" x14ac:dyDescent="0.2">
      <c r="B113" s="3" t="s">
        <v>241</v>
      </c>
      <c r="F113" s="30" t="str">
        <f>IF($F$107="x","x","-")</f>
        <v>-</v>
      </c>
      <c r="H113" s="12" t="str">
        <f>IF(J113="x","-",IF(F113="x","-","x"))</f>
        <v>x</v>
      </c>
      <c r="J113" s="30" t="str">
        <f>IF($J$107="x","x","-")</f>
        <v>-</v>
      </c>
      <c r="L113" s="7"/>
      <c r="N113" s="25"/>
    </row>
    <row r="114" spans="1:19" ht="2.1" customHeight="1" x14ac:dyDescent="0.2">
      <c r="A114" s="2"/>
      <c r="B114" s="2"/>
      <c r="F114" s="7"/>
      <c r="H114" s="7"/>
      <c r="J114" s="7"/>
      <c r="L114" s="7"/>
    </row>
    <row r="115" spans="1:19" x14ac:dyDescent="0.2">
      <c r="B115" s="3" t="s">
        <v>242</v>
      </c>
      <c r="F115" s="30" t="str">
        <f>IF($F$107="x","x","-")</f>
        <v>-</v>
      </c>
      <c r="H115" s="12" t="str">
        <f>IF(J115="x","-",IF(F115="x","-","x"))</f>
        <v>x</v>
      </c>
      <c r="J115" s="30" t="str">
        <f>IF($J$107="x","x","-")</f>
        <v>-</v>
      </c>
      <c r="L115" s="30" t="s">
        <v>43</v>
      </c>
      <c r="N115" s="25"/>
    </row>
    <row r="116" spans="1:19" ht="2.1" customHeight="1" x14ac:dyDescent="0.2">
      <c r="A116" s="2"/>
      <c r="B116" s="2"/>
      <c r="F116" s="7"/>
      <c r="H116" s="7"/>
      <c r="J116" s="7"/>
    </row>
    <row r="117" spans="1:19" x14ac:dyDescent="0.2">
      <c r="B117" s="3" t="s">
        <v>243</v>
      </c>
      <c r="F117" s="30" t="str">
        <f>IF($F$107="x","x","-")</f>
        <v>-</v>
      </c>
      <c r="H117" s="12" t="str">
        <f>IF(J117="x","-",IF(F117="x","-","x"))</f>
        <v>x</v>
      </c>
      <c r="J117" s="30" t="str">
        <f>IF($J$107="x","x","-")</f>
        <v>-</v>
      </c>
      <c r="N117" s="25"/>
    </row>
    <row r="118" spans="1:19" ht="2.1" customHeight="1" x14ac:dyDescent="0.2">
      <c r="D118" s="3" t="e">
        <f>IF(D99="befreit","-",'EN-Kt.'!#REF!)</f>
        <v>#REF!</v>
      </c>
      <c r="F118" s="7"/>
      <c r="H118" s="7"/>
      <c r="J118" s="7"/>
    </row>
    <row r="119" spans="1:19" x14ac:dyDescent="0.2">
      <c r="B119" s="3" t="s">
        <v>244</v>
      </c>
      <c r="F119" s="30" t="str">
        <f>IF($F$107="x","x","-")</f>
        <v>-</v>
      </c>
      <c r="H119" s="12" t="str">
        <f>IF(J119="x","-",IF(F119="x","-","x"))</f>
        <v>x</v>
      </c>
      <c r="J119" s="30" t="str">
        <f>IF($J$107="x","x","-")</f>
        <v>-</v>
      </c>
      <c r="N119" s="25"/>
      <c r="P119" s="3" t="s">
        <v>108</v>
      </c>
      <c r="Q119" s="3" t="s">
        <v>427</v>
      </c>
      <c r="R119" s="3" t="s">
        <v>753</v>
      </c>
      <c r="S119" s="3" t="s">
        <v>754</v>
      </c>
    </row>
    <row r="120" spans="1:19" ht="84" customHeight="1" x14ac:dyDescent="0.2">
      <c r="N120" s="262" t="str">
        <f>IF(Kanton="Schwyz",S120,"")</f>
        <v/>
      </c>
      <c r="O120" s="51"/>
      <c r="S120" s="253" t="s">
        <v>861</v>
      </c>
    </row>
    <row r="121" spans="1:19" ht="46.9" customHeight="1" x14ac:dyDescent="0.2">
      <c r="O121" s="51"/>
    </row>
    <row r="122" spans="1:19" ht="72.75" customHeight="1" x14ac:dyDescent="0.2">
      <c r="O122" s="51"/>
    </row>
    <row r="123" spans="1:19" ht="72.75" customHeight="1" x14ac:dyDescent="0.2">
      <c r="O123" s="51"/>
    </row>
    <row r="124" spans="1:19" ht="72.75" customHeight="1" x14ac:dyDescent="0.2">
      <c r="O124" s="51"/>
    </row>
    <row r="125" spans="1:19" ht="26.1" customHeight="1" x14ac:dyDescent="0.2">
      <c r="O125" s="51"/>
    </row>
    <row r="126" spans="1:19" ht="44.1" customHeight="1" x14ac:dyDescent="0.2">
      <c r="O126" s="51"/>
    </row>
    <row r="127" spans="1:19" ht="46.5" customHeight="1" x14ac:dyDescent="0.2">
      <c r="O127" s="51"/>
    </row>
    <row r="128" spans="1:19" s="39" customFormat="1" ht="109.5" customHeight="1" x14ac:dyDescent="0.2">
      <c r="A128" s="2" t="s">
        <v>542</v>
      </c>
      <c r="B128" s="34"/>
      <c r="C128" s="35"/>
      <c r="D128" s="35"/>
      <c r="E128" s="35"/>
      <c r="F128" s="34"/>
      <c r="G128" s="34"/>
      <c r="H128" s="36"/>
      <c r="I128" s="34"/>
      <c r="J128" s="34"/>
      <c r="K128" s="34"/>
      <c r="L128" s="34"/>
      <c r="M128" s="34"/>
      <c r="N128" s="51"/>
    </row>
    <row r="129" spans="1:16" s="39" customFormat="1" ht="1.5" customHeight="1" x14ac:dyDescent="0.2">
      <c r="A129" s="34"/>
      <c r="B129" s="34"/>
      <c r="C129" s="35"/>
      <c r="D129" s="35"/>
      <c r="E129" s="35"/>
      <c r="F129" s="34"/>
      <c r="G129" s="34"/>
      <c r="H129" s="36"/>
      <c r="I129" s="34"/>
      <c r="J129" s="34"/>
      <c r="K129" s="34"/>
      <c r="L129" s="34"/>
      <c r="M129" s="34"/>
      <c r="N129" s="34"/>
    </row>
    <row r="130" spans="1:16" s="39" customFormat="1" ht="70.5" customHeight="1" x14ac:dyDescent="0.2">
      <c r="A130" s="52"/>
      <c r="B130" s="404"/>
      <c r="C130" s="404"/>
      <c r="D130" s="404"/>
      <c r="E130" s="404"/>
      <c r="F130" s="404"/>
      <c r="G130" s="404"/>
      <c r="H130" s="404"/>
      <c r="I130" s="404"/>
      <c r="J130" s="404"/>
      <c r="K130" s="404"/>
      <c r="L130" s="404"/>
      <c r="M130" s="404"/>
      <c r="N130" s="404"/>
      <c r="O130" s="52"/>
      <c r="P130" s="52"/>
    </row>
    <row r="131" spans="1:16" s="34" customFormat="1" ht="20.100000000000001" customHeight="1" x14ac:dyDescent="0.2">
      <c r="C131" s="35"/>
      <c r="D131" s="35"/>
      <c r="E131" s="35"/>
      <c r="H131" s="36"/>
    </row>
    <row r="132" spans="1:16" x14ac:dyDescent="0.2">
      <c r="A132" s="2" t="s">
        <v>38</v>
      </c>
      <c r="D132" s="34" t="b">
        <f>ISTEXT(B130)</f>
        <v>0</v>
      </c>
    </row>
    <row r="133" spans="1:16" ht="1.5" customHeight="1" x14ac:dyDescent="0.2">
      <c r="A133" s="2"/>
    </row>
    <row r="134" spans="1:16" ht="14.25" x14ac:dyDescent="0.2">
      <c r="A134" s="2"/>
      <c r="B134" s="3" t="s">
        <v>448</v>
      </c>
      <c r="D134" s="69" t="str">
        <f>IF(OR(COUNTIF(H15:H23,"x")=0,F26="x"),"erfüllt","nicht erfüllt")</f>
        <v>nicht erfüllt</v>
      </c>
      <c r="F134" s="12" t="str">
        <f>F26</f>
        <v>-</v>
      </c>
      <c r="H134" s="3" t="s">
        <v>451</v>
      </c>
    </row>
    <row r="135" spans="1:16" ht="1.5" customHeight="1" x14ac:dyDescent="0.2">
      <c r="A135" s="2"/>
    </row>
    <row r="136" spans="1:16" ht="14.25" x14ac:dyDescent="0.2">
      <c r="B136" s="3" t="s">
        <v>251</v>
      </c>
      <c r="D136" s="69" t="str">
        <f>IF(OR(COUNTIF(H31:H119,"x")=0,COUNTIF(F136,"x")&gt;0),"erfüllt", "nicht erfüllt")</f>
        <v>nicht erfüllt</v>
      </c>
      <c r="F136" s="30" t="s">
        <v>43</v>
      </c>
      <c r="H136" s="3" t="s">
        <v>449</v>
      </c>
    </row>
    <row r="137" spans="1:16" ht="1.5" customHeight="1" x14ac:dyDescent="0.2">
      <c r="D137" s="87"/>
    </row>
    <row r="139" spans="1:16" ht="13.5" customHeight="1" x14ac:dyDescent="0.2">
      <c r="A139" s="34"/>
      <c r="B139" s="3" t="s">
        <v>39</v>
      </c>
      <c r="D139" s="3" t="str">
        <f>IF(ISTEXT(Name_Kontr),Name_Kontr,"")</f>
        <v/>
      </c>
      <c r="F139" s="328" t="str">
        <f>IF(AND(NOT(Bem_103),COUNTIF(F134:F136,"x")&gt;0),"Begründung und Empfehlung des weiteren Vorgehens erforderlich.","")</f>
        <v/>
      </c>
      <c r="G139" s="328"/>
      <c r="H139" s="328"/>
      <c r="I139" s="328"/>
      <c r="J139" s="328"/>
      <c r="K139" s="328"/>
      <c r="L139" s="328"/>
      <c r="M139" s="328"/>
      <c r="N139" s="328"/>
    </row>
    <row r="140" spans="1:16" ht="2.1" customHeight="1" x14ac:dyDescent="0.2">
      <c r="A140" s="34" t="s">
        <v>42</v>
      </c>
      <c r="F140" s="328"/>
      <c r="G140" s="328"/>
      <c r="H140" s="328"/>
      <c r="I140" s="328"/>
      <c r="J140" s="328"/>
      <c r="K140" s="328"/>
      <c r="L140" s="328"/>
      <c r="M140" s="328"/>
      <c r="N140" s="328"/>
    </row>
    <row r="141" spans="1:16" x14ac:dyDescent="0.2">
      <c r="A141" s="34" t="s">
        <v>43</v>
      </c>
      <c r="B141" s="3" t="s">
        <v>40</v>
      </c>
      <c r="D141" s="47">
        <f ca="1">'EN-Kt.'!E113</f>
        <v>45866</v>
      </c>
      <c r="F141" s="328"/>
      <c r="G141" s="328"/>
      <c r="H141" s="328"/>
      <c r="I141" s="328"/>
      <c r="J141" s="328"/>
      <c r="K141" s="328"/>
      <c r="L141" s="328"/>
      <c r="M141" s="328"/>
      <c r="N141" s="328"/>
    </row>
    <row r="142" spans="1:16" ht="15.75" customHeight="1" x14ac:dyDescent="0.2">
      <c r="D142" s="40"/>
    </row>
    <row r="143" spans="1:16" ht="15.75" customHeight="1" x14ac:dyDescent="0.2"/>
    <row r="144" spans="1:16" ht="12.75" customHeight="1" x14ac:dyDescent="0.2"/>
    <row r="146" spans="1:1" x14ac:dyDescent="0.2">
      <c r="A146" s="2"/>
    </row>
    <row r="161" spans="1:6" hidden="1" x14ac:dyDescent="0.2"/>
    <row r="162" spans="1:6" hidden="1" x14ac:dyDescent="0.2">
      <c r="A162" s="3" t="s">
        <v>549</v>
      </c>
    </row>
    <row r="163" spans="1:6" hidden="1" x14ac:dyDescent="0.2">
      <c r="F163" s="3" t="s">
        <v>587</v>
      </c>
    </row>
    <row r="164" spans="1:6" hidden="1" x14ac:dyDescent="0.2">
      <c r="A164" s="3" t="s">
        <v>547</v>
      </c>
    </row>
    <row r="165" spans="1:6" hidden="1" x14ac:dyDescent="0.2">
      <c r="A165" s="3" t="s">
        <v>550</v>
      </c>
    </row>
    <row r="166" spans="1:6" hidden="1" x14ac:dyDescent="0.2">
      <c r="A166" s="3" t="s">
        <v>548</v>
      </c>
    </row>
    <row r="167" spans="1:6" hidden="1" x14ac:dyDescent="0.2">
      <c r="A167" s="3" t="s">
        <v>551</v>
      </c>
    </row>
    <row r="168" spans="1:6" hidden="1" x14ac:dyDescent="0.2">
      <c r="A168" s="3" t="s">
        <v>552</v>
      </c>
    </row>
    <row r="169" spans="1:6" hidden="1" x14ac:dyDescent="0.2">
      <c r="A169" s="3" t="s">
        <v>553</v>
      </c>
    </row>
    <row r="170" spans="1:6" hidden="1" x14ac:dyDescent="0.2">
      <c r="A170" s="3" t="s">
        <v>554</v>
      </c>
    </row>
    <row r="171" spans="1:6" hidden="1" x14ac:dyDescent="0.2"/>
    <row r="172" spans="1:6" hidden="1" x14ac:dyDescent="0.2"/>
    <row r="173" spans="1:6" hidden="1" x14ac:dyDescent="0.2"/>
    <row r="174" spans="1:6" hidden="1" x14ac:dyDescent="0.2">
      <c r="A174" s="3" t="s">
        <v>691</v>
      </c>
    </row>
    <row r="175" spans="1:6" hidden="1" x14ac:dyDescent="0.2">
      <c r="A175" s="3" t="s">
        <v>608</v>
      </c>
    </row>
    <row r="176" spans="1:6" hidden="1" x14ac:dyDescent="0.2">
      <c r="A176" s="3" t="s">
        <v>609</v>
      </c>
    </row>
  </sheetData>
  <sheetProtection algorithmName="SHA-512" hashValue="HNzx8Kou/NcHzgYiVQICVLiUzcSOWsRky8D5TASxgFc0BkuVrnq62ZrmJVYu13hRtJOAI9d0aBu/15z1U+XrYw==" saltValue="OILfdSJcVMjiOMlMUArk8g==" spinCount="100000" sheet="1" formatRows="0"/>
  <mergeCells count="6">
    <mergeCell ref="F139:N141"/>
    <mergeCell ref="N28:N29"/>
    <mergeCell ref="B130:N130"/>
    <mergeCell ref="D5:M5"/>
    <mergeCell ref="D7:M7"/>
    <mergeCell ref="D11:M11"/>
  </mergeCells>
  <phoneticPr fontId="7" type="noConversion"/>
  <conditionalFormatting sqref="D134">
    <cfRule type="beginsWith" dxfId="134" priority="2" operator="beginsWith" text="erfüllt">
      <formula>LEFT(D134,LEN("erfüllt"))="erfüllt"</formula>
    </cfRule>
    <cfRule type="containsText" dxfId="133" priority="3" operator="containsText" text="nicht erfüllt">
      <formula>NOT(ISERROR(SEARCH("nicht erfüllt",D134)))</formula>
    </cfRule>
  </conditionalFormatting>
  <conditionalFormatting sqref="D136:D137">
    <cfRule type="beginsWith" dxfId="131" priority="5" operator="beginsWith" text="erfüllt">
      <formula>LEFT(D136,LEN("erfüllt"))="erfüllt"</formula>
    </cfRule>
    <cfRule type="containsText" dxfId="130" priority="6" operator="containsText" text="nicht erfüllt">
      <formula>NOT(ISERROR(SEARCH("nicht erfüllt",D136)))</formula>
    </cfRule>
  </conditionalFormatting>
  <conditionalFormatting sqref="H15:H119">
    <cfRule type="cellIs" dxfId="129" priority="1" operator="equal">
      <formula>"x"</formula>
    </cfRule>
  </conditionalFormatting>
  <dataValidations count="4">
    <dataValidation type="list" allowBlank="1" showInputMessage="1" showErrorMessage="1" sqref="H75 H119 H109 H111 H57 H113 H17 H19:H21 H103 H117 H93 H37 H31:H35 H115 H63 H23:H24 H65 H61 H53 H51 H55 H89 H91 H73 H71 H95 H85 H101 H87 H69 H105 H99" xr:uid="{00000000-0002-0000-0600-000000000000}">
      <formula1>$A$206:$A$207</formula1>
    </dataValidation>
    <dataValidation type="list" allowBlank="1" showInputMessage="1" showErrorMessage="1" sqref="J71 F26 F19:F21 F23:F24 F69 J19:J21 J23:J24 F31:F35 F37 F49 F39:F43 F51 F55 F57 J31:J35 J37 J49 J51 J53 J55 J57 L31:L35 L37 F136 L49 L57 F61 J17 F63 J65 J119 F71 F73 J75 J73 F93 F89 F87 F85 J93 F99 F101 F103 J105 F109 F111 F113 F115 F117 F119 J109 J111 J113 J115 J117 L115 F105 J99 J101 J103 L105 L99 F95 J85 J87 F91 J91 J89 L91 L69 L71 L73 L77 L79 L81 L63 F65 J61 J63 J69 F75 L39:L43 J39:J43 F53 J95" xr:uid="{00000000-0002-0000-0600-000001000000}">
      <formula1>$A$140:$A$141</formula1>
    </dataValidation>
    <dataValidation type="list" allowBlank="1" showInputMessage="1" showErrorMessage="1" sqref="D41:D42 D33:D34" xr:uid="{81365C74-BD25-4550-820C-BF55A8BCDFA3}">
      <formula1>$A$162:$A$170</formula1>
    </dataValidation>
    <dataValidation type="list" allowBlank="1" showInputMessage="1" showErrorMessage="1" sqref="D47" xr:uid="{B136C47E-FEF4-4165-82BB-512FC33158B0}">
      <formula1>$A$174:$A$176</formula1>
    </dataValidation>
  </dataValidations>
  <hyperlinks>
    <hyperlink ref="N1" r:id="rId1" xr:uid="{A23DD90F-19BE-4F9F-863A-1337E89E1EA4}"/>
    <hyperlink ref="N59" r:id="rId2" xr:uid="{869EBEEF-5C58-4D5A-AD63-06DB3D7896B1}"/>
    <hyperlink ref="N2" location="'EN-Kt.'!A1" display="Zurück zm EN-Kt. " xr:uid="{5576CF78-E240-4C1C-9A90-5ABB9C5837C6}"/>
  </hyperlinks>
  <pageMargins left="0.59055118110236227" right="0.59055118110236227" top="1.1417322834645669" bottom="1.1417322834645669" header="0.31496062992125984" footer="0.31496062992125984"/>
  <pageSetup paperSize="9" scale="67" fitToHeight="0" orientation="portrait" r:id="rId3"/>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4"/>
  <legacyDrawingHF r:id="rId5"/>
  <extLst>
    <ext xmlns:x14="http://schemas.microsoft.com/office/spreadsheetml/2009/9/main" uri="{78C0D931-6437-407d-A8EE-F0AAD7539E65}">
      <x14:conditionalFormattings>
        <x14:conditionalFormatting xmlns:xm="http://schemas.microsoft.com/office/excel/2006/main">
          <x14:cfRule type="containsText" priority="7" operator="containsText" text="nicht" id="{D78A1CBE-3EE5-6646-BFC7-55BEA05F7FB7}">
            <xm:f>NOT(ISERROR(SEARCH("nicht",'EN-104'!B127)))</xm:f>
            <x14:dxf>
              <font>
                <color rgb="FF9C0006"/>
              </font>
              <fill>
                <patternFill>
                  <bgColor rgb="FFFFC7CE"/>
                </patternFill>
              </fill>
            </x14:dxf>
          </x14:cfRule>
          <xm:sqref>D136:D137 D134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2000000}">
          <x14:formula1>
            <xm:f>'EN-101b'!$N$195:$N$226</xm:f>
          </x14:formula1>
          <xm:sqref>D31:D32 D39:D40</xm:sqref>
        </x14:dataValidation>
        <x14:dataValidation type="list" allowBlank="1" showInputMessage="1" showErrorMessage="1" xr:uid="{00000000-0002-0000-0600-000003000000}">
          <x14:formula1>
            <xm:f>'EN-Kt.'!$A$207:$A$208</xm:f>
          </x14:formula1>
          <xm:sqref>F17 F15 F59 J59 F67 F83 F97 F107 J107</xm:sqref>
        </x14:dataValidation>
        <x14:dataValidation type="list" allowBlank="1" showInputMessage="1" showErrorMessage="1" xr:uid="{00000000-0002-0000-0600-000004000000}">
          <x14:formula1>
            <xm:f>'EN-Kt.'!$C$304:$C$307</xm:f>
          </x14:formula1>
          <xm:sqref>D9</xm:sqref>
        </x14:dataValidation>
        <x14:dataValidation type="list" allowBlank="1" showInputMessage="1" showErrorMessage="1" xr:uid="{D40D3BD6-A3BF-48B6-813C-D1ADE1089EAC}">
          <x14:formula1>
            <xm:f>'EN-101b'!$U$194:$W$194</xm:f>
          </x14:formula1>
          <xm:sqref>D35 D43</xm:sqref>
        </x14:dataValidation>
        <x14:dataValidation type="list" allowBlank="1" showInputMessage="1" showErrorMessage="1" xr:uid="{45F28D1C-9D27-4B2A-96D2-1C721D5CFF58}">
          <x14:formula1>
            <xm:f>'EN-102a Neubau'!$T$7:$T$8</xm:f>
          </x14:formula1>
          <xm:sqref>J67 J83 J97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theme="0"/>
  </sheetPr>
  <dimension ref="A1:T13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0.75" style="3" customWidth="1"/>
    <col min="14" max="14" width="45.25" style="3" customWidth="1"/>
    <col min="15" max="15" width="10.875" style="3"/>
    <col min="16" max="18" width="10.875" style="3" hidden="1" customWidth="1"/>
    <col min="19" max="20" width="10.875" style="3"/>
    <col min="21" max="21" width="10.875" style="3" customWidth="1"/>
    <col min="22" max="25" width="10.875" style="3"/>
    <col min="26" max="26" width="10.875" style="3" customWidth="1"/>
    <col min="27" max="16384" width="10.875" style="3"/>
  </cols>
  <sheetData>
    <row r="1" spans="1:17" s="22" customFormat="1" ht="18" x14ac:dyDescent="0.25">
      <c r="A1" s="6" t="s">
        <v>263</v>
      </c>
      <c r="B1" s="6"/>
      <c r="N1" s="117" t="s">
        <v>503</v>
      </c>
      <c r="P1" s="23"/>
      <c r="Q1" s="23"/>
    </row>
    <row r="2" spans="1:17" s="22" customFormat="1" ht="18" x14ac:dyDescent="0.25">
      <c r="A2" s="6" t="s">
        <v>246</v>
      </c>
      <c r="B2" s="6"/>
      <c r="N2" s="117" t="s">
        <v>734</v>
      </c>
    </row>
    <row r="3" spans="1:17" ht="27" customHeight="1" x14ac:dyDescent="0.2">
      <c r="A3" s="2" t="s">
        <v>61</v>
      </c>
      <c r="D3" s="1"/>
      <c r="F3" s="310"/>
      <c r="G3" s="310"/>
      <c r="H3" s="310"/>
      <c r="I3" s="310"/>
      <c r="J3" s="310"/>
      <c r="K3" s="310"/>
      <c r="L3" s="310"/>
      <c r="M3" s="310"/>
      <c r="N3" s="308" t="str">
        <f>IF(AND(Kanton="Luzern",NOT('EN-Kt.'!V27="x")),"Dieses Prüfformular ist im Kanton Luzern nur für Bauentscheide vor dem 1. März 2025 zulässig.","")</f>
        <v/>
      </c>
    </row>
    <row r="4" spans="1:17" ht="2.1" customHeight="1" x14ac:dyDescent="0.2">
      <c r="A4" s="2"/>
      <c r="D4" s="1"/>
      <c r="F4" s="7"/>
      <c r="G4" s="7"/>
      <c r="H4" s="7"/>
      <c r="I4" s="7"/>
      <c r="J4" s="8"/>
      <c r="L4" s="8"/>
    </row>
    <row r="5" spans="1:17" x14ac:dyDescent="0.2">
      <c r="B5" s="3" t="s">
        <v>62</v>
      </c>
      <c r="D5" s="406" t="str">
        <f>IF(ISTEXT(Gemeinde),Gemeinde,"")</f>
        <v/>
      </c>
      <c r="E5" s="406"/>
      <c r="F5" s="406"/>
      <c r="G5" s="406"/>
      <c r="H5" s="406"/>
      <c r="I5" s="406"/>
      <c r="J5" s="406"/>
      <c r="K5" s="406"/>
      <c r="L5" s="406"/>
      <c r="M5" s="406"/>
      <c r="N5" s="16"/>
    </row>
    <row r="6" spans="1:17" ht="2.1" customHeight="1" x14ac:dyDescent="0.2">
      <c r="D6" s="96"/>
      <c r="F6" s="7"/>
      <c r="G6" s="7"/>
      <c r="H6" s="7"/>
      <c r="I6" s="7"/>
      <c r="J6" s="8"/>
      <c r="L6" s="8"/>
    </row>
    <row r="7" spans="1:17" x14ac:dyDescent="0.2">
      <c r="B7" s="3" t="s">
        <v>63</v>
      </c>
      <c r="D7" s="407" t="str">
        <f>IF(ISTEXT(Bauvorhaben),Bauvorhaben,"")</f>
        <v/>
      </c>
      <c r="E7" s="407"/>
      <c r="F7" s="407"/>
      <c r="G7" s="407"/>
      <c r="H7" s="407"/>
      <c r="I7" s="407"/>
      <c r="J7" s="407"/>
      <c r="K7" s="407"/>
      <c r="L7" s="407"/>
      <c r="M7" s="407"/>
      <c r="N7" s="16"/>
    </row>
    <row r="8" spans="1:17" ht="2.1" customHeight="1" x14ac:dyDescent="0.2">
      <c r="F8" s="7"/>
      <c r="G8" s="7"/>
      <c r="H8" s="7"/>
      <c r="I8" s="7"/>
      <c r="J8" s="8"/>
      <c r="L8" s="8"/>
    </row>
    <row r="9" spans="1:17" x14ac:dyDescent="0.2">
      <c r="B9" s="38" t="s">
        <v>64</v>
      </c>
      <c r="C9" s="38"/>
      <c r="D9" s="218" t="s">
        <v>491</v>
      </c>
      <c r="E9" s="198"/>
      <c r="F9" s="198"/>
      <c r="G9" s="198"/>
      <c r="H9" s="198"/>
      <c r="I9" s="198"/>
      <c r="J9" s="198"/>
      <c r="K9" s="198"/>
      <c r="L9" s="198"/>
      <c r="M9" s="198"/>
      <c r="N9" s="198"/>
    </row>
    <row r="10" spans="1:17" ht="2.1" customHeight="1" x14ac:dyDescent="0.2">
      <c r="F10" s="7"/>
      <c r="G10" s="7"/>
      <c r="H10" s="7"/>
      <c r="I10" s="7"/>
      <c r="J10" s="8"/>
      <c r="L10" s="8"/>
    </row>
    <row r="11" spans="1:17" x14ac:dyDescent="0.2">
      <c r="B11" s="3" t="s">
        <v>65</v>
      </c>
      <c r="D11" s="407" t="str">
        <f>IF(ISTEXT(Kontrollbeauftragter),Kontrollbeauftragter,"")</f>
        <v/>
      </c>
      <c r="E11" s="407"/>
      <c r="F11" s="407"/>
      <c r="G11" s="407"/>
      <c r="H11" s="407"/>
      <c r="I11" s="407"/>
      <c r="J11" s="407"/>
      <c r="K11" s="407"/>
      <c r="L11" s="407"/>
      <c r="M11" s="407"/>
      <c r="N11" s="16"/>
    </row>
    <row r="12" spans="1:17" ht="13.5" customHeight="1" x14ac:dyDescent="0.2"/>
    <row r="13" spans="1:17" ht="63.95" customHeight="1" x14ac:dyDescent="0.2">
      <c r="A13" s="2" t="s">
        <v>444</v>
      </c>
      <c r="B13" s="2"/>
      <c r="F13" s="7" t="s">
        <v>20</v>
      </c>
      <c r="G13" s="7"/>
      <c r="H13" s="7" t="s">
        <v>21</v>
      </c>
      <c r="I13" s="7"/>
      <c r="J13" s="8" t="s">
        <v>19</v>
      </c>
      <c r="L13" s="8" t="s">
        <v>27</v>
      </c>
      <c r="N13" s="3" t="s">
        <v>16</v>
      </c>
    </row>
    <row r="14" spans="1:17" ht="2.1" customHeight="1" x14ac:dyDescent="0.2">
      <c r="A14" s="2"/>
      <c r="B14" s="2"/>
      <c r="F14" s="7"/>
      <c r="G14" s="7"/>
      <c r="H14" s="7"/>
      <c r="I14" s="7"/>
      <c r="J14" s="8"/>
      <c r="L14" s="8"/>
    </row>
    <row r="15" spans="1:17" ht="13.5" customHeight="1" x14ac:dyDescent="0.2">
      <c r="A15" s="2"/>
      <c r="B15" s="3" t="s">
        <v>736</v>
      </c>
      <c r="F15" s="30" t="s">
        <v>43</v>
      </c>
      <c r="H15" s="12" t="str">
        <f>IF(J15="x","-",IF(F15="x","-","x"))</f>
        <v>x</v>
      </c>
      <c r="J15" s="7"/>
      <c r="L15" s="7"/>
      <c r="N15" s="25"/>
    </row>
    <row r="16" spans="1:17" ht="2.1" customHeight="1" x14ac:dyDescent="0.2">
      <c r="A16" s="2"/>
      <c r="B16" s="2"/>
      <c r="F16" s="115"/>
      <c r="G16" s="7"/>
      <c r="H16" s="7"/>
      <c r="I16" s="7"/>
      <c r="J16" s="8"/>
      <c r="L16" s="8"/>
      <c r="N16" s="26"/>
    </row>
    <row r="17" spans="1:20" x14ac:dyDescent="0.2">
      <c r="B17" s="3" t="s">
        <v>85</v>
      </c>
      <c r="F17" s="30" t="s">
        <v>43</v>
      </c>
      <c r="H17" s="12" t="str">
        <f>IF(J17="x","-",IF(F17="x","-","x"))</f>
        <v>x</v>
      </c>
      <c r="J17" s="7"/>
      <c r="L17" s="7"/>
      <c r="M17" s="3" t="str">
        <f>IF(AND(D35="befreit",H17="x"),"Planunterlagen erforderlich","")</f>
        <v/>
      </c>
      <c r="N17" s="25"/>
    </row>
    <row r="18" spans="1:20" ht="2.1" customHeight="1" x14ac:dyDescent="0.2">
      <c r="F18" s="115"/>
      <c r="H18" s="7"/>
      <c r="J18" s="7"/>
      <c r="L18" s="7"/>
      <c r="N18" s="26"/>
    </row>
    <row r="19" spans="1:20" x14ac:dyDescent="0.2">
      <c r="B19" s="3" t="s">
        <v>284</v>
      </c>
      <c r="F19" s="30" t="s">
        <v>43</v>
      </c>
      <c r="H19" s="12" t="str">
        <f>IF(J19="x","-",IF(F19="x","-","x"))</f>
        <v>x</v>
      </c>
      <c r="J19" s="30" t="s">
        <v>43</v>
      </c>
      <c r="L19" s="7"/>
      <c r="N19" s="25"/>
    </row>
    <row r="20" spans="1:20" ht="2.1" customHeight="1" x14ac:dyDescent="0.2">
      <c r="F20" s="115"/>
      <c r="H20" s="7"/>
      <c r="J20" s="115" t="s">
        <v>43</v>
      </c>
      <c r="L20" s="7"/>
      <c r="N20" s="26"/>
    </row>
    <row r="21" spans="1:20" x14ac:dyDescent="0.2">
      <c r="B21" s="3" t="s">
        <v>247</v>
      </c>
      <c r="F21" s="30" t="s">
        <v>43</v>
      </c>
      <c r="H21" s="12" t="str">
        <f>IF(J21="x","-",IF(F21="x","-","x"))</f>
        <v>x</v>
      </c>
      <c r="J21" s="30" t="s">
        <v>43</v>
      </c>
      <c r="L21" s="7"/>
      <c r="N21" s="25"/>
      <c r="T21" s="3" t="str">
        <f>IF(OR(AND(C34="-", R21=C177),OR(R17="III – Verwaltung",R19="III – Verwaltung")),"nicht zulässig", IF(AND(OR(E17="x",E19="x",E21="x"),R21=""),"Angabe fehlt",""  ))</f>
        <v/>
      </c>
    </row>
    <row r="22" spans="1:20" ht="2.1" customHeight="1" x14ac:dyDescent="0.2">
      <c r="F22" s="115"/>
      <c r="H22" s="7"/>
      <c r="J22" s="115" t="s">
        <v>43</v>
      </c>
      <c r="L22" s="7"/>
      <c r="N22" s="26"/>
    </row>
    <row r="23" spans="1:20" x14ac:dyDescent="0.2">
      <c r="B23" s="3" t="s">
        <v>824</v>
      </c>
      <c r="F23" s="30" t="s">
        <v>43</v>
      </c>
      <c r="H23" s="12" t="str">
        <f>IF(J23="x","-",IF(F23="x","-","x"))</f>
        <v>x</v>
      </c>
      <c r="J23" s="30" t="s">
        <v>43</v>
      </c>
      <c r="L23" s="7"/>
      <c r="N23" s="50"/>
    </row>
    <row r="24" spans="1:20" ht="14.25" thickBot="1" x14ac:dyDescent="0.25">
      <c r="F24" s="27"/>
      <c r="H24" s="14"/>
      <c r="J24" s="27"/>
      <c r="L24" s="7"/>
      <c r="N24" s="25"/>
    </row>
    <row r="25" spans="1:20" ht="13.5" customHeight="1" thickBot="1" x14ac:dyDescent="0.25">
      <c r="A25" s="2" t="s">
        <v>436</v>
      </c>
      <c r="B25" s="2"/>
      <c r="F25" s="258" t="s">
        <v>43</v>
      </c>
      <c r="J25" s="258" t="s">
        <v>43</v>
      </c>
      <c r="N25" s="25"/>
    </row>
    <row r="26" spans="1:20" ht="2.1" customHeight="1" x14ac:dyDescent="0.2">
      <c r="A26" s="2"/>
      <c r="B26" s="2"/>
      <c r="F26" s="115"/>
      <c r="G26" s="7"/>
      <c r="H26" s="7"/>
      <c r="I26" s="7"/>
      <c r="J26" s="251"/>
      <c r="L26" s="8"/>
      <c r="N26" s="26"/>
    </row>
    <row r="27" spans="1:20" x14ac:dyDescent="0.2">
      <c r="B27" s="3" t="s">
        <v>363</v>
      </c>
      <c r="D27" s="24">
        <v>0</v>
      </c>
      <c r="F27" s="30" t="str">
        <f>IF($F$25="x","x","-")</f>
        <v>-</v>
      </c>
      <c r="H27" s="12" t="str">
        <f>IF(J27="x","-",IF(F27="x","-","x"))</f>
        <v>x</v>
      </c>
      <c r="J27" s="30" t="str">
        <f>IF($J$25="x","x","-")</f>
        <v>-</v>
      </c>
      <c r="L27" s="7"/>
      <c r="N27" s="25"/>
    </row>
    <row r="28" spans="1:20" ht="2.1" customHeight="1" x14ac:dyDescent="0.2">
      <c r="D28" s="149">
        <v>100</v>
      </c>
      <c r="F28" s="115"/>
      <c r="H28" s="7"/>
      <c r="J28" s="115"/>
      <c r="L28" s="7"/>
      <c r="N28" s="26"/>
    </row>
    <row r="29" spans="1:20" ht="13.9" customHeight="1" x14ac:dyDescent="0.2">
      <c r="B29" s="3" t="s">
        <v>364</v>
      </c>
      <c r="D29" s="24">
        <v>0</v>
      </c>
      <c r="F29" s="30" t="str">
        <f>IF($F$25="x","x","-")</f>
        <v>-</v>
      </c>
      <c r="H29" s="12" t="str">
        <f>IF(J29="x","-",IF(F29="x","-","x"))</f>
        <v>x</v>
      </c>
      <c r="J29" s="30" t="str">
        <f>IF($J$25="x","x","-")</f>
        <v>-</v>
      </c>
      <c r="L29" s="7"/>
      <c r="N29" s="25"/>
    </row>
    <row r="30" spans="1:20" ht="2.1" customHeight="1" x14ac:dyDescent="0.2">
      <c r="D30" s="149"/>
      <c r="F30" s="115"/>
      <c r="H30" s="7"/>
      <c r="J30" s="115"/>
      <c r="L30" s="7"/>
      <c r="N30" s="26"/>
    </row>
    <row r="31" spans="1:20" x14ac:dyDescent="0.2">
      <c r="B31" s="3" t="s">
        <v>82</v>
      </c>
      <c r="D31" s="24">
        <v>0</v>
      </c>
      <c r="F31" s="30" t="str">
        <f>IF($F$25="x","x","-")</f>
        <v>-</v>
      </c>
      <c r="H31" s="12" t="str">
        <f>IF(J31="x","-",IF(F31="x","-","x"))</f>
        <v>x</v>
      </c>
      <c r="J31" s="30" t="str">
        <f>IF($J$25="x","x","-")</f>
        <v>-</v>
      </c>
      <c r="L31" s="7"/>
      <c r="N31" s="25"/>
    </row>
    <row r="32" spans="1:20" ht="2.1" customHeight="1" x14ac:dyDescent="0.2">
      <c r="D32" s="1"/>
      <c r="F32" s="7"/>
      <c r="H32" s="7"/>
      <c r="J32" s="7"/>
      <c r="L32" s="7"/>
      <c r="N32" s="26"/>
    </row>
    <row r="33" spans="1:14" x14ac:dyDescent="0.2">
      <c r="B33" s="3" t="s">
        <v>83</v>
      </c>
      <c r="D33" s="17">
        <f>IF(D31&gt;0,D29/D31,0)</f>
        <v>0</v>
      </c>
      <c r="L33" s="7"/>
      <c r="N33" s="45"/>
    </row>
    <row r="34" spans="1:14" ht="2.1" customHeight="1" x14ac:dyDescent="0.2">
      <c r="D34" s="1"/>
      <c r="F34" s="7"/>
      <c r="H34" s="7"/>
      <c r="J34" s="7"/>
      <c r="L34" s="7"/>
      <c r="N34" s="26"/>
    </row>
    <row r="35" spans="1:14" x14ac:dyDescent="0.2">
      <c r="B35" s="3" t="s">
        <v>84</v>
      </c>
      <c r="D35" s="10" t="str">
        <f>IF('EN-Kt.'!F19="x",(IF(OR(AND(D33&gt;0.2,D29&gt;50),D29&gt;1000,D31=0),"nicht befreit","befreit")),"-")</f>
        <v>-</v>
      </c>
      <c r="L35" s="7"/>
      <c r="N35" s="25"/>
    </row>
    <row r="36" spans="1:14" ht="1.5" customHeight="1" x14ac:dyDescent="0.2">
      <c r="N36" s="26"/>
    </row>
    <row r="37" spans="1:14" ht="13.5" customHeight="1" thickBot="1" x14ac:dyDescent="0.25">
      <c r="N37" s="25"/>
    </row>
    <row r="38" spans="1:14" ht="13.5" customHeight="1" thickBot="1" x14ac:dyDescent="0.25">
      <c r="A38" s="2" t="s">
        <v>837</v>
      </c>
      <c r="B38" s="2"/>
      <c r="F38" s="258" t="s">
        <v>43</v>
      </c>
      <c r="N38" s="25"/>
    </row>
    <row r="39" spans="1:14" ht="2.1" customHeight="1" x14ac:dyDescent="0.2">
      <c r="A39" s="2"/>
      <c r="B39" s="2"/>
      <c r="F39" s="26"/>
      <c r="N39" s="26"/>
    </row>
    <row r="40" spans="1:14" ht="13.5" customHeight="1" x14ac:dyDescent="0.2">
      <c r="A40" s="2"/>
      <c r="B40" s="3" t="s">
        <v>832</v>
      </c>
      <c r="D40" s="24">
        <v>0</v>
      </c>
      <c r="F40" s="30" t="str">
        <f>IF($F$38="x","x","-")</f>
        <v>-</v>
      </c>
      <c r="H40" s="12" t="str">
        <f>IF(J40="x","-",IF(F40="x","-","x"))</f>
        <v>x</v>
      </c>
      <c r="N40" s="25"/>
    </row>
    <row r="41" spans="1:14" ht="2.1" customHeight="1" x14ac:dyDescent="0.2">
      <c r="A41" s="2"/>
      <c r="B41" s="2"/>
      <c r="F41" s="26"/>
      <c r="N41" s="26"/>
    </row>
    <row r="42" spans="1:14" x14ac:dyDescent="0.2">
      <c r="B42" s="3" t="s">
        <v>825</v>
      </c>
      <c r="D42" s="29">
        <f>MIN(30,D40*0.01)</f>
        <v>0</v>
      </c>
      <c r="E42" s="4"/>
      <c r="F42" s="30" t="str">
        <f>IF($F$38="x","x","-")</f>
        <v>-</v>
      </c>
      <c r="H42" s="12" t="str">
        <f>IF(J42="x","-",IF(F42="x","-","x"))</f>
        <v>x</v>
      </c>
      <c r="N42" s="50"/>
    </row>
    <row r="43" spans="1:14" ht="1.5" customHeight="1" x14ac:dyDescent="0.2">
      <c r="C43" s="4"/>
      <c r="D43" s="4"/>
      <c r="E43" s="4"/>
      <c r="N43" s="93"/>
    </row>
    <row r="44" spans="1:14" ht="13.5" customHeight="1" thickBot="1" x14ac:dyDescent="0.25">
      <c r="C44" s="4"/>
      <c r="D44" s="4"/>
      <c r="E44" s="4"/>
      <c r="N44" s="25"/>
    </row>
    <row r="45" spans="1:14" ht="13.5" customHeight="1" thickBot="1" x14ac:dyDescent="0.25">
      <c r="A45" s="2" t="s">
        <v>248</v>
      </c>
      <c r="B45" s="2"/>
      <c r="F45" s="258" t="s">
        <v>43</v>
      </c>
      <c r="G45" s="110"/>
      <c r="H45" s="110"/>
      <c r="J45" s="258" t="s">
        <v>43</v>
      </c>
      <c r="N45" s="25"/>
    </row>
    <row r="46" spans="1:14" ht="2.1" customHeight="1" x14ac:dyDescent="0.2">
      <c r="A46" s="2"/>
      <c r="B46" s="2"/>
      <c r="F46" s="26"/>
      <c r="J46" s="26"/>
      <c r="N46" s="26"/>
    </row>
    <row r="47" spans="1:14" x14ac:dyDescent="0.2">
      <c r="B47" s="3" t="s">
        <v>828</v>
      </c>
      <c r="F47" s="30" t="str">
        <f>IF($F$45="x","x","-")</f>
        <v>-</v>
      </c>
      <c r="H47" s="12" t="str">
        <f>IF(J47="x","-",IF(F47="x","-","x"))</f>
        <v>x</v>
      </c>
      <c r="J47" s="30" t="str">
        <f>IF($J$45="x","x","-")</f>
        <v>-</v>
      </c>
      <c r="L47" s="30" t="s">
        <v>43</v>
      </c>
      <c r="N47" s="50"/>
    </row>
    <row r="48" spans="1:14" ht="2.1" customHeight="1" x14ac:dyDescent="0.2">
      <c r="A48" s="2"/>
      <c r="F48" s="115"/>
      <c r="H48" s="7"/>
      <c r="J48" s="115"/>
      <c r="L48" s="115"/>
      <c r="N48" s="26"/>
    </row>
    <row r="49" spans="1:14" x14ac:dyDescent="0.2">
      <c r="B49" s="3" t="s">
        <v>829</v>
      </c>
      <c r="F49" s="30" t="str">
        <f>IF($F$45="x","x","-")</f>
        <v>-</v>
      </c>
      <c r="H49" s="12" t="str">
        <f>IF(J49="x","-",IF(F49="x","-","x"))</f>
        <v>x</v>
      </c>
      <c r="J49" s="30" t="str">
        <f>IF($J$45="x","x","-")</f>
        <v>-</v>
      </c>
      <c r="L49" s="30" t="s">
        <v>43</v>
      </c>
      <c r="N49" s="50"/>
    </row>
    <row r="50" spans="1:14" ht="2.1" customHeight="1" x14ac:dyDescent="0.2">
      <c r="A50" s="2"/>
      <c r="B50" s="2"/>
      <c r="F50" s="115"/>
      <c r="H50" s="7"/>
      <c r="J50" s="115"/>
      <c r="L50" s="115"/>
      <c r="N50" s="26"/>
    </row>
    <row r="51" spans="1:14" x14ac:dyDescent="0.2">
      <c r="B51" s="3" t="s">
        <v>830</v>
      </c>
      <c r="F51" s="30" t="str">
        <f>IF($F$45="x","x","-")</f>
        <v>-</v>
      </c>
      <c r="H51" s="12" t="str">
        <f>IF(J51="x","-",IF(F51="x","-","x"))</f>
        <v>x</v>
      </c>
      <c r="J51" s="30" t="str">
        <f>IF($J$45="x","x","-")</f>
        <v>-</v>
      </c>
      <c r="L51" s="30" t="s">
        <v>43</v>
      </c>
      <c r="N51" s="25"/>
    </row>
    <row r="52" spans="1:14" ht="2.1" customHeight="1" x14ac:dyDescent="0.2">
      <c r="A52" s="2"/>
      <c r="B52" s="2"/>
      <c r="F52" s="7"/>
      <c r="J52" s="7"/>
      <c r="N52" s="26"/>
    </row>
    <row r="53" spans="1:14" ht="13.5" customHeight="1" x14ac:dyDescent="0.2">
      <c r="A53" s="2"/>
      <c r="B53" s="2"/>
      <c r="F53" s="7"/>
      <c r="J53" s="7"/>
      <c r="N53" s="25"/>
    </row>
    <row r="54" spans="1:14" ht="2.1" customHeight="1" thickBot="1" x14ac:dyDescent="0.25">
      <c r="A54" s="2"/>
      <c r="B54" s="2"/>
      <c r="F54" s="7"/>
      <c r="J54" s="7"/>
      <c r="N54" s="26"/>
    </row>
    <row r="55" spans="1:14" ht="14.25" thickBot="1" x14ac:dyDescent="0.25">
      <c r="A55" s="2" t="s">
        <v>249</v>
      </c>
      <c r="B55" s="2"/>
      <c r="J55" s="258" t="s">
        <v>43</v>
      </c>
      <c r="N55" s="25"/>
    </row>
    <row r="56" spans="1:14" ht="2.1" customHeight="1" x14ac:dyDescent="0.2">
      <c r="A56" s="2"/>
      <c r="B56" s="2"/>
      <c r="J56" s="26"/>
      <c r="N56" s="26"/>
    </row>
    <row r="57" spans="1:14" ht="13.5" customHeight="1" x14ac:dyDescent="0.2">
      <c r="B57" s="3" t="s">
        <v>826</v>
      </c>
      <c r="F57" s="30" t="s">
        <v>43</v>
      </c>
      <c r="H57" s="12" t="str">
        <f>IF(J57="x","-",IF(F57="x","-","x"))</f>
        <v>x</v>
      </c>
      <c r="J57" s="30" t="str">
        <f>IF($J$55="x","x","-")</f>
        <v>-</v>
      </c>
      <c r="N57" s="25"/>
    </row>
    <row r="58" spans="1:14" ht="2.1" customHeight="1" x14ac:dyDescent="0.2">
      <c r="A58" s="2"/>
      <c r="F58" s="115"/>
      <c r="H58" s="7"/>
      <c r="J58" s="115"/>
      <c r="N58" s="26"/>
    </row>
    <row r="59" spans="1:14" ht="13.5" customHeight="1" x14ac:dyDescent="0.2">
      <c r="B59" s="3" t="s">
        <v>823</v>
      </c>
      <c r="F59" s="30" t="s">
        <v>43</v>
      </c>
      <c r="H59" s="12" t="str">
        <f>IF(J59="x","-",IF(F59="x","-","x"))</f>
        <v>x</v>
      </c>
      <c r="J59" s="30" t="str">
        <f>IF($J$55="x","x","-")</f>
        <v>-</v>
      </c>
      <c r="N59" s="25"/>
    </row>
    <row r="60" spans="1:14" ht="2.1" customHeight="1" x14ac:dyDescent="0.2">
      <c r="A60" s="2"/>
      <c r="B60" s="2"/>
      <c r="N60" s="26"/>
    </row>
    <row r="61" spans="1:14" ht="13.5" customHeight="1" x14ac:dyDescent="0.2">
      <c r="A61" s="2"/>
      <c r="B61" s="2"/>
      <c r="N61" s="25"/>
    </row>
    <row r="62" spans="1:14" ht="2.1" customHeight="1" x14ac:dyDescent="0.2">
      <c r="A62" s="2"/>
      <c r="B62" s="2"/>
      <c r="N62" s="26"/>
    </row>
    <row r="63" spans="1:14" ht="13.5" customHeight="1" x14ac:dyDescent="0.2">
      <c r="A63" s="2" t="s">
        <v>838</v>
      </c>
      <c r="B63" s="2"/>
      <c r="N63" s="25"/>
    </row>
    <row r="64" spans="1:14" ht="1.5" customHeight="1" x14ac:dyDescent="0.2">
      <c r="A64" s="2"/>
      <c r="B64" s="2"/>
      <c r="N64" s="26"/>
    </row>
    <row r="65" spans="1:20" ht="13.5" customHeight="1" x14ac:dyDescent="0.2">
      <c r="B65" s="3" t="s">
        <v>839</v>
      </c>
      <c r="D65" s="254">
        <v>0</v>
      </c>
      <c r="F65" s="30" t="s">
        <v>43</v>
      </c>
      <c r="H65" s="12" t="str">
        <f>IF(J65="x","-",IF(F65="x","-","x"))</f>
        <v>x</v>
      </c>
      <c r="N65" s="25"/>
    </row>
    <row r="66" spans="1:20" ht="2.1" customHeight="1" x14ac:dyDescent="0.2">
      <c r="N66" s="26"/>
    </row>
    <row r="67" spans="1:20" x14ac:dyDescent="0.2">
      <c r="B67" s="3" t="s">
        <v>831</v>
      </c>
      <c r="D67" s="255">
        <f>D42</f>
        <v>0</v>
      </c>
      <c r="L67" s="7"/>
      <c r="N67" s="25"/>
    </row>
    <row r="68" spans="1:20" ht="2.1" customHeight="1" x14ac:dyDescent="0.2">
      <c r="L68" s="7"/>
      <c r="N68" s="26"/>
    </row>
    <row r="69" spans="1:20" x14ac:dyDescent="0.2">
      <c r="B69" s="3" t="s">
        <v>836</v>
      </c>
      <c r="D69" s="29">
        <f>IF(D67&gt;D65,D67-D65,0)</f>
        <v>0</v>
      </c>
      <c r="L69" s="7"/>
      <c r="N69" s="25"/>
      <c r="P69" s="2"/>
      <c r="Q69" s="2"/>
    </row>
    <row r="70" spans="1:20" ht="1.5" customHeight="1" x14ac:dyDescent="0.2">
      <c r="C70" s="4"/>
      <c r="D70" s="4"/>
      <c r="E70" s="4"/>
      <c r="N70" s="26"/>
    </row>
    <row r="71" spans="1:20" ht="13.5" customHeight="1" x14ac:dyDescent="0.2">
      <c r="B71" s="410" t="str">
        <f>IF(Kanton="Nidwalden","*Im Kanton NW kann die Beteiligung an Gemeinschaftsanlagen angerechnet werden. (KEnG Art. 19a, KEnV § 30ff). Bei Beteiligung hier ein 'x' setzen -&gt;","*Summe der total installierten Leistung aus PV und anderen Elektrizitätserzeugungsanlagen.")</f>
        <v>*Summe der total installierten Leistung aus PV und anderen Elektrizitätserzeugungsanlagen.</v>
      </c>
      <c r="C71" s="410"/>
      <c r="D71" s="410"/>
      <c r="E71" s="4"/>
      <c r="N71" s="25"/>
      <c r="P71" s="3" t="s">
        <v>761</v>
      </c>
      <c r="Q71" s="3" t="s">
        <v>834</v>
      </c>
      <c r="R71" s="3" t="s">
        <v>833</v>
      </c>
    </row>
    <row r="72" spans="1:20" ht="1.5" customHeight="1" x14ac:dyDescent="0.2">
      <c r="B72" s="410"/>
      <c r="C72" s="410"/>
      <c r="D72" s="410"/>
      <c r="E72" s="4"/>
      <c r="N72" s="26"/>
    </row>
    <row r="73" spans="1:20" ht="13.5" customHeight="1" x14ac:dyDescent="0.2">
      <c r="B73" s="410"/>
      <c r="C73" s="410"/>
      <c r="D73" s="410"/>
      <c r="E73" s="4"/>
      <c r="F73" s="280" t="s">
        <v>43</v>
      </c>
      <c r="N73" s="26"/>
    </row>
    <row r="74" spans="1:20" ht="1.5" customHeight="1" x14ac:dyDescent="0.2">
      <c r="C74" s="4"/>
      <c r="D74" s="4"/>
      <c r="E74" s="4"/>
      <c r="N74" s="26"/>
    </row>
    <row r="75" spans="1:20" ht="13.5" customHeight="1" x14ac:dyDescent="0.2">
      <c r="A75" s="2" t="s">
        <v>250</v>
      </c>
      <c r="B75" s="2"/>
      <c r="J75" s="257"/>
      <c r="N75" s="25"/>
      <c r="P75" s="3" t="s">
        <v>108</v>
      </c>
      <c r="Q75" s="311">
        <v>1000</v>
      </c>
      <c r="R75" s="3" t="s">
        <v>1019</v>
      </c>
    </row>
    <row r="76" spans="1:20" ht="2.1" customHeight="1" x14ac:dyDescent="0.2">
      <c r="A76" s="2"/>
      <c r="B76" s="2"/>
      <c r="N76" s="26"/>
      <c r="Q76" s="311"/>
    </row>
    <row r="77" spans="1:20" x14ac:dyDescent="0.2">
      <c r="B77" s="3" t="s">
        <v>827</v>
      </c>
      <c r="D77" s="255" t="str">
        <f>Kanton</f>
        <v>Kt. auswählen</v>
      </c>
      <c r="F77" s="30" t="s">
        <v>43</v>
      </c>
      <c r="H77" s="12" t="str">
        <f>IF(J77="x","-",IF(F77="x","-","x"))</f>
        <v>x</v>
      </c>
      <c r="J77" s="30" t="s">
        <v>43</v>
      </c>
      <c r="L77" s="7"/>
      <c r="N77" s="25"/>
      <c r="P77" s="134" t="s">
        <v>427</v>
      </c>
      <c r="Q77" s="311">
        <v>1000</v>
      </c>
      <c r="R77" s="110" t="s">
        <v>1020</v>
      </c>
      <c r="S77" s="134"/>
      <c r="T77" s="134"/>
    </row>
    <row r="78" spans="1:20" ht="2.1" customHeight="1" x14ac:dyDescent="0.2">
      <c r="A78" s="2"/>
      <c r="F78" s="7"/>
      <c r="H78" s="7"/>
      <c r="J78" s="7"/>
      <c r="L78" s="7"/>
      <c r="N78" s="26"/>
      <c r="P78" s="134"/>
      <c r="Q78" s="311"/>
      <c r="R78" s="134"/>
      <c r="S78" s="134"/>
      <c r="T78" s="134"/>
    </row>
    <row r="79" spans="1:20" ht="13.5" customHeight="1" x14ac:dyDescent="0.2">
      <c r="B79" s="409" t="e">
        <f>INDEX(R75:R81,MATCH(D77,P75:P81,0))</f>
        <v>#N/A</v>
      </c>
      <c r="C79" s="409"/>
      <c r="D79" s="409"/>
      <c r="N79" s="25"/>
      <c r="P79" s="134" t="s">
        <v>753</v>
      </c>
      <c r="Q79" s="315">
        <v>1000</v>
      </c>
      <c r="R79" s="110" t="s">
        <v>842</v>
      </c>
      <c r="S79" s="134"/>
      <c r="T79" s="134"/>
    </row>
    <row r="80" spans="1:20" ht="13.5" customHeight="1" x14ac:dyDescent="0.2">
      <c r="B80" s="409"/>
      <c r="C80" s="409"/>
      <c r="D80" s="409"/>
      <c r="N80" s="25"/>
      <c r="P80" s="134" t="s">
        <v>754</v>
      </c>
      <c r="Q80" s="316" t="s">
        <v>840</v>
      </c>
      <c r="R80" s="110" t="s">
        <v>843</v>
      </c>
      <c r="S80" s="134"/>
      <c r="T80" s="134"/>
    </row>
    <row r="81" spans="1:20" ht="13.5" customHeight="1" x14ac:dyDescent="0.2">
      <c r="B81" s="409"/>
      <c r="C81" s="409"/>
      <c r="D81" s="409"/>
      <c r="N81" s="25"/>
      <c r="P81" s="134" t="s">
        <v>922</v>
      </c>
      <c r="Q81" s="315">
        <v>1000</v>
      </c>
      <c r="R81" s="110" t="s">
        <v>1018</v>
      </c>
      <c r="S81" s="134"/>
      <c r="T81" s="134"/>
    </row>
    <row r="82" spans="1:20" ht="13.5" customHeight="1" x14ac:dyDescent="0.2">
      <c r="B82" s="409"/>
      <c r="C82" s="409"/>
      <c r="D82" s="409"/>
      <c r="N82" s="25"/>
    </row>
    <row r="83" spans="1:20" ht="1.5" customHeight="1" x14ac:dyDescent="0.2">
      <c r="B83" s="229"/>
      <c r="C83" s="229"/>
      <c r="D83" s="229"/>
      <c r="N83" s="26"/>
    </row>
    <row r="84" spans="1:20" ht="13.5" customHeight="1" thickBot="1" x14ac:dyDescent="0.25">
      <c r="B84" s="74" t="s">
        <v>835</v>
      </c>
      <c r="C84" s="229"/>
      <c r="D84" s="256" t="e">
        <f>IF(Q84="Nicht zulässig",Q84,D69*Q84)</f>
        <v>#N/A</v>
      </c>
      <c r="N84" s="25"/>
      <c r="P84" s="3" t="s">
        <v>841</v>
      </c>
      <c r="Q84" s="3" t="e">
        <f>INDEX(Q75:Q81,MATCH(D77,P75:P81,0))</f>
        <v>#N/A</v>
      </c>
    </row>
    <row r="85" spans="1:20" ht="13.5" customHeight="1" thickTop="1" x14ac:dyDescent="0.2">
      <c r="B85" s="410" t="s">
        <v>1054</v>
      </c>
      <c r="C85" s="410"/>
      <c r="D85" s="410"/>
      <c r="P85" s="3" t="s">
        <v>841</v>
      </c>
      <c r="Q85" s="3" t="b">
        <f>D69&gt;0</f>
        <v>0</v>
      </c>
    </row>
    <row r="86" spans="1:20" ht="13.5" customHeight="1" x14ac:dyDescent="0.2">
      <c r="B86" s="410"/>
      <c r="C86" s="410"/>
      <c r="D86" s="410"/>
    </row>
    <row r="87" spans="1:20" s="39" customFormat="1" ht="27" customHeight="1" x14ac:dyDescent="0.2">
      <c r="A87" s="2" t="s">
        <v>542</v>
      </c>
      <c r="B87" s="34"/>
      <c r="C87" s="35"/>
      <c r="D87" s="35"/>
      <c r="E87" s="35"/>
      <c r="F87" s="34"/>
      <c r="G87" s="34"/>
      <c r="H87" s="36"/>
      <c r="I87" s="34"/>
      <c r="J87" s="34"/>
      <c r="K87" s="34"/>
      <c r="L87" s="34"/>
      <c r="M87" s="34"/>
      <c r="N87" s="34"/>
    </row>
    <row r="88" spans="1:20" s="39" customFormat="1" ht="1.5" customHeight="1" x14ac:dyDescent="0.2">
      <c r="A88" s="34"/>
      <c r="B88" s="34"/>
      <c r="C88" s="35"/>
      <c r="D88" s="35"/>
      <c r="E88" s="35"/>
      <c r="F88" s="34"/>
      <c r="G88" s="34"/>
      <c r="H88" s="36"/>
      <c r="I88" s="34"/>
      <c r="J88" s="34"/>
      <c r="K88" s="34"/>
      <c r="L88" s="34"/>
      <c r="M88" s="34"/>
      <c r="N88" s="34"/>
    </row>
    <row r="89" spans="1:20" s="39" customFormat="1" ht="64.150000000000006" customHeight="1" x14ac:dyDescent="0.2">
      <c r="A89" s="52"/>
      <c r="B89" s="411"/>
      <c r="C89" s="412"/>
      <c r="D89" s="412"/>
      <c r="E89" s="412"/>
      <c r="F89" s="412"/>
      <c r="G89" s="412"/>
      <c r="H89" s="412"/>
      <c r="I89" s="412"/>
      <c r="J89" s="412"/>
      <c r="K89" s="412"/>
      <c r="L89" s="412"/>
      <c r="M89" s="412"/>
      <c r="N89" s="412"/>
      <c r="O89" s="52"/>
      <c r="P89" s="52"/>
      <c r="Q89" s="52"/>
    </row>
    <row r="90" spans="1:20" s="34" customFormat="1" ht="13.5" customHeight="1" x14ac:dyDescent="0.2">
      <c r="C90" s="35"/>
      <c r="D90" s="35"/>
      <c r="E90" s="35"/>
      <c r="H90" s="36"/>
    </row>
    <row r="91" spans="1:20" x14ac:dyDescent="0.2">
      <c r="A91" s="2" t="s">
        <v>38</v>
      </c>
      <c r="D91" s="34" t="b">
        <f>ISTEXT(B89)</f>
        <v>0</v>
      </c>
    </row>
    <row r="92" spans="1:20" ht="1.5" customHeight="1" x14ac:dyDescent="0.2">
      <c r="A92" s="2"/>
    </row>
    <row r="93" spans="1:20" ht="14.25" x14ac:dyDescent="0.2">
      <c r="A93" s="2"/>
      <c r="B93" s="3" t="s">
        <v>448</v>
      </c>
      <c r="D93" s="69" t="str">
        <f>IF(OR(COUNTIF(H15:H23,"x")=0,COUNTIF(F93,"x")&gt;0),"erfüllt", "nicht erfüllt")</f>
        <v>nicht erfüllt</v>
      </c>
      <c r="F93" s="30" t="s">
        <v>43</v>
      </c>
      <c r="H93" s="3" t="s">
        <v>451</v>
      </c>
    </row>
    <row r="94" spans="1:20" ht="1.5" customHeight="1" x14ac:dyDescent="0.2">
      <c r="A94" s="2"/>
    </row>
    <row r="95" spans="1:20" ht="14.25" x14ac:dyDescent="0.2">
      <c r="B95" s="3" t="s">
        <v>251</v>
      </c>
      <c r="D95" s="69" t="str">
        <f>IF(OR(COUNTIF(H27:H84,"x")=0,COUNTIF(F95,"x")&gt;0),"erfüllt", "nicht erfüllt")</f>
        <v>nicht erfüllt</v>
      </c>
      <c r="F95" s="30" t="s">
        <v>43</v>
      </c>
      <c r="H95" s="3" t="s">
        <v>449</v>
      </c>
    </row>
    <row r="96" spans="1:20" ht="1.5" customHeight="1" x14ac:dyDescent="0.2">
      <c r="D96" s="89"/>
    </row>
    <row r="98" spans="1:14" ht="13.5" customHeight="1" x14ac:dyDescent="0.2">
      <c r="A98" s="34"/>
      <c r="B98" s="3" t="s">
        <v>39</v>
      </c>
      <c r="D98" s="3" t="str">
        <f>IF(ISTEXT(Name_Kontr),Name_Kontr,"")</f>
        <v/>
      </c>
      <c r="F98" s="328" t="str">
        <f>IF(AND(NOT(D91),COUNTIF(F93:F95,"x")&gt;0),"Begründung und Empfehlung des weiteren Vorgehens erforderlich.","")</f>
        <v/>
      </c>
      <c r="G98" s="328"/>
      <c r="H98" s="328"/>
      <c r="I98" s="328"/>
      <c r="J98" s="328"/>
      <c r="K98" s="328"/>
      <c r="L98" s="328"/>
      <c r="M98" s="328"/>
      <c r="N98" s="328"/>
    </row>
    <row r="99" spans="1:14" ht="2.1" customHeight="1" x14ac:dyDescent="0.2">
      <c r="A99" s="34" t="s">
        <v>42</v>
      </c>
      <c r="F99" s="328"/>
      <c r="G99" s="328"/>
      <c r="H99" s="328"/>
      <c r="I99" s="328"/>
      <c r="J99" s="328"/>
      <c r="K99" s="328"/>
      <c r="L99" s="328"/>
      <c r="M99" s="328"/>
      <c r="N99" s="328"/>
    </row>
    <row r="100" spans="1:14" x14ac:dyDescent="0.2">
      <c r="A100" s="34" t="s">
        <v>43</v>
      </c>
      <c r="B100" s="3" t="s">
        <v>40</v>
      </c>
      <c r="D100" s="47">
        <f ca="1">Datum</f>
        <v>45866</v>
      </c>
      <c r="F100" s="328"/>
      <c r="G100" s="328"/>
      <c r="H100" s="328"/>
      <c r="I100" s="328"/>
      <c r="J100" s="328"/>
      <c r="K100" s="328"/>
      <c r="L100" s="328"/>
      <c r="M100" s="328"/>
      <c r="N100" s="328"/>
    </row>
    <row r="128" hidden="1" x14ac:dyDescent="0.2"/>
    <row r="129" spans="1:1" hidden="1" x14ac:dyDescent="0.2">
      <c r="A129" s="3" t="s">
        <v>42</v>
      </c>
    </row>
    <row r="130" spans="1:1" hidden="1" x14ac:dyDescent="0.2">
      <c r="A130" s="3" t="s">
        <v>43</v>
      </c>
    </row>
    <row r="131" spans="1:1" hidden="1" x14ac:dyDescent="0.2"/>
  </sheetData>
  <sheetProtection algorithmName="SHA-512" hashValue="5I2DPpX0Q0jy5pBAl/3xXZO34ZSOkRZ7wQJgn30Un/prqj2aQUtR7otnmNC9DGhQvL9o0QvLKw8cC5w768x72w==" saltValue="Yz17ORy/1oVXuNVaan7m5Q==" spinCount="100000" sheet="1" formatRows="0"/>
  <mergeCells count="8">
    <mergeCell ref="B79:D82"/>
    <mergeCell ref="B71:D73"/>
    <mergeCell ref="B89:N89"/>
    <mergeCell ref="F98:N100"/>
    <mergeCell ref="D5:M5"/>
    <mergeCell ref="D7:M7"/>
    <mergeCell ref="D11:M11"/>
    <mergeCell ref="B85:D86"/>
  </mergeCells>
  <phoneticPr fontId="7" type="noConversion"/>
  <conditionalFormatting sqref="D93">
    <cfRule type="beginsWith" dxfId="128" priority="1" operator="beginsWith" text="erfüllt">
      <formula>LEFT(D93,LEN("erfüllt"))="erfüllt"</formula>
    </cfRule>
    <cfRule type="containsText" dxfId="127" priority="2" operator="containsText" text="nicht erfüllt">
      <formula>NOT(ISERROR(SEARCH("nicht erfüllt",D93)))</formula>
    </cfRule>
    <cfRule type="beginsWith" dxfId="126" priority="3" operator="beginsWith" text="erfüllt">
      <formula>LEFT(D93,LEN("erfüllt"))="erfüllt"</formula>
    </cfRule>
    <cfRule type="containsText" dxfId="125" priority="4" operator="containsText" text="nicht erfüllt">
      <formula>NOT(ISERROR(SEARCH("nicht erfüllt",D93)))</formula>
    </cfRule>
  </conditionalFormatting>
  <conditionalFormatting sqref="D95 D93">
    <cfRule type="containsText" dxfId="124" priority="7" operator="containsText" text="nicht">
      <formula>NOT(ISERROR(SEARCH("nicht",B86)))</formula>
    </cfRule>
  </conditionalFormatting>
  <conditionalFormatting sqref="D95">
    <cfRule type="beginsWith" dxfId="123" priority="5" operator="beginsWith" text="erfüllt">
      <formula>LEFT(D95,LEN("erfüllt"))="erfüllt"</formula>
    </cfRule>
    <cfRule type="containsText" dxfId="122" priority="6" operator="containsText" text="nicht erfüllt">
      <formula>NOT(ISERROR(SEARCH("nicht erfüllt",D95)))</formula>
    </cfRule>
  </conditionalFormatting>
  <conditionalFormatting sqref="F73">
    <cfRule type="expression" dxfId="121" priority="9">
      <formula>Kanton="nidwalden"</formula>
    </cfRule>
  </conditionalFormatting>
  <conditionalFormatting sqref="H15:H86">
    <cfRule type="cellIs" dxfId="120" priority="11" operator="equal">
      <formula>"x"</formula>
    </cfRule>
  </conditionalFormatting>
  <dataValidations count="2">
    <dataValidation type="list" allowBlank="1" showInputMessage="1" showErrorMessage="1" sqref="H19 H77 H57 H59 H49 H47 H51 H17 H21 H23:H24 H65" xr:uid="{00000000-0002-0000-0700-000000000000}">
      <formula1>$A$201:$A$202</formula1>
    </dataValidation>
    <dataValidation type="list" allowBlank="1" showInputMessage="1" showErrorMessage="1" sqref="F19 J49 F31 F21 F23:F24 J19 J21 J51 F27 J31 J77 F77 F65 F42 F49 J47 J23:J24 F51 L51 L47 L49 J75 F57 F59 J59 J57 J27 F29 F47 F40 J29 F73" xr:uid="{00000000-0002-0000-0700-000001000000}">
      <formula1>$A$129:$A$130</formula1>
    </dataValidation>
  </dataValidations>
  <hyperlinks>
    <hyperlink ref="N1" r:id="rId1" xr:uid="{31DA306F-0F6B-403C-AB90-6D6BAD38391B}"/>
    <hyperlink ref="N2" location="'EN-Kt.'!A1" display="Zurück zm EN-Kt. " xr:uid="{0038EFFA-9839-4B1B-8D79-D4853B032CED}"/>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'EN-Kt.'!$A$207:$A$208</xm:f>
          </x14:formula1>
          <xm:sqref>F17 F15 F93 F95 F25 J25 F38 F45 J45 J55</xm:sqref>
        </x14:dataValidation>
        <x14:dataValidation type="list" allowBlank="1" showInputMessage="1" showErrorMessage="1" xr:uid="{00000000-0002-0000-0700-000003000000}">
          <x14:formula1>
            <xm:f>'EN-Kt.'!$C$304:$C$307</xm:f>
          </x14:formula1>
          <xm:sqref>D9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36795-005F-4087-B180-01F3A82DE7F8}">
  <sheetPr>
    <tabColor theme="0"/>
  </sheetPr>
  <dimension ref="A1:T118"/>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4.625" style="3" customWidth="1"/>
    <col min="15" max="15" width="10.875" style="3"/>
    <col min="16" max="19" width="10.875" style="3" hidden="1" customWidth="1"/>
    <col min="20" max="16384" width="10.875" style="3"/>
  </cols>
  <sheetData>
    <row r="1" spans="1:16" s="22" customFormat="1" ht="18" x14ac:dyDescent="0.25">
      <c r="A1" s="6" t="s">
        <v>1053</v>
      </c>
      <c r="B1" s="6"/>
      <c r="N1" s="117" t="s">
        <v>503</v>
      </c>
      <c r="P1" s="23"/>
    </row>
    <row r="2" spans="1:16" s="22" customFormat="1" ht="18" x14ac:dyDescent="0.25">
      <c r="A2" s="6" t="s">
        <v>1069</v>
      </c>
      <c r="B2" s="6"/>
      <c r="N2" s="117" t="s">
        <v>734</v>
      </c>
    </row>
    <row r="3" spans="1:16" ht="63.95" customHeight="1" x14ac:dyDescent="0.2">
      <c r="A3" s="2" t="s">
        <v>61</v>
      </c>
      <c r="D3" s="1"/>
      <c r="F3" s="7"/>
      <c r="G3" s="7"/>
      <c r="H3" s="7"/>
      <c r="I3" s="7"/>
      <c r="J3" s="8"/>
      <c r="L3" s="8"/>
      <c r="N3" s="308" t="str">
        <f>IF(AND(Kanton="Luzern",'EN-Kt.'!V27="x"),"Dieses Prüfformular ist im Kanton Luzern nur für Bauentscheide ab dem 1. März 2025 zulässig.","")</f>
        <v/>
      </c>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218"/>
      <c r="F9" s="218"/>
      <c r="G9" s="218"/>
      <c r="H9" s="218"/>
      <c r="I9" s="218"/>
      <c r="J9" s="218"/>
      <c r="K9" s="218"/>
      <c r="L9" s="218"/>
      <c r="M9" s="218"/>
      <c r="N9" s="21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thickBot="1" x14ac:dyDescent="0.25">
      <c r="L14" s="7"/>
      <c r="N14" s="25"/>
    </row>
    <row r="15" spans="1:16" ht="14.25" thickBot="1" x14ac:dyDescent="0.25">
      <c r="B15" s="178" t="str">
        <f>IF(AND(J15="x",COUNTIF(F19:F31,"x")&lt;1),"Die Prüfung der Beilagen ist nicht plausibel.","")</f>
        <v/>
      </c>
      <c r="J15" s="258" t="s">
        <v>43</v>
      </c>
      <c r="L15" s="7"/>
      <c r="N15" s="25"/>
    </row>
    <row r="16" spans="1:16" ht="2.1" customHeight="1" x14ac:dyDescent="0.2">
      <c r="A16" s="2"/>
      <c r="B16" s="2"/>
      <c r="F16" s="7"/>
      <c r="G16" s="7"/>
      <c r="H16" s="7"/>
      <c r="I16" s="7"/>
      <c r="J16" s="8"/>
      <c r="L16" s="8"/>
    </row>
    <row r="17" spans="1:20" ht="13.5" customHeight="1" x14ac:dyDescent="0.2">
      <c r="A17" s="2"/>
      <c r="B17" s="3" t="s">
        <v>736</v>
      </c>
      <c r="F17" s="30" t="s">
        <v>43</v>
      </c>
      <c r="H17" s="12" t="str">
        <f>IF(J17="x","-",IF(F17="x","-","x"))</f>
        <v>x</v>
      </c>
      <c r="J17" s="7"/>
      <c r="L17" s="7"/>
      <c r="N17" s="25"/>
    </row>
    <row r="18" spans="1:20" ht="2.1" customHeight="1" x14ac:dyDescent="0.2">
      <c r="A18" s="2"/>
      <c r="B18" s="2"/>
      <c r="F18" s="115"/>
      <c r="G18" s="7"/>
      <c r="H18" s="7"/>
      <c r="I18" s="7"/>
      <c r="J18" s="8"/>
      <c r="L18" s="8"/>
      <c r="N18" s="26"/>
    </row>
    <row r="19" spans="1:20" x14ac:dyDescent="0.2">
      <c r="B19" s="3" t="s">
        <v>1037</v>
      </c>
      <c r="F19" s="30" t="s">
        <v>43</v>
      </c>
      <c r="H19" s="12" t="str">
        <f>IF(J19="x","-",IF(F19="x","-","x"))</f>
        <v>x</v>
      </c>
      <c r="J19" s="30" t="str">
        <f>IF(AND(F19="-",$J$15="x"),"x","-")</f>
        <v>-</v>
      </c>
      <c r="L19" s="7"/>
      <c r="M19" s="3" t="str">
        <f>IF(AND(D40="befreit",H19="x"),"Planunterlagen erforderlich","")</f>
        <v/>
      </c>
      <c r="N19" s="25"/>
    </row>
    <row r="20" spans="1:20" ht="2.1" customHeight="1" x14ac:dyDescent="0.2">
      <c r="F20" s="115"/>
      <c r="H20" s="7"/>
      <c r="J20" s="7"/>
      <c r="L20" s="7"/>
      <c r="N20" s="26"/>
    </row>
    <row r="21" spans="1:20" x14ac:dyDescent="0.2">
      <c r="B21" s="3" t="s">
        <v>1062</v>
      </c>
      <c r="F21" s="30" t="s">
        <v>43</v>
      </c>
      <c r="H21" s="12" t="str">
        <f>IF(J21="x","-",IF(F21="x","-","x"))</f>
        <v>x</v>
      </c>
      <c r="J21" s="30" t="str">
        <f>IF(AND(F21="-",$J$15="x"),"x","-")</f>
        <v>-</v>
      </c>
      <c r="L21" s="7"/>
      <c r="N21" s="25"/>
    </row>
    <row r="22" spans="1:20" ht="2.1" customHeight="1" x14ac:dyDescent="0.2">
      <c r="F22" s="115"/>
      <c r="H22" s="7"/>
      <c r="J22" s="7"/>
      <c r="L22" s="7"/>
      <c r="N22" s="26"/>
    </row>
    <row r="23" spans="1:20" x14ac:dyDescent="0.2">
      <c r="B23" s="3" t="s">
        <v>1063</v>
      </c>
      <c r="F23" s="30" t="s">
        <v>43</v>
      </c>
      <c r="H23" s="12" t="str">
        <f>IF(J23="x","-",IF(F23="x","-","x"))</f>
        <v>x</v>
      </c>
      <c r="J23" s="30" t="str">
        <f>IF(AND(F23="-",$J$15="x"),"x","-")</f>
        <v>-</v>
      </c>
      <c r="L23" s="7"/>
      <c r="N23" s="25"/>
    </row>
    <row r="24" spans="1:20" ht="2.1" customHeight="1" x14ac:dyDescent="0.2">
      <c r="F24" s="115"/>
      <c r="H24" s="7"/>
      <c r="J24" s="7"/>
      <c r="L24" s="7"/>
      <c r="N24" s="26"/>
    </row>
    <row r="25" spans="1:20" x14ac:dyDescent="0.2">
      <c r="B25" s="3" t="s">
        <v>1064</v>
      </c>
      <c r="F25" s="30" t="s">
        <v>43</v>
      </c>
      <c r="H25" s="12" t="str">
        <f>IF(J25="x","-",IF(F25="x","-","x"))</f>
        <v>x</v>
      </c>
      <c r="J25" s="30" t="str">
        <f>IF(AND(F25="-",$J$15="x"),"x","-")</f>
        <v>-</v>
      </c>
      <c r="L25" s="7"/>
      <c r="N25" s="25"/>
    </row>
    <row r="26" spans="1:20" ht="2.1" customHeight="1" x14ac:dyDescent="0.2">
      <c r="F26" s="115"/>
      <c r="H26" s="7"/>
      <c r="J26" s="115" t="s">
        <v>43</v>
      </c>
      <c r="L26" s="7"/>
      <c r="N26" s="26"/>
    </row>
    <row r="27" spans="1:20" x14ac:dyDescent="0.2">
      <c r="B27" s="3" t="s">
        <v>247</v>
      </c>
      <c r="F27" s="30" t="s">
        <v>43</v>
      </c>
      <c r="H27" s="12" t="str">
        <f>IF(J27="x","-",IF(F27="x","-","x"))</f>
        <v>x</v>
      </c>
      <c r="J27" s="30" t="str">
        <f>IF(AND(F27="-",$J$15="x"),"x","-")</f>
        <v>-</v>
      </c>
      <c r="L27" s="7"/>
      <c r="N27" s="25"/>
    </row>
    <row r="28" spans="1:20" ht="2.1" customHeight="1" x14ac:dyDescent="0.2">
      <c r="F28" s="115"/>
      <c r="H28" s="7"/>
      <c r="J28" s="115" t="s">
        <v>43</v>
      </c>
      <c r="L28" s="7"/>
      <c r="N28" s="26"/>
    </row>
    <row r="29" spans="1:20" x14ac:dyDescent="0.2">
      <c r="B29" s="3" t="s">
        <v>824</v>
      </c>
      <c r="F29" s="30" t="s">
        <v>43</v>
      </c>
      <c r="H29" s="12" t="str">
        <f>IF(J29="x","-",IF(F29="x","-","x"))</f>
        <v>x</v>
      </c>
      <c r="J29" s="30" t="str">
        <f>IF(AND(F29="-",$J$15="x"),"x","-")</f>
        <v>-</v>
      </c>
      <c r="L29" s="7"/>
      <c r="N29" s="25"/>
    </row>
    <row r="30" spans="1:20" ht="2.1" customHeight="1" x14ac:dyDescent="0.2">
      <c r="N30" s="77"/>
    </row>
    <row r="31" spans="1:20" x14ac:dyDescent="0.2">
      <c r="B31" s="3" t="s">
        <v>1038</v>
      </c>
      <c r="F31" s="30" t="s">
        <v>43</v>
      </c>
      <c r="H31" s="12" t="str">
        <f>IF(J31="x","-",IF(F31="x","-","x"))</f>
        <v>x</v>
      </c>
      <c r="J31" s="30" t="str">
        <f>IF(AND(F31="-",$J$15="x"),"x","-")</f>
        <v>-</v>
      </c>
      <c r="L31" s="7"/>
      <c r="N31" s="25"/>
      <c r="T31" s="3" t="str">
        <f>IF(OR(AND(C44="-", R31=C174),OR(R28="III – Verwaltung",R30="III – Verwaltung")),"nicht zulässig", IF(AND(OR(E28="x",E30="x",E31="x"),R31=""),"Angabe fehlt",""  ))</f>
        <v/>
      </c>
    </row>
    <row r="32" spans="1:20" x14ac:dyDescent="0.2">
      <c r="B32" s="38"/>
      <c r="N32" s="77"/>
    </row>
    <row r="33" spans="1:18" ht="13.5" customHeight="1" x14ac:dyDescent="0.2">
      <c r="A33" s="2" t="s">
        <v>1039</v>
      </c>
      <c r="B33" s="2"/>
      <c r="N33" s="77"/>
    </row>
    <row r="34" spans="1:18" ht="2.1" customHeight="1" x14ac:dyDescent="0.2">
      <c r="A34" s="2"/>
      <c r="B34" s="2"/>
      <c r="F34" s="26"/>
      <c r="N34" s="77"/>
    </row>
    <row r="35" spans="1:18" ht="13.5" customHeight="1" x14ac:dyDescent="0.2">
      <c r="A35" s="2"/>
      <c r="B35" s="3" t="s">
        <v>1040</v>
      </c>
      <c r="F35" s="30" t="s">
        <v>43</v>
      </c>
      <c r="H35" s="12" t="str">
        <f>IF(J35="x","-",IF(F35="x","-","x"))</f>
        <v>x</v>
      </c>
      <c r="J35" s="30" t="s">
        <v>43</v>
      </c>
      <c r="N35" s="25"/>
    </row>
    <row r="36" spans="1:18" x14ac:dyDescent="0.2">
      <c r="B36" s="38"/>
      <c r="N36" s="77"/>
    </row>
    <row r="37" spans="1:18" ht="13.5" customHeight="1" x14ac:dyDescent="0.2">
      <c r="A37" s="2" t="s">
        <v>1065</v>
      </c>
      <c r="B37" s="2"/>
      <c r="N37" s="77"/>
    </row>
    <row r="38" spans="1:18" ht="2.1" customHeight="1" x14ac:dyDescent="0.2">
      <c r="A38" s="2"/>
      <c r="B38" s="2"/>
      <c r="F38" s="26"/>
      <c r="N38" s="77"/>
    </row>
    <row r="39" spans="1:18" ht="13.5" customHeight="1" x14ac:dyDescent="0.2">
      <c r="A39" s="2"/>
      <c r="B39" s="3" t="s">
        <v>1041</v>
      </c>
      <c r="F39" s="30" t="s">
        <v>43</v>
      </c>
      <c r="H39" s="12" t="str">
        <f>IF(J39="x","-",IF(F39="x","-","x"))</f>
        <v>x</v>
      </c>
      <c r="J39" s="30" t="str">
        <f>IF(AND(COUNTIF($F$39:$F$45,"x")&gt;=1,F39&lt;&gt;"x"),"x","-")</f>
        <v>-</v>
      </c>
      <c r="N39" s="25"/>
    </row>
    <row r="40" spans="1:18" ht="2.1" customHeight="1" x14ac:dyDescent="0.2">
      <c r="A40" s="2"/>
      <c r="B40" s="2"/>
      <c r="F40" s="26"/>
      <c r="N40" s="77"/>
    </row>
    <row r="41" spans="1:18" ht="13.5" customHeight="1" x14ac:dyDescent="0.2">
      <c r="A41" s="2"/>
      <c r="B41" s="3" t="s">
        <v>1042</v>
      </c>
      <c r="F41" s="30" t="s">
        <v>43</v>
      </c>
      <c r="H41" s="12" t="str">
        <f t="shared" ref="H41" si="0">IF(J41="x","-",IF(F41="x","-","x"))</f>
        <v>x</v>
      </c>
      <c r="J41" s="30" t="str">
        <f>IF(AND(COUNTIF($F$39:$F$45,"x")&gt;=1,F41&lt;&gt;"x"),"x","-")</f>
        <v>-</v>
      </c>
      <c r="N41" s="25"/>
    </row>
    <row r="42" spans="1:18" ht="2.1" customHeight="1" x14ac:dyDescent="0.2">
      <c r="A42" s="2"/>
      <c r="B42" s="2"/>
      <c r="F42" s="26"/>
      <c r="N42" s="77"/>
    </row>
    <row r="43" spans="1:18" ht="13.5" customHeight="1" x14ac:dyDescent="0.2">
      <c r="A43" s="2"/>
      <c r="B43" s="3" t="s">
        <v>1043</v>
      </c>
      <c r="F43" s="30" t="s">
        <v>43</v>
      </c>
      <c r="H43" s="12" t="str">
        <f t="shared" ref="H43" si="1">IF(J43="x","-",IF(F43="x","-","x"))</f>
        <v>x</v>
      </c>
      <c r="J43" s="30" t="str">
        <f>IF(AND(COUNTIF($F$39:$F$45,"x")&gt;=1,F43&lt;&gt;"x"),"x","-")</f>
        <v>-</v>
      </c>
      <c r="N43" s="25"/>
    </row>
    <row r="44" spans="1:18" ht="2.1" customHeight="1" x14ac:dyDescent="0.2">
      <c r="A44" s="2"/>
      <c r="B44" s="2"/>
      <c r="F44" s="26"/>
      <c r="N44" s="77"/>
    </row>
    <row r="45" spans="1:18" ht="13.5" customHeight="1" x14ac:dyDescent="0.2">
      <c r="A45" s="2"/>
      <c r="B45" s="3" t="s">
        <v>1044</v>
      </c>
      <c r="F45" s="30" t="s">
        <v>43</v>
      </c>
      <c r="H45" s="12" t="str">
        <f t="shared" ref="H45" si="2">IF(J45="x","-",IF(F45="x","-","x"))</f>
        <v>x</v>
      </c>
      <c r="J45" s="30" t="str">
        <f>IF(AND(COUNTIF($F$39:$F$45,"x")&gt;=1,F45&lt;&gt;"x"),"x","-")</f>
        <v>-</v>
      </c>
      <c r="N45" s="25"/>
    </row>
    <row r="46" spans="1:18" x14ac:dyDescent="0.2">
      <c r="B46" s="38"/>
      <c r="N46" s="77"/>
    </row>
    <row r="47" spans="1:18" ht="13.5" customHeight="1" x14ac:dyDescent="0.2">
      <c r="A47" s="2" t="s">
        <v>250</v>
      </c>
      <c r="B47" s="2"/>
      <c r="J47" s="257"/>
      <c r="N47" s="77"/>
      <c r="P47" s="3" t="s">
        <v>108</v>
      </c>
      <c r="Q47" s="311"/>
      <c r="R47" s="253" t="s">
        <v>1019</v>
      </c>
    </row>
    <row r="48" spans="1:18" ht="2.1" customHeight="1" x14ac:dyDescent="0.2">
      <c r="A48" s="2"/>
      <c r="B48" s="2"/>
      <c r="N48" s="77"/>
      <c r="Q48" s="311"/>
    </row>
    <row r="49" spans="1:20" ht="13.5" customHeight="1" x14ac:dyDescent="0.2">
      <c r="B49" s="3" t="s">
        <v>827</v>
      </c>
      <c r="D49" s="255" t="str">
        <f>Kanton</f>
        <v>Kt. auswählen</v>
      </c>
      <c r="F49" s="30" t="s">
        <v>43</v>
      </c>
      <c r="L49" s="7"/>
      <c r="N49" s="25"/>
      <c r="P49" s="317" t="s">
        <v>1046</v>
      </c>
      <c r="Q49" s="312"/>
      <c r="R49" s="313" t="s">
        <v>1020</v>
      </c>
      <c r="S49" s="134"/>
      <c r="T49" s="134"/>
    </row>
    <row r="50" spans="1:20" ht="2.1" customHeight="1" x14ac:dyDescent="0.2">
      <c r="A50" s="2"/>
      <c r="F50" s="7"/>
      <c r="J50" s="7"/>
      <c r="L50" s="7"/>
      <c r="N50" s="77"/>
      <c r="P50" s="314"/>
      <c r="Q50" s="312"/>
      <c r="R50" s="314"/>
      <c r="S50" s="134"/>
      <c r="T50" s="134"/>
    </row>
    <row r="51" spans="1:20" ht="13.5" customHeight="1" x14ac:dyDescent="0.2">
      <c r="B51" s="409" t="str">
        <f>IF(Kanton="Luzern",INDEX(R47:R53,MATCH(D49,P47:P53,0)),"")</f>
        <v/>
      </c>
      <c r="C51" s="409"/>
      <c r="D51" s="409"/>
      <c r="N51" s="25"/>
      <c r="P51" s="314" t="s">
        <v>1047</v>
      </c>
      <c r="Q51" s="312"/>
      <c r="R51" s="313" t="s">
        <v>842</v>
      </c>
      <c r="S51" s="134"/>
      <c r="T51" s="134"/>
    </row>
    <row r="52" spans="1:20" ht="13.5" customHeight="1" x14ac:dyDescent="0.2">
      <c r="B52" s="409"/>
      <c r="C52" s="409"/>
      <c r="D52" s="409"/>
      <c r="N52" s="25"/>
      <c r="P52" s="314" t="s">
        <v>1048</v>
      </c>
      <c r="Q52" s="312"/>
      <c r="R52" s="313" t="s">
        <v>843</v>
      </c>
      <c r="S52" s="134"/>
      <c r="T52" s="134"/>
    </row>
    <row r="53" spans="1:20" ht="13.5" customHeight="1" x14ac:dyDescent="0.2">
      <c r="B53" s="409"/>
      <c r="C53" s="409"/>
      <c r="D53" s="409"/>
      <c r="N53" s="25"/>
      <c r="P53" s="314" t="s">
        <v>1049</v>
      </c>
      <c r="Q53" s="312"/>
      <c r="R53" s="313" t="s">
        <v>1018</v>
      </c>
      <c r="S53" s="134"/>
      <c r="T53" s="134"/>
    </row>
    <row r="54" spans="1:20" ht="13.5" customHeight="1" x14ac:dyDescent="0.2">
      <c r="B54" s="409"/>
      <c r="C54" s="409"/>
      <c r="D54" s="409"/>
      <c r="N54" s="25"/>
    </row>
    <row r="55" spans="1:20" ht="1.5" customHeight="1" x14ac:dyDescent="0.2">
      <c r="B55" s="229"/>
      <c r="C55" s="229"/>
      <c r="D55" s="229">
        <v>0</v>
      </c>
      <c r="N55" s="77"/>
    </row>
    <row r="56" spans="1:20" ht="13.5" customHeight="1" thickBot="1" x14ac:dyDescent="0.25">
      <c r="B56" s="74" t="s">
        <v>835</v>
      </c>
      <c r="C56" s="229"/>
      <c r="D56" s="306">
        <v>0</v>
      </c>
      <c r="N56" s="25"/>
    </row>
    <row r="57" spans="1:20" ht="13.5" customHeight="1" thickTop="1" x14ac:dyDescent="0.2">
      <c r="B57" s="410" t="s">
        <v>1055</v>
      </c>
      <c r="C57" s="410"/>
      <c r="D57" s="410"/>
      <c r="N57" s="77"/>
    </row>
    <row r="58" spans="1:20" ht="2.1" customHeight="1" x14ac:dyDescent="0.2">
      <c r="B58" s="305"/>
      <c r="C58" s="305"/>
      <c r="D58" s="305"/>
      <c r="N58" s="77"/>
    </row>
    <row r="59" spans="1:20" ht="12.6" customHeight="1" x14ac:dyDescent="0.2">
      <c r="B59" s="410" t="s">
        <v>1061</v>
      </c>
      <c r="C59" s="410"/>
      <c r="D59" s="410"/>
      <c r="N59" s="77"/>
    </row>
    <row r="60" spans="1:20" ht="12.6" customHeight="1" x14ac:dyDescent="0.2">
      <c r="B60" s="410" t="s">
        <v>1068</v>
      </c>
      <c r="C60" s="410"/>
      <c r="D60" s="410"/>
      <c r="N60" s="77"/>
    </row>
    <row r="61" spans="1:20" ht="136.5" customHeight="1" x14ac:dyDescent="0.2">
      <c r="B61" s="305"/>
      <c r="C61" s="305"/>
      <c r="D61" s="305"/>
      <c r="N61" s="78"/>
    </row>
    <row r="62" spans="1:20" s="39" customFormat="1" ht="34.15" customHeight="1" x14ac:dyDescent="0.2">
      <c r="A62" s="2" t="s">
        <v>542</v>
      </c>
      <c r="B62" s="34"/>
      <c r="C62" s="35"/>
      <c r="D62" s="35"/>
      <c r="E62" s="35"/>
      <c r="F62" s="34"/>
      <c r="G62" s="34"/>
      <c r="H62" s="36"/>
      <c r="I62" s="34"/>
      <c r="J62" s="34"/>
      <c r="K62" s="34"/>
      <c r="L62" s="34"/>
      <c r="M62" s="34"/>
      <c r="N62" s="34"/>
      <c r="P62" s="39" t="e">
        <f>MATCH("x",#REF!,0)</f>
        <v>#REF!</v>
      </c>
    </row>
    <row r="63" spans="1:20" s="39" customFormat="1" ht="1.5" customHeight="1" x14ac:dyDescent="0.2">
      <c r="A63" s="34"/>
      <c r="B63" s="34"/>
      <c r="C63" s="35"/>
      <c r="D63" s="35"/>
      <c r="E63" s="35"/>
      <c r="F63" s="34"/>
      <c r="G63" s="34"/>
      <c r="H63" s="36"/>
      <c r="I63" s="34"/>
      <c r="J63" s="34"/>
      <c r="K63" s="34"/>
      <c r="L63" s="34"/>
      <c r="M63" s="34"/>
      <c r="N63" s="34"/>
    </row>
    <row r="64" spans="1:20" s="39" customFormat="1" ht="70.5" customHeight="1" x14ac:dyDescent="0.2">
      <c r="A64" s="52"/>
      <c r="B64" s="404"/>
      <c r="C64" s="404"/>
      <c r="D64" s="404"/>
      <c r="E64" s="404"/>
      <c r="F64" s="404"/>
      <c r="G64" s="404"/>
      <c r="H64" s="404"/>
      <c r="I64" s="404"/>
      <c r="J64" s="404"/>
      <c r="K64" s="404"/>
      <c r="L64" s="404"/>
      <c r="M64" s="404"/>
      <c r="N64" s="404"/>
      <c r="O64" s="52"/>
      <c r="P64" s="52"/>
    </row>
    <row r="65" spans="1:14" s="34" customFormat="1" ht="20.100000000000001" customHeight="1" x14ac:dyDescent="0.2">
      <c r="C65" s="35"/>
      <c r="D65" s="35"/>
      <c r="E65" s="35"/>
      <c r="H65" s="36"/>
    </row>
    <row r="66" spans="1:14" x14ac:dyDescent="0.2">
      <c r="A66" s="2" t="s">
        <v>38</v>
      </c>
      <c r="D66" s="34" t="b">
        <f>ISTEXT(B64)</f>
        <v>0</v>
      </c>
    </row>
    <row r="67" spans="1:14" ht="1.5" customHeight="1" x14ac:dyDescent="0.2">
      <c r="A67" s="2"/>
    </row>
    <row r="68" spans="1:14" ht="14.25" x14ac:dyDescent="0.2">
      <c r="A68" s="2"/>
      <c r="B68" s="3" t="s">
        <v>448</v>
      </c>
      <c r="D68" s="69" t="str">
        <f>IF(OR(COUNTIF(H17:H31,"x")=0,F68="x"),"erfüllt","nicht erfüllt")</f>
        <v>nicht erfüllt</v>
      </c>
      <c r="F68" s="30" t="s">
        <v>43</v>
      </c>
      <c r="H68" s="3" t="s">
        <v>451</v>
      </c>
    </row>
    <row r="69" spans="1:14" ht="1.5" customHeight="1" x14ac:dyDescent="0.2">
      <c r="A69" s="2"/>
    </row>
    <row r="70" spans="1:14" ht="14.25" x14ac:dyDescent="0.2">
      <c r="B70" s="3" t="s">
        <v>251</v>
      </c>
      <c r="D70" s="69" t="str">
        <f>IF(OR(COUNTIF(H35:H49,"x")=0,COUNTIF(F70,"x")&gt;0),"erfüllt", "nicht erfüllt")</f>
        <v>nicht erfüllt</v>
      </c>
      <c r="F70" s="30" t="s">
        <v>43</v>
      </c>
      <c r="H70" s="3" t="s">
        <v>449</v>
      </c>
    </row>
    <row r="71" spans="1:14" ht="1.5" customHeight="1" x14ac:dyDescent="0.2">
      <c r="D71" s="87"/>
    </row>
    <row r="73" spans="1:14" ht="13.5" customHeight="1" x14ac:dyDescent="0.2">
      <c r="A73" s="34"/>
      <c r="B73" s="3" t="s">
        <v>39</v>
      </c>
      <c r="D73" s="3" t="str">
        <f>IF(ISTEXT(Name_Kontr),Name_Kontr,"")</f>
        <v/>
      </c>
      <c r="F73" s="328" t="str">
        <f>IF(AND(NOT(D66),COUNTIF(F68:F70,"x")&gt;0),"Begründung und Empfehlung des weiteren Vorgehens erforderlich.","")</f>
        <v/>
      </c>
      <c r="G73" s="328"/>
      <c r="H73" s="328"/>
      <c r="I73" s="328"/>
      <c r="J73" s="328"/>
      <c r="K73" s="328"/>
      <c r="L73" s="328"/>
      <c r="M73" s="328"/>
      <c r="N73" s="328"/>
    </row>
    <row r="74" spans="1:14" ht="2.1" customHeight="1" x14ac:dyDescent="0.2">
      <c r="A74" s="34" t="s">
        <v>42</v>
      </c>
      <c r="D74" s="3" t="e">
        <f>IF(#REF!="befreit","-",'EN-Kt.'!#REF!)</f>
        <v>#REF!</v>
      </c>
      <c r="F74" s="328"/>
      <c r="G74" s="328"/>
      <c r="H74" s="328"/>
      <c r="I74" s="328"/>
      <c r="J74" s="328"/>
      <c r="K74" s="328"/>
      <c r="L74" s="328"/>
      <c r="M74" s="328"/>
      <c r="N74" s="328"/>
    </row>
    <row r="75" spans="1:14" x14ac:dyDescent="0.2">
      <c r="A75" s="34" t="s">
        <v>43</v>
      </c>
      <c r="B75" s="3" t="s">
        <v>40</v>
      </c>
      <c r="D75" s="47">
        <f ca="1">Datum</f>
        <v>45866</v>
      </c>
      <c r="F75" s="328"/>
      <c r="G75" s="328"/>
      <c r="H75" s="328"/>
      <c r="I75" s="328"/>
      <c r="J75" s="328"/>
      <c r="K75" s="328"/>
      <c r="L75" s="328"/>
      <c r="M75" s="328"/>
      <c r="N75" s="328"/>
    </row>
    <row r="117" spans="1:2" x14ac:dyDescent="0.2">
      <c r="A117" s="34" t="s">
        <v>42</v>
      </c>
      <c r="B117" s="34"/>
    </row>
    <row r="118" spans="1:2" x14ac:dyDescent="0.2">
      <c r="A118" s="34" t="s">
        <v>43</v>
      </c>
      <c r="B118" s="34"/>
    </row>
  </sheetData>
  <sheetProtection algorithmName="SHA-512" hashValue="ipYZKYOciroLgVIg9uqTq7PpVXV5c1kJpfBMxjnX7taqQuGEs7W7rH+xFxLdo00IXo0hNPqiO752bI2MxEL7qw==" saltValue="RMBG5HFhDffDRPQkekZNLQ==" spinCount="100000" sheet="1" formatRows="0"/>
  <mergeCells count="9">
    <mergeCell ref="D5:M5"/>
    <mergeCell ref="D7:M7"/>
    <mergeCell ref="D11:M11"/>
    <mergeCell ref="B64:N64"/>
    <mergeCell ref="F73:N75"/>
    <mergeCell ref="B51:D54"/>
    <mergeCell ref="B57:D57"/>
    <mergeCell ref="B59:D59"/>
    <mergeCell ref="B60:D60"/>
  </mergeCells>
  <conditionalFormatting sqref="A47:O60">
    <cfRule type="expression" dxfId="119" priority="2">
      <formula>$J$43="x"</formula>
    </cfRule>
  </conditionalFormatting>
  <conditionalFormatting sqref="D68">
    <cfRule type="beginsWith" dxfId="118" priority="18" operator="beginsWith" text="erfüllt">
      <formula>LEFT(D68,LEN("erfüllt"))="erfüllt"</formula>
    </cfRule>
    <cfRule type="containsText" dxfId="117" priority="19" operator="containsText" text="nicht erfüllt">
      <formula>NOT(ISERROR(SEARCH("nicht erfüllt",D68)))</formula>
    </cfRule>
  </conditionalFormatting>
  <conditionalFormatting sqref="D70:D71 D68">
    <cfRule type="containsText" dxfId="116" priority="22" operator="containsText" text="nicht">
      <formula>NOT(ISERROR(SEARCH("nicht",#REF!)))</formula>
    </cfRule>
  </conditionalFormatting>
  <conditionalFormatting sqref="D70:D71">
    <cfRule type="beginsWith" dxfId="115" priority="20" operator="beginsWith" text="erfüllt">
      <formula>LEFT(D70,LEN("erfüllt"))="erfüllt"</formula>
    </cfRule>
    <cfRule type="containsText" dxfId="114" priority="21" operator="containsText" text="nicht erfüllt">
      <formula>NOT(ISERROR(SEARCH("nicht erfüllt",D70)))</formula>
    </cfRule>
  </conditionalFormatting>
  <conditionalFormatting sqref="H17:H29 F33">
    <cfRule type="cellIs" dxfId="113" priority="13" operator="equal">
      <formula>"x"</formula>
    </cfRule>
  </conditionalFormatting>
  <conditionalFormatting sqref="H31">
    <cfRule type="cellIs" dxfId="112" priority="17" operator="equal">
      <formula>"x"</formula>
    </cfRule>
  </conditionalFormatting>
  <conditionalFormatting sqref="H33:H35">
    <cfRule type="cellIs" dxfId="111" priority="3" operator="equal">
      <formula>"x"</formula>
    </cfRule>
  </conditionalFormatting>
  <conditionalFormatting sqref="H37:H45">
    <cfRule type="cellIs" dxfId="110" priority="6" operator="equal">
      <formula>"x"</formula>
    </cfRule>
  </conditionalFormatting>
  <conditionalFormatting sqref="H47:H61">
    <cfRule type="cellIs" dxfId="109" priority="5" operator="equal">
      <formula>"x"</formula>
    </cfRule>
  </conditionalFormatting>
  <dataValidations count="5">
    <dataValidation type="list" allowBlank="1" showInputMessage="1" showErrorMessage="1" sqref="F70" xr:uid="{EA683A78-B466-4AD5-9D68-92B68C0E95F4}">
      <formula1>$A$117:$A$118</formula1>
    </dataValidation>
    <dataValidation type="list" allowBlank="1" showInputMessage="1" showErrorMessage="1" sqref="H29 H45 H43 H41 H39 H25 H21 H23 H19" xr:uid="{6DB86782-ACF4-49D1-ACEB-D4F37FA9CF6B}">
      <formula1>$A$193:$A$194</formula1>
    </dataValidation>
    <dataValidation type="list" allowBlank="1" showInputMessage="1" showErrorMessage="1" sqref="H27 H35 H31" xr:uid="{D96BB754-2E86-4412-A122-4FA20BD5CFB0}">
      <formula1>$A$187:$A$188</formula1>
    </dataValidation>
    <dataValidation type="list" allowBlank="1" showInputMessage="1" showErrorMessage="1" sqref="J47" xr:uid="{E7DF95D2-260B-4B69-9B35-68EC033A4DC1}">
      <formula1>$A$103:$A$104</formula1>
    </dataValidation>
    <dataValidation type="whole" allowBlank="1" showInputMessage="1" showErrorMessage="1" sqref="D56" xr:uid="{C83ED21C-47F3-4D71-8B59-13E778DB0394}">
      <formula1>0</formula1>
      <formula2>1000000</formula2>
    </dataValidation>
  </dataValidations>
  <hyperlinks>
    <hyperlink ref="N1" r:id="rId1" xr:uid="{C1D223D7-60B5-435C-B1DB-D5549003EAD5}"/>
    <hyperlink ref="N2" location="'EN-Kt.'!A1" display="Zurück zm EN-Kt. " xr:uid="{F4281D97-FBA6-4629-A00D-46DE1F8F6CBF}"/>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8B0BFD22-CE74-4FD4-A7F8-A7122EDA72F9}">
          <x14:formula1>
            <xm:f>'EN-Kt.'!$C$304:$C$307</xm:f>
          </x14:formula1>
          <xm:sqref>D9</xm:sqref>
        </x14:dataValidation>
        <x14:dataValidation type="list" allowBlank="1" showInputMessage="1" showErrorMessage="1" xr:uid="{6839DBB4-848F-49C3-8281-E0976F1F61CC}">
          <x14:formula1>
            <xm:f>'EN-Kt.'!$A$207:$A$208</xm:f>
          </x14:formula1>
          <xm:sqref>F68 J45 J43 J41 J31 J39 J35 J25 J23 J21 J29 J27 F19 J19 F43 F41 F39 F35 F31 F29 F27 F25 F45 F23 F21 F49 F17 J15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theme="0"/>
  </sheetPr>
  <dimension ref="A1:U358"/>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25" style="3" customWidth="1"/>
    <col min="15" max="16384" width="10.875" style="3"/>
  </cols>
  <sheetData>
    <row r="1" spans="1:16" s="22" customFormat="1" ht="18" x14ac:dyDescent="0.25">
      <c r="A1" s="6" t="s">
        <v>264</v>
      </c>
      <c r="B1" s="6"/>
      <c r="N1" s="186" t="s">
        <v>503</v>
      </c>
      <c r="P1" s="23"/>
    </row>
    <row r="2" spans="1:16" s="22" customFormat="1" ht="18" x14ac:dyDescent="0.25">
      <c r="A2" s="6" t="s">
        <v>285</v>
      </c>
      <c r="B2" s="6"/>
      <c r="N2" s="186"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736</v>
      </c>
      <c r="F15" s="30" t="s">
        <v>43</v>
      </c>
      <c r="H15" s="12" t="str">
        <f>IF(J15="x","-",IF(F15="x","-","x"))</f>
        <v>x</v>
      </c>
      <c r="J15" s="7"/>
      <c r="L15" s="7"/>
      <c r="N15" s="25"/>
    </row>
    <row r="16" spans="1:16" ht="2.1" customHeight="1" x14ac:dyDescent="0.2">
      <c r="A16" s="2"/>
      <c r="B16" s="2"/>
      <c r="F16" s="7"/>
      <c r="G16" s="7"/>
      <c r="H16" s="7"/>
      <c r="I16" s="7"/>
      <c r="J16" s="8"/>
      <c r="L16" s="8"/>
    </row>
    <row r="17" spans="2:19" x14ac:dyDescent="0.2">
      <c r="B17" s="26" t="s">
        <v>889</v>
      </c>
      <c r="F17" s="30" t="s">
        <v>43</v>
      </c>
      <c r="H17" s="12" t="str">
        <f>IF(J17="x","-",IF(F17="x","-","x"))</f>
        <v>x</v>
      </c>
      <c r="J17" s="27"/>
      <c r="L17" s="7"/>
      <c r="N17" s="25"/>
    </row>
    <row r="18" spans="2:19" ht="2.1" customHeight="1" x14ac:dyDescent="0.2">
      <c r="F18" s="7"/>
      <c r="H18" s="7"/>
      <c r="J18" s="7"/>
      <c r="L18" s="7"/>
    </row>
    <row r="19" spans="2:19" ht="30.6" customHeight="1" x14ac:dyDescent="0.2">
      <c r="B19" s="413" t="s">
        <v>718</v>
      </c>
      <c r="C19" s="413"/>
      <c r="D19" s="413"/>
      <c r="E19" s="413"/>
      <c r="F19" s="413"/>
      <c r="G19" s="413"/>
      <c r="H19" s="413"/>
      <c r="I19" s="413"/>
      <c r="J19" s="413"/>
      <c r="K19" s="413"/>
      <c r="L19" s="413"/>
      <c r="M19" s="413"/>
      <c r="N19" s="413"/>
    </row>
    <row r="20" spans="2:19" ht="2.1" customHeight="1" x14ac:dyDescent="0.2">
      <c r="F20" s="7"/>
      <c r="H20" s="7"/>
      <c r="J20" s="7"/>
      <c r="L20" s="7"/>
    </row>
    <row r="21" spans="2:19" x14ac:dyDescent="0.2">
      <c r="B21" s="38" t="s">
        <v>738</v>
      </c>
      <c r="F21" s="30" t="s">
        <v>43</v>
      </c>
      <c r="H21" s="12" t="str">
        <f>IF(J21="x","-",IF(F21="x","-","x"))</f>
        <v>-</v>
      </c>
      <c r="J21" s="12" t="str">
        <f>IF(NOT(OR(D51="bitte wählen",D51="Nein")),"-","x")</f>
        <v>x</v>
      </c>
      <c r="L21" s="7"/>
      <c r="M21" s="222" t="str">
        <f>IF(AND(D51="Ja",F21="-"),"Prinzipschema ist beizulegen","")</f>
        <v/>
      </c>
      <c r="N21" s="25"/>
      <c r="S21" s="3" t="str">
        <f>IF(OR(AND(C54="-", Q21=C314),OR(Q17="III – Verwaltung",Q19="III – Verwaltung")),"nicht zulässig", IF(AND(OR(E17="x",E19="x",E21="x"),Q21=""),"Angabe fehlt",""  ))</f>
        <v/>
      </c>
    </row>
    <row r="22" spans="2:19" ht="2.1" customHeight="1" x14ac:dyDescent="0.2">
      <c r="F22" s="7"/>
      <c r="H22" s="7"/>
      <c r="J22" s="7"/>
      <c r="L22" s="7"/>
      <c r="M22" s="222"/>
    </row>
    <row r="23" spans="2:19" x14ac:dyDescent="0.2">
      <c r="B23" s="26" t="s">
        <v>595</v>
      </c>
      <c r="F23" s="30" t="s">
        <v>43</v>
      </c>
      <c r="H23" s="12" t="str">
        <f>IF(J23="x","-",IF(F23="x","-","x"))</f>
        <v>-</v>
      </c>
      <c r="J23" s="12" t="str">
        <f>IF(D70="Ja","-","x")</f>
        <v>x</v>
      </c>
      <c r="L23" s="7"/>
      <c r="M23" s="222" t="str">
        <f>IF(AND(D70="Ja",F23="-"),"EN-110 ist beizulegen","")</f>
        <v/>
      </c>
      <c r="N23" s="25"/>
    </row>
    <row r="24" spans="2:19" ht="1.5" customHeight="1" x14ac:dyDescent="0.2">
      <c r="B24" s="26"/>
      <c r="F24" s="27"/>
      <c r="H24" s="14"/>
      <c r="J24" s="14"/>
      <c r="L24" s="7"/>
      <c r="M24" s="222"/>
      <c r="N24" s="26"/>
    </row>
    <row r="25" spans="2:19" ht="13.5" customHeight="1" x14ac:dyDescent="0.2">
      <c r="B25" s="26" t="s">
        <v>737</v>
      </c>
      <c r="F25" s="30" t="s">
        <v>43</v>
      </c>
      <c r="H25" s="12" t="str">
        <f>IF(J25="x","-",IF(F25="x","-","x"))</f>
        <v>-</v>
      </c>
      <c r="J25" s="12" t="str">
        <f>IF(D81="Anlage ist WRG-Pflichtig.","-","x")</f>
        <v>x</v>
      </c>
      <c r="L25" s="7"/>
      <c r="M25" s="222" t="str">
        <f>IF(AND(D81="Anlage ist WRG-Pflichtig.",F25="-"),"Datenblatt Lüftungsanlge inkl. WRG beilegen","")</f>
        <v/>
      </c>
      <c r="N25" s="25"/>
    </row>
    <row r="26" spans="2:19" ht="1.5" customHeight="1" x14ac:dyDescent="0.2">
      <c r="B26" s="26"/>
      <c r="F26" s="27"/>
      <c r="H26" s="14"/>
      <c r="J26" s="14"/>
      <c r="L26" s="7"/>
      <c r="M26" s="222"/>
      <c r="N26" s="26"/>
    </row>
    <row r="27" spans="2:19" x14ac:dyDescent="0.2">
      <c r="B27" s="26" t="s">
        <v>628</v>
      </c>
      <c r="F27" s="30" t="s">
        <v>43</v>
      </c>
      <c r="H27" s="12" t="str">
        <f>IF(J27="x","-",IF(F27="x","-","x"))</f>
        <v>-</v>
      </c>
      <c r="J27" s="12" t="str">
        <f>IF(C126=A296,"-","x")</f>
        <v>x</v>
      </c>
      <c r="L27" s="7"/>
      <c r="M27" s="222" t="str">
        <f>IF(AND(C126=A296,F27="-"),"Energieverbrauchsrechnung ist beizulegen","")</f>
        <v/>
      </c>
      <c r="N27" s="25"/>
    </row>
    <row r="28" spans="2:19" ht="1.5" customHeight="1" x14ac:dyDescent="0.2">
      <c r="B28" s="26"/>
      <c r="F28" s="27"/>
      <c r="H28" s="14"/>
      <c r="J28" s="14"/>
      <c r="L28" s="7"/>
      <c r="M28" s="222"/>
      <c r="N28" s="26"/>
    </row>
    <row r="29" spans="2:19" x14ac:dyDescent="0.2">
      <c r="B29" s="26" t="s">
        <v>717</v>
      </c>
      <c r="F29" s="30" t="s">
        <v>43</v>
      </c>
      <c r="H29" s="12" t="str">
        <f>IF(J29="x","-",IF(F29="x","-","x"))</f>
        <v>-</v>
      </c>
      <c r="J29" s="12" t="str">
        <f>IF(D70="Ja","-","x")</f>
        <v>x</v>
      </c>
      <c r="L29" s="7"/>
      <c r="M29" s="222"/>
      <c r="N29" s="25"/>
    </row>
    <row r="30" spans="2:19" ht="1.5" customHeight="1" x14ac:dyDescent="0.2">
      <c r="B30" s="26"/>
      <c r="F30" s="75"/>
      <c r="H30" s="76"/>
      <c r="J30" s="76"/>
      <c r="L30" s="7"/>
      <c r="M30" s="222"/>
      <c r="N30" s="26"/>
    </row>
    <row r="31" spans="2:19" x14ac:dyDescent="0.2">
      <c r="B31" s="26" t="s">
        <v>671</v>
      </c>
      <c r="F31" s="30" t="s">
        <v>43</v>
      </c>
      <c r="H31" s="12" t="str">
        <f>IF(J31="x","-",IF(F31="x","-","x"))</f>
        <v>-</v>
      </c>
      <c r="J31" s="12" t="str">
        <f>IF(D196="rechnerischer Nachweis des g-Wertes","-","x")</f>
        <v>x</v>
      </c>
      <c r="L31" s="7"/>
      <c r="M31" s="222" t="str">
        <f>IF(D196=A314,"Zwingend erforderlich","")</f>
        <v/>
      </c>
      <c r="N31" s="25"/>
    </row>
    <row r="32" spans="2:19" x14ac:dyDescent="0.2">
      <c r="B32" s="26"/>
      <c r="F32" s="27"/>
      <c r="H32" s="14"/>
      <c r="J32" s="27"/>
      <c r="L32" s="7"/>
      <c r="M32" s="222"/>
      <c r="N32" s="26"/>
    </row>
    <row r="33" spans="1:19" x14ac:dyDescent="0.2">
      <c r="B33" s="3" t="s">
        <v>450</v>
      </c>
      <c r="F33" s="30" t="s">
        <v>43</v>
      </c>
      <c r="M33" s="222"/>
      <c r="N33" s="25"/>
      <c r="S33" s="3" t="str">
        <f>IF(OR(AND(C54="-", Q33=C317),OR(Q14="III – Verwaltung",Q18="III – Verwaltung")),"nicht zulässig", IF(AND(OR(E14="x",E18="x",E20="x"),Q33=""),"Angabe fehlt",""  ))</f>
        <v/>
      </c>
    </row>
    <row r="34" spans="1:19" ht="2.1" customHeight="1" x14ac:dyDescent="0.2"/>
    <row r="36" spans="1:19" ht="69.599999999999994" customHeight="1" x14ac:dyDescent="0.2">
      <c r="A36" s="187"/>
      <c r="B36" s="421" t="s">
        <v>732</v>
      </c>
      <c r="C36" s="421"/>
      <c r="D36" s="421"/>
      <c r="E36" s="421"/>
      <c r="F36" s="421"/>
      <c r="G36" s="421"/>
      <c r="H36" s="421"/>
      <c r="I36" s="421"/>
      <c r="J36" s="421"/>
      <c r="K36" s="421"/>
      <c r="L36" s="421"/>
      <c r="M36" s="421"/>
      <c r="N36" s="421"/>
    </row>
    <row r="37" spans="1:19" ht="1.5" customHeight="1" x14ac:dyDescent="0.2">
      <c r="A37" s="187"/>
      <c r="B37" s="188"/>
      <c r="C37" s="188"/>
      <c r="D37" s="188"/>
      <c r="E37" s="188"/>
      <c r="F37" s="188"/>
      <c r="G37" s="188"/>
      <c r="H37" s="188"/>
      <c r="I37" s="188"/>
      <c r="J37" s="188"/>
      <c r="K37" s="188"/>
      <c r="L37" s="188"/>
      <c r="M37" s="188"/>
      <c r="N37" s="188"/>
    </row>
    <row r="38" spans="1:19" ht="1.5" customHeight="1" x14ac:dyDescent="0.2">
      <c r="A38" s="188"/>
      <c r="B38" s="188"/>
      <c r="C38" s="188"/>
      <c r="D38" s="188"/>
      <c r="E38" s="188"/>
      <c r="F38" s="188"/>
      <c r="G38" s="188"/>
      <c r="H38" s="188"/>
      <c r="I38" s="188"/>
      <c r="J38" s="188"/>
      <c r="K38" s="188"/>
      <c r="L38" s="188"/>
      <c r="M38" s="188"/>
      <c r="N38" s="188"/>
    </row>
    <row r="39" spans="1:19" ht="13.5" customHeight="1" x14ac:dyDescent="0.2">
      <c r="A39" s="188"/>
      <c r="B39" s="188"/>
      <c r="C39" s="188"/>
      <c r="D39" s="188"/>
      <c r="E39" s="188"/>
      <c r="F39" s="188"/>
      <c r="G39" s="188"/>
      <c r="H39" s="188"/>
      <c r="I39" s="188"/>
      <c r="J39" s="188"/>
      <c r="K39" s="188"/>
      <c r="L39" s="188"/>
      <c r="M39" s="188"/>
      <c r="N39" s="188"/>
    </row>
    <row r="40" spans="1:19" ht="1.5" customHeight="1" thickBot="1" x14ac:dyDescent="0.25">
      <c r="A40" s="188"/>
      <c r="B40" s="188"/>
      <c r="C40" s="188"/>
      <c r="D40" s="188"/>
      <c r="E40" s="188"/>
      <c r="F40" s="188"/>
      <c r="G40" s="188"/>
      <c r="H40" s="188"/>
      <c r="I40" s="188"/>
      <c r="J40" s="188"/>
      <c r="K40" s="188"/>
      <c r="L40" s="188"/>
      <c r="M40" s="188"/>
      <c r="N40" s="188"/>
    </row>
    <row r="41" spans="1:19" ht="13.5" customHeight="1" thickBot="1" x14ac:dyDescent="0.25">
      <c r="A41" s="2" t="s">
        <v>594</v>
      </c>
      <c r="B41" s="2"/>
      <c r="F41" s="258" t="s">
        <v>43</v>
      </c>
    </row>
    <row r="42" spans="1:19" ht="2.1" customHeight="1" x14ac:dyDescent="0.2">
      <c r="A42" s="2"/>
      <c r="B42" s="2"/>
    </row>
    <row r="43" spans="1:19" x14ac:dyDescent="0.2">
      <c r="B43" s="26" t="s">
        <v>683</v>
      </c>
      <c r="C43" s="26"/>
      <c r="D43" s="26"/>
      <c r="E43" s="149"/>
      <c r="F43" s="30" t="str">
        <f>IF($F$41="x","x","-")</f>
        <v>-</v>
      </c>
      <c r="H43" s="12" t="str">
        <f>IF(J43="x","-",IF(F43="x","-","x"))</f>
        <v>x</v>
      </c>
      <c r="I43" s="149"/>
      <c r="J43" s="149"/>
      <c r="K43" s="149"/>
      <c r="L43" s="149"/>
      <c r="M43" s="151"/>
      <c r="N43" s="25"/>
    </row>
    <row r="44" spans="1:19" ht="2.1" customHeight="1" x14ac:dyDescent="0.2">
      <c r="A44" s="2"/>
      <c r="B44" s="150"/>
      <c r="C44" s="26"/>
      <c r="D44" s="26"/>
      <c r="E44" s="26"/>
      <c r="F44" s="26"/>
      <c r="G44" s="26"/>
      <c r="H44" s="26"/>
      <c r="I44" s="26"/>
      <c r="J44" s="26"/>
      <c r="K44" s="26"/>
      <c r="L44" s="26"/>
      <c r="M44" s="26"/>
      <c r="N44" s="26"/>
    </row>
    <row r="45" spans="1:19" x14ac:dyDescent="0.2">
      <c r="B45" s="26" t="s">
        <v>689</v>
      </c>
      <c r="C45" s="26"/>
      <c r="D45" s="26"/>
      <c r="E45" s="149"/>
      <c r="F45" s="27"/>
      <c r="H45" s="14"/>
      <c r="I45" s="149"/>
      <c r="J45" s="149"/>
      <c r="K45" s="149"/>
      <c r="L45" s="149"/>
      <c r="M45" s="149"/>
      <c r="N45" s="149"/>
    </row>
    <row r="46" spans="1:19" ht="2.1" customHeight="1" x14ac:dyDescent="0.2">
      <c r="A46" s="2"/>
      <c r="B46" s="150"/>
      <c r="C46" s="26"/>
      <c r="D46" s="26"/>
      <c r="E46" s="26"/>
      <c r="F46" s="26"/>
      <c r="G46" s="26"/>
      <c r="H46" s="26"/>
      <c r="I46" s="26"/>
      <c r="J46" s="26"/>
      <c r="K46" s="26"/>
      <c r="L46" s="26"/>
      <c r="M46" s="26"/>
      <c r="N46" s="26"/>
    </row>
    <row r="47" spans="1:19" x14ac:dyDescent="0.2">
      <c r="B47" s="149"/>
      <c r="C47" s="381" t="s">
        <v>596</v>
      </c>
      <c r="D47" s="381"/>
      <c r="E47" s="149"/>
      <c r="F47" s="30" t="str">
        <f>IF($F$41="x","x","-")</f>
        <v>-</v>
      </c>
      <c r="H47" s="12" t="str">
        <f>IF(J47="x","-",IF(F47="x","-","x"))</f>
        <v>x</v>
      </c>
      <c r="I47" s="149"/>
      <c r="J47" s="149"/>
      <c r="K47" s="149"/>
      <c r="L47" s="149"/>
      <c r="M47" s="149"/>
      <c r="N47" s="25"/>
    </row>
    <row r="48" spans="1:19" ht="2.4500000000000002" customHeight="1" x14ac:dyDescent="0.2">
      <c r="B48" s="149"/>
      <c r="C48" s="149"/>
      <c r="D48" s="149"/>
      <c r="E48" s="149"/>
      <c r="F48" s="149"/>
      <c r="G48" s="149"/>
      <c r="H48" s="149"/>
      <c r="I48" s="149"/>
      <c r="J48" s="149"/>
      <c r="K48" s="149"/>
      <c r="L48" s="149"/>
      <c r="M48" s="149"/>
      <c r="N48" s="26"/>
    </row>
    <row r="49" spans="1:14" ht="15.75" x14ac:dyDescent="0.2">
      <c r="B49" s="171" t="s">
        <v>502</v>
      </c>
      <c r="C49" s="163" t="s">
        <v>687</v>
      </c>
      <c r="D49" s="163"/>
      <c r="E49" s="163"/>
      <c r="F49" s="163"/>
      <c r="G49" s="163"/>
      <c r="H49" s="163"/>
      <c r="I49" s="163"/>
      <c r="J49" s="163"/>
      <c r="K49" s="163"/>
      <c r="L49" s="163"/>
      <c r="M49" s="149"/>
      <c r="N49" s="26"/>
    </row>
    <row r="50" spans="1:14" ht="2.1" customHeight="1" x14ac:dyDescent="0.2">
      <c r="A50" s="2"/>
      <c r="B50" s="150"/>
      <c r="C50" s="26"/>
      <c r="D50" s="26"/>
      <c r="E50" s="26"/>
      <c r="F50" s="26"/>
      <c r="G50" s="26"/>
      <c r="H50" s="26"/>
      <c r="I50" s="26"/>
      <c r="J50" s="26"/>
      <c r="K50" s="26"/>
      <c r="L50" s="26"/>
      <c r="M50" s="26"/>
      <c r="N50" s="26"/>
    </row>
    <row r="51" spans="1:14" x14ac:dyDescent="0.2">
      <c r="B51" s="149" t="s">
        <v>684</v>
      </c>
      <c r="C51" s="149"/>
      <c r="D51" s="167" t="s">
        <v>607</v>
      </c>
      <c r="E51" s="149"/>
      <c r="F51" s="30" t="str">
        <f>IF($F$41="x","x","-")</f>
        <v>-</v>
      </c>
      <c r="H51" s="12" t="str">
        <f>IF(J51="x","-",IF(F51="x","-","x"))</f>
        <v>x</v>
      </c>
      <c r="I51" s="149"/>
      <c r="J51" s="149"/>
      <c r="K51" s="149"/>
      <c r="L51" s="149"/>
      <c r="M51" s="158" t="b" cm="1">
        <f t="array" ref="M51">IF(AND(D51="bitte wählen",OR(C47=A243:A246)),"Umluft für einfache Zu- und Abluftanlagen nicht möglich")</f>
        <v>0</v>
      </c>
      <c r="N51" s="164"/>
    </row>
    <row r="52" spans="1:14" ht="2.4500000000000002" customHeight="1" x14ac:dyDescent="0.2">
      <c r="B52" s="149"/>
      <c r="C52" s="419"/>
      <c r="D52" s="419"/>
      <c r="E52" s="419"/>
      <c r="F52" s="419"/>
      <c r="G52" s="419"/>
      <c r="H52" s="419"/>
      <c r="I52" s="419"/>
      <c r="J52" s="149"/>
      <c r="K52" s="149"/>
      <c r="L52" s="149"/>
      <c r="M52" s="149"/>
      <c r="N52" s="26"/>
    </row>
    <row r="53" spans="1:14" ht="15.75" x14ac:dyDescent="0.2">
      <c r="B53" s="171" t="s">
        <v>502</v>
      </c>
      <c r="C53" s="163" t="s">
        <v>686</v>
      </c>
      <c r="D53" s="163"/>
      <c r="E53" s="163"/>
      <c r="F53" s="163"/>
      <c r="G53" s="163"/>
      <c r="H53" s="163"/>
      <c r="I53" s="163"/>
      <c r="J53" s="163"/>
      <c r="K53" s="163"/>
      <c r="L53" s="163"/>
      <c r="M53" s="161" t="str">
        <f>IF(AND(D51="Ja",F21="-"),"Prinzipschema ist beizulegen.","")</f>
        <v/>
      </c>
      <c r="N53" s="26"/>
    </row>
    <row r="54" spans="1:14" ht="2.1" customHeight="1" x14ac:dyDescent="0.2">
      <c r="A54" s="2"/>
      <c r="B54" s="150"/>
      <c r="C54" s="26"/>
      <c r="D54" s="26"/>
      <c r="E54" s="26"/>
      <c r="F54" s="26"/>
      <c r="G54" s="26"/>
      <c r="H54" s="26"/>
      <c r="I54" s="26"/>
      <c r="J54" s="26"/>
      <c r="K54" s="26"/>
      <c r="L54" s="26"/>
      <c r="M54" s="26"/>
      <c r="N54" s="26"/>
    </row>
    <row r="55" spans="1:14" x14ac:dyDescent="0.2">
      <c r="B55" s="149" t="s">
        <v>610</v>
      </c>
      <c r="D55" s="168">
        <v>0</v>
      </c>
      <c r="E55" s="149"/>
      <c r="F55" s="30" t="str">
        <f>IF($F$41="x","x","-")</f>
        <v>-</v>
      </c>
      <c r="H55" s="12" t="str">
        <f>IF(J55="x","-",IF(F55="x","-","x"))</f>
        <v>x</v>
      </c>
      <c r="I55" s="149"/>
      <c r="J55" s="30" t="s">
        <v>43</v>
      </c>
      <c r="K55" s="149"/>
      <c r="L55" s="149"/>
      <c r="M55" s="158" t="str">
        <f>IF(AND(D55=0,J55="-"),"Volumenstrom muss angeben werden","")</f>
        <v>Volumenstrom muss angeben werden</v>
      </c>
      <c r="N55" s="25"/>
    </row>
    <row r="56" spans="1:14" ht="2.4500000000000002" customHeight="1" x14ac:dyDescent="0.2">
      <c r="B56" s="419"/>
      <c r="C56" s="419"/>
      <c r="D56" s="419"/>
      <c r="E56" s="419"/>
      <c r="F56" s="419"/>
      <c r="G56" s="419"/>
      <c r="H56" s="419"/>
      <c r="I56" s="419"/>
      <c r="J56" s="419"/>
      <c r="K56" s="419"/>
      <c r="L56" s="419"/>
      <c r="M56" s="419"/>
      <c r="N56" s="183"/>
    </row>
    <row r="57" spans="1:14" ht="15.75" x14ac:dyDescent="0.2">
      <c r="B57" s="172" t="s">
        <v>502</v>
      </c>
      <c r="C57" s="265" t="s">
        <v>685</v>
      </c>
      <c r="D57" s="265"/>
      <c r="E57" s="265"/>
      <c r="F57" s="265"/>
      <c r="G57" s="265"/>
      <c r="H57" s="265"/>
      <c r="I57" s="163"/>
      <c r="J57" s="163"/>
      <c r="K57" s="163"/>
      <c r="L57" s="419"/>
      <c r="M57" s="419"/>
      <c r="N57" s="26"/>
    </row>
    <row r="58" spans="1:14" ht="2.1" customHeight="1" x14ac:dyDescent="0.2">
      <c r="A58" s="2"/>
      <c r="B58" s="150"/>
      <c r="C58" s="26"/>
      <c r="D58" s="26"/>
      <c r="E58" s="26"/>
      <c r="F58" s="26"/>
      <c r="G58" s="26"/>
      <c r="H58" s="26"/>
      <c r="I58" s="26"/>
      <c r="J58" s="26"/>
      <c r="K58" s="26"/>
      <c r="L58" s="26"/>
      <c r="M58" s="26"/>
      <c r="N58" s="26"/>
    </row>
    <row r="59" spans="1:14" x14ac:dyDescent="0.2">
      <c r="B59" s="149" t="s">
        <v>611</v>
      </c>
      <c r="C59" s="149"/>
      <c r="D59" s="169">
        <v>0</v>
      </c>
      <c r="E59" s="149"/>
      <c r="F59" s="30" t="str">
        <f>IF($F$41="x","x","-")</f>
        <v>-</v>
      </c>
      <c r="H59" s="12" t="str">
        <f>IF(J59="x","-",IF(F59="x","-","x"))</f>
        <v>x</v>
      </c>
      <c r="I59" s="149"/>
      <c r="J59" s="27"/>
      <c r="K59" s="149"/>
      <c r="L59" s="149"/>
      <c r="M59" s="158" t="str">
        <f>IF(D59=0,"Plausibilität mit Planunterlagen überprüfen")</f>
        <v>Plausibilität mit Planunterlagen überprüfen</v>
      </c>
      <c r="N59" s="25"/>
    </row>
    <row r="60" spans="1:14" ht="2.4500000000000002" customHeight="1" x14ac:dyDescent="0.2">
      <c r="B60" s="149"/>
      <c r="C60" s="149"/>
      <c r="D60" s="152"/>
      <c r="E60" s="149"/>
      <c r="F60" s="27"/>
      <c r="H60" s="14"/>
      <c r="I60" s="149"/>
      <c r="J60" s="27"/>
      <c r="K60" s="149"/>
      <c r="L60" s="149"/>
      <c r="M60" s="158"/>
      <c r="N60" s="26"/>
    </row>
    <row r="61" spans="1:14" ht="15.75" x14ac:dyDescent="0.25">
      <c r="B61" s="170" t="s">
        <v>502</v>
      </c>
      <c r="C61" s="158" t="s">
        <v>640</v>
      </c>
      <c r="D61" s="189">
        <f>EBF_NeuVol+EBF_NeuOVol</f>
        <v>0</v>
      </c>
      <c r="E61" s="149"/>
      <c r="K61" s="149"/>
      <c r="L61" s="149"/>
      <c r="M61" s="149"/>
      <c r="N61" s="26"/>
    </row>
    <row r="62" spans="1:14" ht="1.5" customHeight="1" x14ac:dyDescent="0.2">
      <c r="B62" s="149"/>
      <c r="C62" s="149"/>
      <c r="D62" s="190"/>
      <c r="E62" s="149"/>
      <c r="F62" s="27"/>
      <c r="H62" s="14"/>
      <c r="I62" s="149"/>
      <c r="J62" s="27"/>
      <c r="K62" s="149"/>
      <c r="L62" s="149"/>
      <c r="M62" s="149"/>
      <c r="N62" s="26"/>
    </row>
    <row r="63" spans="1:14" ht="15.75" x14ac:dyDescent="0.25">
      <c r="B63" s="149" t="s">
        <v>625</v>
      </c>
      <c r="C63" s="149"/>
      <c r="D63" s="203" t="str">
        <f>IF(D55=0,"",D55/D59)</f>
        <v/>
      </c>
      <c r="E63" s="120"/>
      <c r="F63" s="30" t="str">
        <f>IF($F$41="x","x","-")</f>
        <v>-</v>
      </c>
      <c r="H63" s="12" t="str">
        <f>IF(J63="x","-",IF(F63="x","-","x"))</f>
        <v>x</v>
      </c>
      <c r="I63" s="149"/>
      <c r="J63" s="30" t="s">
        <v>43</v>
      </c>
      <c r="K63" s="120"/>
      <c r="L63" s="120"/>
      <c r="M63" s="120"/>
      <c r="N63" s="156"/>
    </row>
    <row r="64" spans="1:14" ht="2.1" customHeight="1" x14ac:dyDescent="0.2">
      <c r="A64" s="2"/>
      <c r="B64" s="150"/>
      <c r="C64" s="26"/>
      <c r="D64" s="26"/>
      <c r="E64" s="26"/>
      <c r="F64" s="26"/>
      <c r="G64" s="26"/>
      <c r="H64" s="26"/>
      <c r="I64" s="26"/>
      <c r="J64" s="26"/>
      <c r="K64" s="26"/>
      <c r="L64" s="26"/>
      <c r="M64" s="26"/>
      <c r="N64" s="26"/>
    </row>
    <row r="65" spans="1:14" ht="1.5" customHeight="1" x14ac:dyDescent="0.2">
      <c r="B65" s="149"/>
      <c r="C65" s="149"/>
      <c r="D65" s="149"/>
      <c r="E65" s="149"/>
      <c r="F65" s="149"/>
      <c r="G65" s="149"/>
      <c r="H65" s="149"/>
      <c r="I65" s="149"/>
      <c r="J65" s="149"/>
      <c r="K65" s="149"/>
      <c r="L65" s="149"/>
      <c r="M65" s="149"/>
      <c r="N65" s="149"/>
    </row>
    <row r="66" spans="1:14" ht="13.5" customHeight="1" x14ac:dyDescent="0.2">
      <c r="A66" s="2"/>
      <c r="B66" s="26" t="s">
        <v>612</v>
      </c>
      <c r="C66" s="26"/>
      <c r="D66" s="169" t="s">
        <v>614</v>
      </c>
      <c r="E66" s="26"/>
      <c r="F66" s="30" t="str">
        <f>IF($F$41="x","x","-")</f>
        <v>-</v>
      </c>
      <c r="H66" s="12" t="str">
        <f>IF(J66="x","-",IF(F66="x","-","x"))</f>
        <v>x</v>
      </c>
      <c r="I66" s="26"/>
      <c r="J66" s="26"/>
      <c r="K66" s="26"/>
      <c r="L66" s="26"/>
      <c r="M66" s="26"/>
      <c r="N66" s="25"/>
    </row>
    <row r="67" spans="1:14" ht="2.4500000000000002" customHeight="1" x14ac:dyDescent="0.2">
      <c r="A67" s="2"/>
      <c r="B67" s="26"/>
      <c r="C67" s="158"/>
      <c r="D67" s="158"/>
      <c r="E67" s="158"/>
      <c r="F67" s="158"/>
      <c r="G67" s="158"/>
      <c r="H67" s="158"/>
      <c r="I67" s="158"/>
      <c r="J67" s="158"/>
      <c r="K67" s="26"/>
      <c r="L67" s="26"/>
      <c r="M67" s="26"/>
      <c r="N67" s="26"/>
    </row>
    <row r="68" spans="1:14" ht="13.5" customHeight="1" x14ac:dyDescent="0.25">
      <c r="A68" s="2"/>
      <c r="B68" s="220" t="s">
        <v>502</v>
      </c>
      <c r="C68" s="158" t="s">
        <v>673</v>
      </c>
      <c r="D68" s="165" t="str">
        <f>IF(OR(Anlagetyp=A244,Anlagetyp=A248,Anlagetyp=A249),"Anlagetyp ERFORDERT Lufterwärmung",IF(OR(Anlagetyp=A243,Anlagetyp=A245,Anlagetyp=A246,Anlagetyp=A247),"Anlagetyp erlaubt KEINE Lufterwärmung","Anlagetyp ermöglicht Lufterwärmung"))</f>
        <v>Anlagetyp ermöglicht Lufterwärmung</v>
      </c>
      <c r="E68" s="158"/>
      <c r="F68" s="158"/>
      <c r="G68" s="158"/>
      <c r="H68" s="158"/>
      <c r="I68" s="158"/>
      <c r="J68" s="158"/>
      <c r="K68" s="26"/>
      <c r="L68" s="26"/>
      <c r="M68" s="26"/>
      <c r="N68" s="26"/>
    </row>
    <row r="69" spans="1:14" s="149" customFormat="1" ht="1.5" customHeight="1" x14ac:dyDescent="0.2"/>
    <row r="70" spans="1:14" x14ac:dyDescent="0.2">
      <c r="B70" s="149" t="s">
        <v>613</v>
      </c>
      <c r="C70" s="149"/>
      <c r="D70" s="169" t="s">
        <v>607</v>
      </c>
      <c r="E70" s="149"/>
      <c r="F70" s="30" t="str">
        <f>IF($F$41="x","x","-")</f>
        <v>-</v>
      </c>
      <c r="H70" s="12" t="str">
        <f>IF(J70="x","-",IF(F70="x","-","x"))</f>
        <v>x</v>
      </c>
      <c r="I70" s="149"/>
      <c r="J70" s="149"/>
      <c r="K70" s="149"/>
      <c r="L70" s="149"/>
      <c r="M70" s="221" t="str">
        <f>IF(AND(D70="Ja",F23="-"),"EN-110 ist beizulegen","")</f>
        <v/>
      </c>
      <c r="N70" s="50"/>
    </row>
    <row r="71" spans="1:14" ht="2.1" customHeight="1" x14ac:dyDescent="0.2">
      <c r="A71" s="2"/>
      <c r="B71" s="150"/>
      <c r="C71" s="26"/>
      <c r="D71" s="26"/>
      <c r="E71" s="26"/>
      <c r="F71" s="26"/>
      <c r="G71" s="26"/>
      <c r="H71" s="26"/>
      <c r="I71" s="26"/>
      <c r="J71" s="26"/>
      <c r="K71" s="26"/>
      <c r="L71" s="26"/>
      <c r="M71" s="26"/>
      <c r="N71" s="26"/>
    </row>
    <row r="72" spans="1:14" ht="13.5" customHeight="1" x14ac:dyDescent="0.25">
      <c r="A72" s="191"/>
      <c r="B72" s="220" t="s">
        <v>502</v>
      </c>
      <c r="C72" s="158" t="s">
        <v>673</v>
      </c>
      <c r="D72" s="166" t="str">
        <f>IF(OR(Anlagetyp=A249,Anlagetyp=A251,Anlagetyp=A252),"Anlagetyp ERFORDERT Bef./Kühl.",IF(OR(Anlagetyp=A243,Anlagetyp=A244,Anlagetyp=A245,Anlagetyp=A246,Anlagetyp=A247,Anlagetyp=A248),"Anlagetyp erlaubt KEINE Bef./Kühl.","Anlagetyp ermöglicht Bef./Kühl."))</f>
        <v>Anlagetyp ermöglicht Bef./Kühl.</v>
      </c>
      <c r="E72" s="26"/>
      <c r="F72" s="26"/>
      <c r="G72" s="26"/>
      <c r="H72" s="26"/>
      <c r="I72" s="26"/>
      <c r="J72" s="26"/>
      <c r="K72" s="26"/>
      <c r="L72" s="26"/>
      <c r="M72" s="26"/>
      <c r="N72" s="26"/>
    </row>
    <row r="73" spans="1:14" ht="14.25" thickBot="1" x14ac:dyDescent="0.25">
      <c r="B73" s="149"/>
      <c r="C73" s="149"/>
      <c r="D73" s="149"/>
      <c r="E73" s="149"/>
      <c r="F73" s="149"/>
      <c r="G73" s="149"/>
      <c r="H73" s="149"/>
      <c r="I73" s="149"/>
      <c r="J73" s="149"/>
      <c r="K73" s="149"/>
      <c r="L73" s="149"/>
      <c r="M73" s="149"/>
      <c r="N73" s="149"/>
    </row>
    <row r="74" spans="1:14" ht="14.25" thickBot="1" x14ac:dyDescent="0.25">
      <c r="A74" s="2" t="s">
        <v>617</v>
      </c>
      <c r="B74" s="149"/>
      <c r="C74" s="149"/>
      <c r="E74" s="149"/>
      <c r="F74" s="258" t="s">
        <v>43</v>
      </c>
      <c r="G74" s="149"/>
      <c r="H74" s="149"/>
      <c r="I74" s="149"/>
      <c r="J74" s="149"/>
      <c r="K74" s="149"/>
      <c r="L74" s="149"/>
      <c r="M74" s="149"/>
      <c r="N74" s="149"/>
    </row>
    <row r="75" spans="1:14" ht="2.4500000000000002" customHeight="1" x14ac:dyDescent="0.2">
      <c r="A75" s="2"/>
      <c r="B75" s="149"/>
      <c r="C75" s="149"/>
      <c r="D75" s="149"/>
      <c r="E75" s="149"/>
      <c r="F75" s="149"/>
      <c r="G75" s="149"/>
      <c r="H75" s="149"/>
      <c r="I75" s="149"/>
      <c r="J75" s="149"/>
      <c r="K75" s="149"/>
      <c r="L75" s="149"/>
      <c r="M75" s="149"/>
      <c r="N75" s="149"/>
    </row>
    <row r="76" spans="1:14" x14ac:dyDescent="0.2">
      <c r="A76" s="192">
        <v>1</v>
      </c>
      <c r="B76" s="149" t="s">
        <v>690</v>
      </c>
      <c r="C76" s="149"/>
      <c r="D76" s="149"/>
      <c r="E76" s="149"/>
      <c r="F76" s="149"/>
      <c r="G76" s="149"/>
      <c r="H76" s="149"/>
      <c r="I76" s="149"/>
      <c r="J76" s="149"/>
      <c r="K76" s="149"/>
      <c r="L76" s="149"/>
      <c r="M76" s="149"/>
      <c r="N76" s="155"/>
    </row>
    <row r="77" spans="1:14" ht="2.4500000000000002" customHeight="1" x14ac:dyDescent="0.2">
      <c r="A77" s="192"/>
      <c r="B77" s="149"/>
      <c r="C77" s="149"/>
      <c r="D77" s="149"/>
      <c r="E77" s="149"/>
      <c r="F77" s="149"/>
      <c r="G77" s="149"/>
      <c r="H77" s="149"/>
      <c r="I77" s="149"/>
      <c r="J77" s="149"/>
      <c r="K77" s="149"/>
      <c r="L77" s="149"/>
      <c r="M77" s="149"/>
      <c r="N77" s="154"/>
    </row>
    <row r="78" spans="1:14" x14ac:dyDescent="0.2">
      <c r="A78" s="193"/>
      <c r="B78" s="149"/>
      <c r="C78" s="368" t="s">
        <v>691</v>
      </c>
      <c r="D78" s="368"/>
      <c r="E78" s="149"/>
      <c r="F78" s="30" t="str">
        <f>IF($F$74="x","x","-")</f>
        <v>-</v>
      </c>
      <c r="H78" s="12" t="str">
        <f>IF(J78="x","-",IF(F78="x","-","x"))</f>
        <v>x</v>
      </c>
      <c r="I78" s="149"/>
      <c r="J78" s="102" t="str">
        <f>IF(C78="KEINE DER GENANNTEN FÄLLE","x","-")</f>
        <v>-</v>
      </c>
      <c r="K78" s="149"/>
      <c r="L78" s="149"/>
      <c r="M78" s="149"/>
      <c r="N78" s="155"/>
    </row>
    <row r="79" spans="1:14" ht="15.75" x14ac:dyDescent="0.25">
      <c r="A79" s="193"/>
      <c r="B79" s="170" t="s">
        <v>502</v>
      </c>
      <c r="C79" s="422" t="s">
        <v>692</v>
      </c>
      <c r="D79" s="422"/>
      <c r="E79" s="422"/>
      <c r="F79" s="422"/>
      <c r="G79" s="422"/>
      <c r="H79" s="422"/>
      <c r="I79" s="422"/>
      <c r="J79" s="422"/>
      <c r="K79" s="149"/>
      <c r="L79" s="149"/>
      <c r="M79" s="149"/>
      <c r="N79" s="155"/>
    </row>
    <row r="80" spans="1:14" ht="2.4500000000000002" customHeight="1" x14ac:dyDescent="0.25">
      <c r="A80" s="193"/>
      <c r="B80" s="170"/>
      <c r="C80" s="184"/>
      <c r="D80" s="184"/>
      <c r="E80" s="184"/>
      <c r="F80" s="184"/>
      <c r="G80" s="184"/>
      <c r="H80" s="184"/>
      <c r="I80" s="184"/>
      <c r="J80" s="184"/>
      <c r="K80" s="149"/>
      <c r="L80" s="149"/>
      <c r="M80" s="149"/>
      <c r="N80" s="149"/>
    </row>
    <row r="81" spans="1:14" x14ac:dyDescent="0.2">
      <c r="A81" s="193"/>
      <c r="C81" s="149" t="s">
        <v>700</v>
      </c>
      <c r="D81" s="194" t="str">
        <f>IF(OR(C78="KEINE DER GENANNTEN FÄLLE",C78=""),"Anlage ist WRG-Pflichtig.",IF(C78="Bitte auswählen","","Anlage erfordert keine WRG."))</f>
        <v/>
      </c>
      <c r="E81" s="184"/>
      <c r="F81" s="184"/>
      <c r="G81" s="184"/>
      <c r="H81" s="184"/>
      <c r="I81" s="184"/>
      <c r="J81" s="184"/>
      <c r="K81" s="149"/>
      <c r="L81" s="149"/>
      <c r="M81" s="149"/>
      <c r="N81" s="155"/>
    </row>
    <row r="82" spans="1:14" ht="2.4500000000000002" customHeight="1" x14ac:dyDescent="0.2">
      <c r="A82" s="2"/>
      <c r="B82" s="26"/>
      <c r="C82" s="26"/>
      <c r="E82" s="184"/>
      <c r="F82" s="184"/>
      <c r="G82" s="184"/>
      <c r="H82" s="184"/>
      <c r="I82" s="184"/>
      <c r="J82" s="184"/>
      <c r="K82" s="149"/>
      <c r="L82" s="149"/>
      <c r="M82" s="149"/>
      <c r="N82" s="149"/>
    </row>
    <row r="83" spans="1:14" ht="2.4500000000000002" customHeight="1" x14ac:dyDescent="0.2">
      <c r="A83" s="193"/>
      <c r="B83" s="26"/>
      <c r="C83" s="26"/>
      <c r="E83" s="184"/>
      <c r="F83" s="184"/>
      <c r="G83" s="184"/>
      <c r="H83" s="184"/>
      <c r="I83" s="184"/>
      <c r="J83" s="184"/>
      <c r="K83" s="149"/>
      <c r="L83" s="149"/>
      <c r="M83" s="149"/>
      <c r="N83" s="149"/>
    </row>
    <row r="84" spans="1:14" ht="2.4500000000000002" customHeight="1" x14ac:dyDescent="0.2">
      <c r="A84" s="2"/>
      <c r="B84" s="149"/>
      <c r="C84" s="149"/>
      <c r="D84" s="149"/>
      <c r="E84" s="149"/>
      <c r="F84" s="149"/>
      <c r="G84" s="149"/>
      <c r="H84" s="149"/>
      <c r="I84" s="149"/>
      <c r="J84" s="149"/>
      <c r="K84" s="149"/>
      <c r="L84" s="149"/>
      <c r="M84" s="149"/>
      <c r="N84" s="149"/>
    </row>
    <row r="85" spans="1:14" ht="13.5" customHeight="1" x14ac:dyDescent="0.2">
      <c r="A85" s="2"/>
      <c r="B85" s="149" t="s">
        <v>693</v>
      </c>
      <c r="C85" s="149"/>
      <c r="D85" s="149"/>
      <c r="E85" s="149"/>
      <c r="F85" s="30" t="str">
        <f>IF($F$74="x","x","-")</f>
        <v>-</v>
      </c>
      <c r="H85" s="12" t="str">
        <f>IF(J85="x","-",IF(F85="x","-","x"))</f>
        <v>x</v>
      </c>
      <c r="I85" s="149"/>
      <c r="J85" s="102" t="str">
        <f>IF(D81="Anlage erfordert keine WRG.","x","-")</f>
        <v>-</v>
      </c>
      <c r="K85" s="149"/>
      <c r="L85" s="149"/>
      <c r="M85" s="221" t="str">
        <f>IF(D81="Anlage ist WRG-Pflichtig.","Datenblatt Lüftunganlge inkl. WRG Wirkungsgrad beilegen","")</f>
        <v/>
      </c>
      <c r="N85" s="155"/>
    </row>
    <row r="86" spans="1:14" ht="2.4500000000000002" customHeight="1" x14ac:dyDescent="0.2">
      <c r="A86" s="2"/>
      <c r="B86" s="149"/>
      <c r="C86" s="149"/>
      <c r="D86" s="149"/>
      <c r="E86" s="149"/>
      <c r="F86" s="149"/>
      <c r="G86" s="149"/>
      <c r="H86" s="149"/>
      <c r="I86" s="149"/>
      <c r="J86" s="149"/>
      <c r="K86" s="149"/>
      <c r="L86" s="149"/>
      <c r="M86" s="149"/>
      <c r="N86" s="149"/>
    </row>
    <row r="87" spans="1:14" x14ac:dyDescent="0.2">
      <c r="A87" s="3">
        <v>1.1000000000000001</v>
      </c>
      <c r="B87" s="149"/>
      <c r="C87" s="420" t="s">
        <v>694</v>
      </c>
      <c r="D87" s="420"/>
      <c r="E87" s="149"/>
      <c r="K87" s="149"/>
      <c r="L87" s="149"/>
      <c r="M87" s="149"/>
      <c r="N87" s="149"/>
    </row>
    <row r="88" spans="1:14" ht="2.1" customHeight="1" x14ac:dyDescent="0.2">
      <c r="A88" s="2"/>
      <c r="B88" s="150"/>
      <c r="C88" s="420"/>
      <c r="D88" s="420"/>
      <c r="E88" s="26"/>
      <c r="F88" s="26"/>
      <c r="G88" s="26"/>
      <c r="H88" s="26"/>
      <c r="I88" s="26"/>
      <c r="J88" s="26"/>
      <c r="K88" s="26"/>
      <c r="L88" s="26"/>
      <c r="M88" s="26"/>
      <c r="N88" s="26"/>
    </row>
    <row r="89" spans="1:14" x14ac:dyDescent="0.2">
      <c r="C89" s="420"/>
      <c r="D89" s="420"/>
      <c r="F89" s="30" t="str">
        <f>IF($F$74="x","x","-")</f>
        <v>-</v>
      </c>
      <c r="H89" s="12" t="str">
        <f>IF(J89="x","-",IF(F89="x","-","x"))</f>
        <v>x</v>
      </c>
      <c r="I89" s="149"/>
      <c r="J89" s="12" t="str">
        <f>IF(D81="Anlage erfordert keine WRG.","x","-")</f>
        <v>-</v>
      </c>
      <c r="N89" s="155"/>
    </row>
    <row r="90" spans="1:14" s="54" customFormat="1" ht="1.5" customHeight="1" x14ac:dyDescent="0.2">
      <c r="A90" s="3"/>
      <c r="B90" s="3"/>
      <c r="C90" s="3"/>
      <c r="D90" s="3"/>
      <c r="E90" s="3"/>
      <c r="F90" s="3"/>
      <c r="G90" s="3"/>
      <c r="H90" s="3"/>
      <c r="I90" s="3"/>
      <c r="J90" s="3"/>
      <c r="K90" s="3"/>
      <c r="L90" s="3"/>
      <c r="M90" s="3"/>
      <c r="N90" s="3"/>
    </row>
    <row r="91" spans="1:14" ht="23.45" customHeight="1" x14ac:dyDescent="0.2"/>
    <row r="92" spans="1:14" ht="2.1" customHeight="1" thickBot="1" x14ac:dyDescent="0.25">
      <c r="A92" s="2"/>
      <c r="B92" s="150"/>
      <c r="C92" s="26"/>
      <c r="D92" s="26"/>
      <c r="E92" s="26"/>
      <c r="F92" s="26"/>
      <c r="G92" s="26"/>
      <c r="H92" s="26"/>
      <c r="I92" s="26"/>
      <c r="J92" s="26"/>
      <c r="K92" s="26"/>
      <c r="L92" s="26"/>
      <c r="M92" s="26"/>
      <c r="N92" s="26"/>
    </row>
    <row r="93" spans="1:14" ht="14.25" thickBot="1" x14ac:dyDescent="0.25">
      <c r="A93" s="2" t="s">
        <v>635</v>
      </c>
      <c r="B93" s="149"/>
      <c r="C93" s="149"/>
      <c r="D93" s="149"/>
      <c r="E93" s="149"/>
      <c r="F93" s="258" t="s">
        <v>43</v>
      </c>
      <c r="G93" s="149"/>
      <c r="H93" s="149"/>
      <c r="I93" s="149"/>
      <c r="J93" s="149"/>
      <c r="K93" s="149"/>
      <c r="L93" s="149"/>
      <c r="M93" s="149"/>
      <c r="N93" s="149"/>
    </row>
    <row r="94" spans="1:14" ht="2.1" customHeight="1" x14ac:dyDescent="0.2">
      <c r="A94" s="2"/>
      <c r="B94" s="150"/>
      <c r="C94" s="26"/>
      <c r="D94" s="26"/>
      <c r="E94" s="26"/>
      <c r="F94" s="26"/>
      <c r="G94" s="26"/>
      <c r="H94" s="26"/>
      <c r="I94" s="26"/>
      <c r="J94" s="26"/>
      <c r="K94" s="26"/>
      <c r="L94" s="26"/>
      <c r="M94" s="26"/>
      <c r="N94" s="26"/>
    </row>
    <row r="95" spans="1:14" ht="2.1" customHeight="1" x14ac:dyDescent="0.2">
      <c r="A95" s="2"/>
      <c r="B95" s="150"/>
      <c r="C95" s="26"/>
      <c r="D95" s="26"/>
      <c r="E95" s="26"/>
      <c r="F95" s="26"/>
      <c r="G95" s="26"/>
      <c r="H95" s="26"/>
      <c r="I95" s="26"/>
      <c r="J95" s="26"/>
      <c r="K95" s="26"/>
      <c r="L95" s="26"/>
      <c r="M95" s="26"/>
      <c r="N95" s="26"/>
    </row>
    <row r="96" spans="1:14" ht="13.5" customHeight="1" x14ac:dyDescent="0.2">
      <c r="A96" s="3">
        <v>2</v>
      </c>
      <c r="B96" s="26" t="s">
        <v>701</v>
      </c>
      <c r="C96" s="26"/>
      <c r="D96" s="26"/>
      <c r="E96" s="26"/>
      <c r="F96" s="30" t="str">
        <f>IF($F$93="x","x","-")</f>
        <v>-</v>
      </c>
      <c r="H96" s="12" t="str">
        <f>IF(J96="x","-",IF(F96="x","-","x"))</f>
        <v>x</v>
      </c>
      <c r="I96" s="149"/>
      <c r="J96" s="30" t="s">
        <v>43</v>
      </c>
      <c r="K96" s="26"/>
      <c r="L96" s="26"/>
      <c r="M96" s="26"/>
      <c r="N96" s="154"/>
    </row>
    <row r="97" spans="1:14" ht="2.1" customHeight="1" x14ac:dyDescent="0.2">
      <c r="A97" s="2"/>
      <c r="B97" s="150"/>
      <c r="C97" s="26"/>
      <c r="D97" s="26"/>
      <c r="E97" s="26"/>
      <c r="F97" s="26"/>
      <c r="G97" s="26"/>
      <c r="H97" s="26"/>
      <c r="I97" s="26"/>
      <c r="J97" s="26"/>
      <c r="K97" s="26"/>
      <c r="L97" s="26"/>
      <c r="M97" s="26"/>
      <c r="N97" s="154"/>
    </row>
    <row r="98" spans="1:14" ht="15.6" customHeight="1" x14ac:dyDescent="0.2">
      <c r="B98" s="149"/>
      <c r="C98" s="416" t="s">
        <v>636</v>
      </c>
      <c r="D98" s="416"/>
      <c r="E98" s="149"/>
      <c r="K98" s="149"/>
      <c r="L98" s="149"/>
      <c r="M98" s="151"/>
      <c r="N98" s="155"/>
    </row>
    <row r="99" spans="1:14" ht="2.4500000000000002" customHeight="1" x14ac:dyDescent="0.2">
      <c r="B99" s="149"/>
      <c r="C99" s="173"/>
      <c r="D99" s="173"/>
      <c r="E99" s="149"/>
      <c r="F99" s="27"/>
      <c r="H99" s="14"/>
      <c r="I99" s="149"/>
      <c r="J99" s="149"/>
      <c r="K99" s="149"/>
      <c r="L99" s="149"/>
      <c r="M99" s="151"/>
      <c r="N99" s="149"/>
    </row>
    <row r="100" spans="1:14" ht="15.6" customHeight="1" x14ac:dyDescent="0.2">
      <c r="B100" s="149"/>
      <c r="C100" s="417" t="s">
        <v>702</v>
      </c>
      <c r="D100" s="417"/>
      <c r="E100" s="149"/>
      <c r="F100" s="27"/>
      <c r="H100" s="14"/>
      <c r="I100" s="149"/>
      <c r="J100" s="149"/>
      <c r="K100" s="149"/>
      <c r="L100" s="149"/>
      <c r="M100" s="151"/>
      <c r="N100" s="155"/>
    </row>
    <row r="101" spans="1:14" ht="2.4500000000000002" customHeight="1" x14ac:dyDescent="0.2">
      <c r="B101" s="149"/>
      <c r="C101" s="173"/>
      <c r="D101" s="173"/>
      <c r="E101" s="149"/>
      <c r="F101" s="27"/>
      <c r="H101" s="14"/>
      <c r="I101" s="149"/>
      <c r="J101" s="149"/>
      <c r="K101" s="149"/>
      <c r="L101" s="149"/>
      <c r="M101" s="151"/>
      <c r="N101" s="149"/>
    </row>
    <row r="102" spans="1:14" ht="13.5" customHeight="1" x14ac:dyDescent="0.2">
      <c r="B102" s="149"/>
      <c r="C102" s="149" t="s">
        <v>700</v>
      </c>
      <c r="D102" s="194" t="str">
        <f>IF(C98=A288,"Jahresbetriebsstunden wählen",IF(C98=A290,"Anforderungen sind zu erfüllen","Keine Anforderungen"))</f>
        <v>Jahresbetriebsstunden wählen</v>
      </c>
      <c r="E102" s="149"/>
      <c r="F102" s="27"/>
      <c r="H102" s="14"/>
      <c r="I102" s="149"/>
      <c r="J102" s="149"/>
      <c r="K102" s="149"/>
      <c r="L102" s="149"/>
      <c r="M102" s="151"/>
      <c r="N102" s="155"/>
    </row>
    <row r="103" spans="1:14" ht="3.95" customHeight="1" x14ac:dyDescent="0.2">
      <c r="B103" s="149"/>
      <c r="C103" s="149"/>
      <c r="D103" s="152"/>
      <c r="E103" s="149"/>
      <c r="F103" s="27"/>
      <c r="H103" s="14"/>
      <c r="I103" s="149"/>
      <c r="J103" s="149"/>
      <c r="K103" s="149"/>
      <c r="L103" s="149"/>
      <c r="M103" s="151"/>
      <c r="N103" s="149"/>
    </row>
    <row r="104" spans="1:14" ht="13.5" customHeight="1" x14ac:dyDescent="0.2">
      <c r="B104" s="149"/>
      <c r="C104" s="149"/>
      <c r="D104" s="152"/>
      <c r="E104" s="149"/>
      <c r="F104" s="27"/>
      <c r="H104" s="14"/>
      <c r="I104" s="149"/>
      <c r="J104" s="149"/>
      <c r="K104" s="149"/>
      <c r="L104" s="149"/>
      <c r="M104" s="151"/>
      <c r="N104" s="149"/>
    </row>
    <row r="105" spans="1:14" ht="13.5" customHeight="1" x14ac:dyDescent="0.2">
      <c r="A105" s="3">
        <v>2.1</v>
      </c>
      <c r="B105" s="161" t="s">
        <v>695</v>
      </c>
      <c r="C105" s="149"/>
      <c r="D105" s="152"/>
      <c r="E105" s="149"/>
      <c r="F105" s="30" t="str">
        <f>IF($F$93="x","x","-")</f>
        <v>-</v>
      </c>
      <c r="H105" s="12" t="str">
        <f>IF(J105="x","-",IF(F105="x","-","x"))</f>
        <v>x</v>
      </c>
      <c r="I105" s="149"/>
      <c r="J105" s="12" t="str">
        <f>IF($D$102="Keine Anforderungen","x","-")</f>
        <v>-</v>
      </c>
      <c r="K105" s="149"/>
      <c r="L105" s="149"/>
      <c r="M105" s="149"/>
      <c r="N105" s="149"/>
    </row>
    <row r="106" spans="1:14" ht="1.5" customHeight="1" x14ac:dyDescent="0.2">
      <c r="C106" s="149"/>
      <c r="D106" s="152"/>
      <c r="E106" s="149"/>
      <c r="F106" s="27"/>
      <c r="H106" s="14"/>
      <c r="I106" s="149"/>
      <c r="J106" s="149"/>
      <c r="K106" s="149"/>
      <c r="L106" s="149"/>
      <c r="M106" s="149"/>
      <c r="N106" s="149"/>
    </row>
    <row r="107" spans="1:14" x14ac:dyDescent="0.2">
      <c r="B107" s="273"/>
      <c r="C107" s="418" t="s">
        <v>883</v>
      </c>
      <c r="D107" s="418"/>
      <c r="E107" s="149"/>
      <c r="K107" s="149"/>
      <c r="L107" s="149"/>
      <c r="M107" s="149"/>
      <c r="N107" s="149"/>
    </row>
    <row r="108" spans="1:14" ht="1.5" customHeight="1" x14ac:dyDescent="0.2">
      <c r="B108" s="222"/>
      <c r="C108" s="221"/>
      <c r="D108" s="274"/>
      <c r="E108" s="149"/>
      <c r="F108" s="27"/>
      <c r="H108" s="14"/>
      <c r="I108" s="149"/>
      <c r="J108" s="27"/>
      <c r="K108" s="149"/>
      <c r="L108" s="149"/>
      <c r="M108" s="149"/>
      <c r="N108" s="149"/>
    </row>
    <row r="109" spans="1:14" ht="15.75" x14ac:dyDescent="0.25">
      <c r="B109" s="275" t="s">
        <v>502</v>
      </c>
      <c r="C109" s="276" t="s">
        <v>704</v>
      </c>
      <c r="D109" s="277">
        <f>$D$55/(1.5*60*60)</f>
        <v>0</v>
      </c>
      <c r="E109" s="149"/>
      <c r="F109" s="27"/>
      <c r="H109" s="14"/>
      <c r="I109" s="149"/>
      <c r="J109" s="27"/>
      <c r="K109" s="149"/>
      <c r="L109" s="149"/>
      <c r="M109" s="151"/>
      <c r="N109" s="174"/>
    </row>
    <row r="110" spans="1:14" ht="13.5" customHeight="1" x14ac:dyDescent="0.2">
      <c r="B110" s="149"/>
      <c r="C110" s="149"/>
      <c r="D110" s="152"/>
      <c r="E110" s="149"/>
      <c r="F110" s="27"/>
      <c r="H110" s="14"/>
      <c r="I110" s="149"/>
      <c r="J110" s="149"/>
      <c r="K110" s="149"/>
      <c r="L110" s="149"/>
      <c r="M110" s="149"/>
      <c r="N110" s="149"/>
    </row>
    <row r="111" spans="1:14" x14ac:dyDescent="0.2">
      <c r="A111" s="3">
        <v>2.2000000000000002</v>
      </c>
      <c r="B111" s="149" t="s">
        <v>696</v>
      </c>
      <c r="C111" s="1"/>
      <c r="D111" s="151"/>
      <c r="E111" s="149"/>
      <c r="F111" s="30" t="str">
        <f>IF($F$93="x","x","-")</f>
        <v>-</v>
      </c>
      <c r="H111" s="12" t="str">
        <f>IF(J111="x","-",IF(F111="x","-","x"))</f>
        <v>x</v>
      </c>
      <c r="I111" s="149"/>
      <c r="J111" s="12" t="str">
        <f>IF($D$102="Keine Anforderungen","x","-")</f>
        <v>-</v>
      </c>
      <c r="K111" s="149"/>
      <c r="L111" s="149"/>
      <c r="M111" s="149"/>
      <c r="N111" s="157"/>
    </row>
    <row r="112" spans="1:14" ht="2.1" customHeight="1" x14ac:dyDescent="0.2">
      <c r="A112" s="2"/>
      <c r="B112" s="150"/>
      <c r="C112" s="26"/>
      <c r="D112" s="26"/>
      <c r="E112" s="26"/>
      <c r="F112" s="26"/>
      <c r="G112" s="26"/>
      <c r="H112" s="26"/>
      <c r="I112" s="26"/>
      <c r="J112" s="26"/>
      <c r="K112" s="26"/>
      <c r="L112" s="26"/>
      <c r="M112" s="26"/>
      <c r="N112" s="26"/>
    </row>
    <row r="113" spans="1:14" ht="13.5" customHeight="1" x14ac:dyDescent="0.2">
      <c r="A113" s="2"/>
      <c r="B113" s="272"/>
      <c r="C113" s="154" t="s">
        <v>882</v>
      </c>
      <c r="D113" s="154"/>
      <c r="E113" s="26"/>
      <c r="F113" s="26"/>
      <c r="G113" s="26"/>
      <c r="H113" s="26"/>
      <c r="I113" s="26"/>
      <c r="J113" s="26"/>
      <c r="K113" s="26"/>
      <c r="L113" s="26"/>
      <c r="M113" s="26"/>
      <c r="N113" s="157"/>
    </row>
    <row r="114" spans="1:14" ht="2.1" customHeight="1" x14ac:dyDescent="0.2">
      <c r="A114" s="2"/>
      <c r="B114" s="272"/>
      <c r="C114" s="154"/>
      <c r="D114" s="154"/>
      <c r="E114" s="26"/>
      <c r="F114" s="26"/>
      <c r="G114" s="26"/>
      <c r="H114" s="26"/>
      <c r="I114" s="26"/>
      <c r="J114" s="26"/>
      <c r="K114" s="26"/>
      <c r="L114" s="26"/>
      <c r="M114" s="26"/>
      <c r="N114" s="26"/>
    </row>
    <row r="115" spans="1:14" ht="1.5" customHeight="1" x14ac:dyDescent="0.2">
      <c r="B115" s="221"/>
      <c r="C115" s="221"/>
      <c r="D115" s="221"/>
      <c r="E115" s="149"/>
      <c r="F115" s="149"/>
      <c r="G115" s="149"/>
      <c r="H115" s="149"/>
      <c r="I115" s="149"/>
      <c r="J115" s="149"/>
      <c r="K115" s="149"/>
      <c r="L115" s="149"/>
      <c r="M115" s="149"/>
      <c r="N115" s="149"/>
    </row>
    <row r="116" spans="1:14" ht="15.75" x14ac:dyDescent="0.25">
      <c r="A116" s="38"/>
      <c r="B116" s="220" t="s">
        <v>502</v>
      </c>
      <c r="C116" s="221" t="s">
        <v>639</v>
      </c>
      <c r="D116" s="267">
        <f>D55</f>
        <v>0</v>
      </c>
      <c r="E116" s="149"/>
      <c r="F116" s="149"/>
      <c r="G116" s="149"/>
      <c r="H116" s="149"/>
      <c r="I116" s="149"/>
      <c r="J116" s="149"/>
      <c r="K116" s="149"/>
      <c r="L116" s="149"/>
      <c r="M116" s="149"/>
      <c r="N116" s="149"/>
    </row>
    <row r="117" spans="1:14" s="54" customFormat="1" ht="1.5" customHeight="1" x14ac:dyDescent="0.2">
      <c r="A117" s="195"/>
      <c r="B117" s="268"/>
      <c r="C117" s="268"/>
      <c r="D117" s="269"/>
      <c r="E117" s="159"/>
      <c r="F117" s="159"/>
      <c r="G117" s="159"/>
      <c r="H117" s="159"/>
      <c r="I117" s="159"/>
      <c r="J117" s="159"/>
      <c r="K117" s="159"/>
      <c r="L117" s="159"/>
      <c r="M117" s="159"/>
      <c r="N117" s="159"/>
    </row>
    <row r="118" spans="1:14" ht="15.75" x14ac:dyDescent="0.25">
      <c r="A118" s="38"/>
      <c r="B118" s="220" t="s">
        <v>502</v>
      </c>
      <c r="C118" s="221" t="s">
        <v>697</v>
      </c>
      <c r="D118" s="270">
        <f>IF(v_LuftMax&lt;=P243,2,IF(v_LuftMax&lt;=P244,4,IF(v_LuftMax&lt;=P245,5,IF(v_LuftMax&lt;=P246,6,7))))</f>
        <v>2</v>
      </c>
      <c r="E118" s="149"/>
      <c r="F118" s="149"/>
      <c r="G118" s="149"/>
      <c r="H118" s="149"/>
      <c r="I118" s="149"/>
      <c r="J118" s="149"/>
      <c r="K118" s="149"/>
      <c r="L118" s="149"/>
      <c r="M118" s="149"/>
      <c r="N118" s="149"/>
    </row>
    <row r="119" spans="1:14" ht="2.1" customHeight="1" x14ac:dyDescent="0.2">
      <c r="A119" s="2"/>
      <c r="B119" s="272"/>
      <c r="C119" s="154"/>
      <c r="D119" s="154"/>
      <c r="E119" s="26"/>
      <c r="F119" s="26"/>
      <c r="G119" s="26"/>
      <c r="H119" s="26"/>
      <c r="I119" s="26"/>
      <c r="J119" s="26"/>
      <c r="K119" s="26"/>
      <c r="L119" s="26"/>
      <c r="M119" s="26"/>
      <c r="N119" s="26"/>
    </row>
    <row r="120" spans="1:14" x14ac:dyDescent="0.2">
      <c r="B120" s="149"/>
      <c r="C120" s="221" t="s">
        <v>706</v>
      </c>
      <c r="D120" s="271">
        <f>v_LuftMax/(D118*60*60)</f>
        <v>0</v>
      </c>
      <c r="E120" s="149"/>
      <c r="F120" s="14"/>
      <c r="H120" s="14"/>
      <c r="I120" s="149"/>
      <c r="J120" s="27"/>
      <c r="K120" s="149"/>
      <c r="L120" s="149"/>
      <c r="M120" s="149"/>
      <c r="N120" s="149"/>
    </row>
    <row r="121" spans="1:14" ht="2.4500000000000002" customHeight="1" x14ac:dyDescent="0.2">
      <c r="B121" s="149"/>
      <c r="C121" s="161"/>
      <c r="D121" s="176"/>
      <c r="E121" s="149"/>
      <c r="F121" s="14"/>
      <c r="H121" s="14"/>
      <c r="I121" s="149"/>
      <c r="J121" s="27"/>
      <c r="K121" s="149"/>
      <c r="L121" s="149"/>
      <c r="M121" s="149"/>
      <c r="N121" s="149"/>
    </row>
    <row r="122" spans="1:14" s="54" customFormat="1" ht="13.5" customHeight="1" x14ac:dyDescent="0.25">
      <c r="B122" s="159"/>
      <c r="C122" s="160"/>
      <c r="D122" s="175" t="s">
        <v>705</v>
      </c>
      <c r="E122" s="159"/>
      <c r="F122" s="159"/>
      <c r="G122" s="159"/>
      <c r="H122" s="159"/>
      <c r="I122" s="159"/>
      <c r="J122" s="159"/>
      <c r="K122" s="159"/>
      <c r="L122" s="159"/>
      <c r="M122" s="159"/>
      <c r="N122" s="159"/>
    </row>
    <row r="123" spans="1:14" s="54" customFormat="1" ht="13.5" customHeight="1" x14ac:dyDescent="0.2">
      <c r="B123" s="159"/>
      <c r="C123" s="160"/>
      <c r="D123" s="159"/>
      <c r="E123" s="159"/>
      <c r="F123" s="159"/>
      <c r="G123" s="159"/>
      <c r="H123" s="159"/>
      <c r="I123" s="159"/>
      <c r="J123" s="159"/>
      <c r="K123" s="159"/>
      <c r="L123" s="159"/>
      <c r="M123" s="159"/>
      <c r="N123" s="159"/>
    </row>
    <row r="124" spans="1:14" s="54" customFormat="1" x14ac:dyDescent="0.2">
      <c r="A124" s="54">
        <v>2.2999999999999998</v>
      </c>
      <c r="B124" s="162" t="s">
        <v>703</v>
      </c>
      <c r="D124" s="159"/>
      <c r="E124" s="159"/>
      <c r="F124" s="30" t="str">
        <f>IF($F$93="x","x","-")</f>
        <v>-</v>
      </c>
      <c r="G124" s="3"/>
      <c r="H124" s="12" t="str">
        <f>IF(J124="x","-",IF(F124="x","-","x"))</f>
        <v>x</v>
      </c>
      <c r="I124" s="149"/>
      <c r="J124" s="12" t="str">
        <f>IF(AND(F105="x",F111="x"),"x","-")</f>
        <v>-</v>
      </c>
      <c r="K124" s="159"/>
      <c r="L124" s="159"/>
      <c r="M124" s="159"/>
      <c r="N124" s="157"/>
    </row>
    <row r="125" spans="1:14" ht="2.1" customHeight="1" x14ac:dyDescent="0.2">
      <c r="A125" s="2"/>
      <c r="B125" s="2"/>
      <c r="F125" s="7"/>
      <c r="G125" s="7"/>
      <c r="H125" s="7"/>
      <c r="I125" s="7"/>
      <c r="J125" s="8"/>
      <c r="L125" s="8"/>
    </row>
    <row r="126" spans="1:14" ht="13.5" customHeight="1" x14ac:dyDescent="0.2">
      <c r="C126" s="368" t="s">
        <v>607</v>
      </c>
      <c r="D126" s="368"/>
      <c r="F126" s="27"/>
      <c r="H126" s="14"/>
      <c r="M126" s="38" t="str">
        <f>IF(C126=A296,"Energieverbrauchsrechnung ist beizulegen","")</f>
        <v/>
      </c>
      <c r="N126" s="157"/>
    </row>
    <row r="127" spans="1:14" ht="1.5" customHeight="1" x14ac:dyDescent="0.2">
      <c r="F127" s="27"/>
      <c r="H127" s="14"/>
    </row>
    <row r="128" spans="1:14" ht="13.5" customHeight="1" x14ac:dyDescent="0.2">
      <c r="F128" s="27"/>
      <c r="H128" s="14"/>
    </row>
    <row r="129" spans="1:14" ht="1.5" customHeight="1" x14ac:dyDescent="0.2">
      <c r="F129" s="27"/>
      <c r="H129" s="14"/>
    </row>
    <row r="130" spans="1:14" ht="13.5" customHeight="1" thickBot="1" x14ac:dyDescent="0.25">
      <c r="C130" s="4"/>
      <c r="D130" s="4"/>
      <c r="E130" s="4"/>
    </row>
    <row r="131" spans="1:14" ht="13.5" customHeight="1" thickBot="1" x14ac:dyDescent="0.25">
      <c r="A131" s="2" t="s">
        <v>652</v>
      </c>
      <c r="C131" s="4"/>
      <c r="D131" s="4"/>
      <c r="E131" s="4"/>
      <c r="F131" s="258" t="s">
        <v>43</v>
      </c>
    </row>
    <row r="132" spans="1:14" ht="1.5" customHeight="1" x14ac:dyDescent="0.2">
      <c r="C132" s="4"/>
      <c r="D132" s="4"/>
      <c r="E132" s="4"/>
    </row>
    <row r="133" spans="1:14" ht="14.45" customHeight="1" x14ac:dyDescent="0.2">
      <c r="A133" s="74">
        <v>3.1</v>
      </c>
      <c r="B133" s="338" t="s">
        <v>722</v>
      </c>
      <c r="C133" s="338"/>
      <c r="D133" s="338"/>
      <c r="E133" s="134"/>
      <c r="F133" s="134"/>
      <c r="G133" s="134"/>
      <c r="H133" s="134"/>
      <c r="I133" s="134"/>
      <c r="J133" s="134"/>
      <c r="K133" s="134"/>
      <c r="L133" s="134"/>
    </row>
    <row r="134" spans="1:14" ht="13.5" customHeight="1" x14ac:dyDescent="0.2">
      <c r="A134" s="74"/>
      <c r="B134" s="3" t="s">
        <v>723</v>
      </c>
      <c r="C134" s="199"/>
      <c r="D134" s="204"/>
      <c r="E134" s="4"/>
      <c r="F134" s="30" t="str">
        <f>IF($F$131="x","x","-")</f>
        <v>-</v>
      </c>
      <c r="H134" s="12" t="str">
        <f>IF(J134="x","-",IF(F134="x","-","x"))</f>
        <v>x</v>
      </c>
      <c r="J134" s="30" t="s">
        <v>43</v>
      </c>
      <c r="N134" s="25"/>
    </row>
    <row r="135" spans="1:14" ht="1.5" customHeight="1" x14ac:dyDescent="0.2">
      <c r="C135" s="4"/>
      <c r="D135" s="4"/>
      <c r="E135" s="4"/>
    </row>
    <row r="136" spans="1:14" ht="13.5" customHeight="1" x14ac:dyDescent="0.2">
      <c r="A136" s="3">
        <v>3.2</v>
      </c>
      <c r="B136" s="3" t="s">
        <v>724</v>
      </c>
      <c r="C136" s="38"/>
      <c r="D136" s="61"/>
      <c r="E136" s="4"/>
      <c r="F136" s="30" t="str">
        <f>IF($F$131="x","x","-")</f>
        <v>-</v>
      </c>
      <c r="H136" s="12" t="str">
        <f>IF(J136="x","-",IF(F136="x","-",IF(H139="-","-","x")))</f>
        <v>x</v>
      </c>
      <c r="J136" s="30" t="s">
        <v>43</v>
      </c>
      <c r="N136" s="25"/>
    </row>
    <row r="137" spans="1:14" ht="13.5" customHeight="1" x14ac:dyDescent="0.2">
      <c r="B137" s="3" t="s">
        <v>648</v>
      </c>
      <c r="C137" s="4"/>
      <c r="D137" s="4"/>
      <c r="E137" s="4"/>
    </row>
    <row r="138" spans="1:14" ht="1.5" customHeight="1" x14ac:dyDescent="0.2">
      <c r="C138" s="4"/>
      <c r="D138" s="4"/>
      <c r="E138" s="4"/>
    </row>
    <row r="139" spans="1:14" ht="13.5" customHeight="1" x14ac:dyDescent="0.2">
      <c r="C139" s="415" t="s">
        <v>649</v>
      </c>
      <c r="D139" s="415"/>
      <c r="E139" s="4"/>
      <c r="F139" s="30" t="str">
        <f>IF($F$131="x","x","-")</f>
        <v>-</v>
      </c>
      <c r="H139" s="12" t="str">
        <f>IF(J139="x","-",IF(F139="x","-","x"))</f>
        <v>x</v>
      </c>
      <c r="J139" s="12" t="str">
        <f>IF(F136="x","x","-")</f>
        <v>-</v>
      </c>
      <c r="M139" s="3" t="str">
        <f>IF(J139="x","Keine Eingabe erforderlich. Dämmstärken eingehalten.","")</f>
        <v/>
      </c>
      <c r="N139" s="25"/>
    </row>
    <row r="140" spans="1:14" ht="1.5" customHeight="1" x14ac:dyDescent="0.2">
      <c r="C140" s="4"/>
      <c r="D140" s="4"/>
      <c r="E140" s="4"/>
    </row>
    <row r="141" spans="1:14" ht="13.5" customHeight="1" x14ac:dyDescent="0.2">
      <c r="C141" s="4"/>
      <c r="D141" s="4"/>
      <c r="E141" s="4"/>
    </row>
    <row r="142" spans="1:14" ht="1.5" customHeight="1" thickBot="1" x14ac:dyDescent="0.25">
      <c r="C142" s="4"/>
      <c r="D142" s="4"/>
      <c r="E142" s="4"/>
    </row>
    <row r="143" spans="1:14" ht="13.5" customHeight="1" thickBot="1" x14ac:dyDescent="0.25">
      <c r="A143" s="2" t="s">
        <v>719</v>
      </c>
      <c r="C143" s="4"/>
      <c r="D143" s="4"/>
      <c r="E143" s="4"/>
      <c r="F143" s="258" t="s">
        <v>43</v>
      </c>
      <c r="J143" s="258" t="s">
        <v>43</v>
      </c>
    </row>
    <row r="144" spans="1:14" ht="1.5" customHeight="1" x14ac:dyDescent="0.2">
      <c r="A144" s="2"/>
      <c r="C144" s="4"/>
      <c r="D144" s="4"/>
      <c r="E144" s="4"/>
    </row>
    <row r="145" spans="1:14" ht="13.5" customHeight="1" x14ac:dyDescent="0.2">
      <c r="A145" s="2"/>
      <c r="B145" s="3" t="s">
        <v>720</v>
      </c>
      <c r="C145" s="4"/>
      <c r="D145" s="4"/>
      <c r="E145" s="4"/>
    </row>
    <row r="146" spans="1:14" ht="1.5" customHeight="1" x14ac:dyDescent="0.2">
      <c r="A146" s="2"/>
      <c r="C146" s="4"/>
      <c r="D146" s="4"/>
      <c r="E146" s="4"/>
    </row>
    <row r="147" spans="1:14" ht="13.5" customHeight="1" x14ac:dyDescent="0.2">
      <c r="C147" s="38" t="s">
        <v>656</v>
      </c>
      <c r="D147" s="4"/>
      <c r="E147" s="4"/>
      <c r="F147" s="30" t="str">
        <f>IF($F$143="x","x","-")</f>
        <v>-</v>
      </c>
      <c r="H147" s="12" t="str">
        <f>IF(J147="x","-",IF(F147="x","-","x"))</f>
        <v>x</v>
      </c>
      <c r="J147" s="30" t="str">
        <f>IF($J$143="x","x","-")</f>
        <v>-</v>
      </c>
      <c r="M147" s="3" t="str">
        <f>IF(J147="x","Keine Eingabe erforderlich Keine Kühlung/Befeuchtung","")</f>
        <v/>
      </c>
      <c r="N147" s="25"/>
    </row>
    <row r="148" spans="1:14" ht="1.5" customHeight="1" x14ac:dyDescent="0.2">
      <c r="C148" s="38"/>
      <c r="D148" s="4"/>
      <c r="E148" s="4"/>
    </row>
    <row r="149" spans="1:14" ht="13.5" customHeight="1" x14ac:dyDescent="0.2">
      <c r="C149" s="38" t="s">
        <v>658</v>
      </c>
      <c r="D149" s="4"/>
      <c r="E149" s="4"/>
      <c r="F149" s="30" t="str">
        <f>IF($F$143="x","x","-")</f>
        <v>-</v>
      </c>
      <c r="H149" s="12" t="str">
        <f>IF(J149="x","-",IF(F149="x","-","x"))</f>
        <v>x</v>
      </c>
      <c r="J149" s="30" t="str">
        <f>IF($J$143="x","x","-")</f>
        <v>-</v>
      </c>
      <c r="M149" s="3" t="str">
        <f>IF(J147="x","Keine Eingabe erforderlich Keine Kühlung/Befeuchtung","")</f>
        <v/>
      </c>
      <c r="N149" s="25"/>
    </row>
    <row r="150" spans="1:14" ht="1.5" customHeight="1" x14ac:dyDescent="0.2">
      <c r="C150" s="38"/>
      <c r="D150" s="4"/>
      <c r="E150" s="4"/>
    </row>
    <row r="151" spans="1:14" ht="13.5" customHeight="1" x14ac:dyDescent="0.2">
      <c r="C151" s="38" t="s">
        <v>657</v>
      </c>
      <c r="D151" s="4"/>
      <c r="E151" s="4"/>
      <c r="F151" s="30" t="str">
        <f>IF($F$143="x","x","-")</f>
        <v>-</v>
      </c>
      <c r="H151" s="12" t="str">
        <f>IF(J151="x","-",IF(F151="x","-","x"))</f>
        <v>x</v>
      </c>
      <c r="J151" s="30" t="str">
        <f>IF($J$143="x","x","-")</f>
        <v>-</v>
      </c>
      <c r="M151" s="3" t="str">
        <f>IF(J147="x","Keine Eingabe erforderlich Keine Kühlung/Befeuchtung","")</f>
        <v/>
      </c>
      <c r="N151" s="25"/>
    </row>
    <row r="152" spans="1:14" ht="1.5" customHeight="1" x14ac:dyDescent="0.2">
      <c r="C152" s="38"/>
      <c r="D152" s="4"/>
      <c r="E152" s="4"/>
      <c r="F152" s="75"/>
      <c r="H152" s="76"/>
      <c r="J152" s="75"/>
    </row>
    <row r="153" spans="1:14" ht="13.5" customHeight="1" x14ac:dyDescent="0.2">
      <c r="C153" s="38" t="s">
        <v>659</v>
      </c>
      <c r="D153" s="4"/>
      <c r="E153" s="4"/>
      <c r="F153" s="30" t="str">
        <f>IF($F$143="x","x","-")</f>
        <v>-</v>
      </c>
      <c r="H153" s="12" t="str">
        <f>IF(J153="x","-",IF(F153="x","-","x"))</f>
        <v>x</v>
      </c>
      <c r="J153" s="30" t="str">
        <f>IF($J$143="x","x","-")</f>
        <v>-</v>
      </c>
      <c r="M153" s="3" t="str">
        <f>IF(J147="x","Keine Eingabe erforderlich Keine Kühlung/Befeuchtung","")</f>
        <v/>
      </c>
      <c r="N153" s="25"/>
    </row>
    <row r="154" spans="1:14" ht="1.5" customHeight="1" x14ac:dyDescent="0.2">
      <c r="C154" s="4"/>
      <c r="D154" s="4"/>
      <c r="E154" s="4"/>
    </row>
    <row r="155" spans="1:14" ht="13.5" customHeight="1" x14ac:dyDescent="0.2">
      <c r="C155" s="4"/>
      <c r="D155" s="205"/>
      <c r="E155" s="4"/>
    </row>
    <row r="156" spans="1:14" ht="1.5" customHeight="1" thickBot="1" x14ac:dyDescent="0.25">
      <c r="C156" s="4"/>
      <c r="D156" s="4"/>
      <c r="E156" s="4"/>
    </row>
    <row r="157" spans="1:14" ht="13.5" customHeight="1" thickBot="1" x14ac:dyDescent="0.25">
      <c r="A157" s="2" t="s">
        <v>660</v>
      </c>
      <c r="C157" s="4"/>
      <c r="D157" s="4"/>
      <c r="E157" s="4"/>
      <c r="F157" s="258" t="s">
        <v>43</v>
      </c>
      <c r="J157" s="258" t="s">
        <v>43</v>
      </c>
    </row>
    <row r="158" spans="1:14" ht="1.5" customHeight="1" x14ac:dyDescent="0.2">
      <c r="A158" s="2"/>
      <c r="C158" s="4"/>
      <c r="D158" s="4"/>
      <c r="E158" s="4"/>
      <c r="F158" s="27"/>
      <c r="J158" s="27"/>
    </row>
    <row r="159" spans="1:14" ht="13.5" customHeight="1" x14ac:dyDescent="0.25">
      <c r="A159" s="200">
        <v>4</v>
      </c>
      <c r="B159" s="3" t="s">
        <v>721</v>
      </c>
      <c r="C159" s="4"/>
      <c r="D159" s="4"/>
      <c r="E159" s="4"/>
      <c r="F159" s="30" t="str">
        <f>IF($F$157="x","x","-")</f>
        <v>-</v>
      </c>
      <c r="H159" s="12" t="str">
        <f>IF(J159="x","-",IF(F159="x","-","x"))</f>
        <v>x</v>
      </c>
      <c r="J159" s="30" t="str">
        <f>IF($J$157="x","x","-")</f>
        <v>-</v>
      </c>
      <c r="N159" s="25"/>
    </row>
    <row r="160" spans="1:14" ht="1.5" customHeight="1" x14ac:dyDescent="0.2">
      <c r="C160" s="4"/>
      <c r="D160" s="4"/>
      <c r="E160" s="4"/>
    </row>
    <row r="161" spans="1:14" ht="13.5" customHeight="1" x14ac:dyDescent="0.2">
      <c r="A161" s="3">
        <v>4.0999999999999996</v>
      </c>
      <c r="C161" s="3" t="s">
        <v>661</v>
      </c>
      <c r="D161" s="4"/>
      <c r="E161" s="4"/>
      <c r="F161" s="30" t="str">
        <f>IF($F$157="x","x","-")</f>
        <v>-</v>
      </c>
      <c r="H161" s="12" t="str">
        <f>IF(J161="x","-",IF(F161="x","-","x"))</f>
        <v>x</v>
      </c>
      <c r="J161" s="30" t="str">
        <f>IF($J$157="x","x","-")</f>
        <v>-</v>
      </c>
      <c r="N161" s="25"/>
    </row>
    <row r="162" spans="1:14" ht="1.5" customHeight="1" x14ac:dyDescent="0.2">
      <c r="A162" s="3">
        <v>4.2</v>
      </c>
      <c r="C162" s="4" t="s">
        <v>662</v>
      </c>
      <c r="D162" s="4"/>
      <c r="E162" s="4"/>
    </row>
    <row r="163" spans="1:14" ht="13.5" customHeight="1" x14ac:dyDescent="0.2">
      <c r="A163" s="3">
        <v>4.2</v>
      </c>
      <c r="C163" s="1" t="s">
        <v>663</v>
      </c>
      <c r="D163" s="4"/>
      <c r="E163" s="4"/>
      <c r="F163" s="30" t="str">
        <f>IF($F$157="x","x","-")</f>
        <v>-</v>
      </c>
      <c r="H163" s="12" t="str">
        <f>IF(J163="x","-",IF(F163="x","-","x"))</f>
        <v>x</v>
      </c>
      <c r="J163" s="30" t="str">
        <f>IF($J$157="x","x","-")</f>
        <v>-</v>
      </c>
      <c r="N163" s="25"/>
    </row>
    <row r="164" spans="1:14" ht="1.5" customHeight="1" x14ac:dyDescent="0.2">
      <c r="C164" s="4"/>
      <c r="D164" s="4"/>
      <c r="E164" s="4"/>
      <c r="J164" s="26"/>
    </row>
    <row r="165" spans="1:14" ht="276.95" customHeight="1" thickBot="1" x14ac:dyDescent="0.25">
      <c r="C165" s="4"/>
      <c r="D165" s="4"/>
      <c r="E165" s="4"/>
    </row>
    <row r="166" spans="1:14" ht="13.5" customHeight="1" thickBot="1" x14ac:dyDescent="0.25">
      <c r="A166" s="2" t="s">
        <v>715</v>
      </c>
      <c r="C166" s="4"/>
      <c r="D166" s="4"/>
      <c r="E166" s="4"/>
      <c r="F166" s="258" t="s">
        <v>43</v>
      </c>
    </row>
    <row r="167" spans="1:14" ht="1.5" customHeight="1" x14ac:dyDescent="0.2">
      <c r="C167" s="4"/>
      <c r="D167" s="4"/>
      <c r="E167" s="4"/>
    </row>
    <row r="168" spans="1:14" ht="36" customHeight="1" x14ac:dyDescent="0.2">
      <c r="A168" s="38"/>
      <c r="B168" s="413" t="s">
        <v>714</v>
      </c>
      <c r="C168" s="413"/>
      <c r="D168" s="413"/>
      <c r="E168" s="4"/>
      <c r="N168" s="25"/>
    </row>
    <row r="169" spans="1:14" ht="1.5" customHeight="1" x14ac:dyDescent="0.2">
      <c r="A169" s="38"/>
      <c r="C169" s="4"/>
      <c r="D169" s="1"/>
      <c r="E169" s="4"/>
      <c r="N169" s="26"/>
    </row>
    <row r="170" spans="1:14" ht="13.5" customHeight="1" x14ac:dyDescent="0.25">
      <c r="A170" s="197" t="s">
        <v>502</v>
      </c>
      <c r="B170" s="3" t="s">
        <v>712</v>
      </c>
      <c r="D170" s="196" t="str">
        <f>KatI</f>
        <v>Gebäudekategorie wählen</v>
      </c>
      <c r="E170" s="4"/>
      <c r="N170" s="25"/>
    </row>
    <row r="171" spans="1:14" ht="1.5" customHeight="1" x14ac:dyDescent="0.25">
      <c r="A171" s="197"/>
      <c r="D171" s="4"/>
      <c r="E171" s="4"/>
    </row>
    <row r="172" spans="1:14" ht="13.5" customHeight="1" x14ac:dyDescent="0.25">
      <c r="A172" s="197" t="s">
        <v>502</v>
      </c>
      <c r="B172" s="3" t="s">
        <v>713</v>
      </c>
      <c r="D172" s="196" t="str">
        <f>IF(KatII=0,"keine",KatII)</f>
        <v>keine</v>
      </c>
      <c r="N172" s="25"/>
    </row>
    <row r="173" spans="1:14" ht="1.5" customHeight="1" x14ac:dyDescent="0.25">
      <c r="A173" s="197"/>
    </row>
    <row r="174" spans="1:14" ht="13.5" customHeight="1" x14ac:dyDescent="0.25">
      <c r="A174" s="197" t="s">
        <v>502</v>
      </c>
      <c r="B174" s="3" t="s">
        <v>713</v>
      </c>
      <c r="D174" s="196" t="str">
        <f>IF(KatIII=0,"keine",KatIII)</f>
        <v>keine</v>
      </c>
      <c r="N174" s="25"/>
    </row>
    <row r="175" spans="1:14" ht="1.5" customHeight="1" x14ac:dyDescent="0.25">
      <c r="A175" s="197"/>
    </row>
    <row r="176" spans="1:14" ht="13.5" customHeight="1" x14ac:dyDescent="0.25">
      <c r="A176" s="197" t="s">
        <v>502</v>
      </c>
      <c r="B176" s="3" t="s">
        <v>713</v>
      </c>
      <c r="D176" s="196" t="str">
        <f>IF(KatIV=0,"keine",KatIV)</f>
        <v>keine</v>
      </c>
      <c r="N176" s="25"/>
    </row>
    <row r="177" spans="1:14" ht="1.5" customHeight="1" x14ac:dyDescent="0.2">
      <c r="A177" s="38"/>
    </row>
    <row r="178" spans="1:14" ht="13.5" customHeight="1" x14ac:dyDescent="0.2">
      <c r="A178" s="38"/>
    </row>
    <row r="179" spans="1:14" ht="1.5" customHeight="1" x14ac:dyDescent="0.2">
      <c r="A179" s="38"/>
    </row>
    <row r="180" spans="1:14" ht="13.5" customHeight="1" x14ac:dyDescent="0.25">
      <c r="A180" s="197" t="s">
        <v>502</v>
      </c>
      <c r="B180" s="1" t="s">
        <v>707</v>
      </c>
      <c r="C180" s="1"/>
      <c r="D180" s="4"/>
      <c r="E180" s="4"/>
    </row>
    <row r="181" spans="1:14" ht="1.5" customHeight="1" x14ac:dyDescent="0.2">
      <c r="A181" s="38"/>
      <c r="C181" s="4"/>
      <c r="D181" s="4"/>
      <c r="E181" s="4"/>
    </row>
    <row r="182" spans="1:14" ht="13.5" customHeight="1" x14ac:dyDescent="0.2">
      <c r="A182" s="38"/>
      <c r="C182" s="3" t="s">
        <v>665</v>
      </c>
      <c r="D182" s="201" t="e">
        <f>INDEX(Hilfsdokumentation!O134:O145,MATCH('EN-105'!D170,Hilfsdokumentation!M134:M145,0))</f>
        <v>#N/A</v>
      </c>
      <c r="E182" s="4"/>
      <c r="F182" s="30" t="str">
        <f>IF($F$166="x","x","-")</f>
        <v>-</v>
      </c>
      <c r="H182" s="12" t="str">
        <f>IF(J182="x","-",IF(F182="x","-","x"))</f>
        <v>-</v>
      </c>
      <c r="J182" s="12" t="str">
        <f>IF($D$70="Ja","-","x")</f>
        <v>x</v>
      </c>
      <c r="M182" s="3" t="str">
        <f>IF(J182="x","Keine Eingabe erforerlich. Keine Kühlung/Befeuchtung","")</f>
        <v>Keine Eingabe erforerlich. Keine Kühlung/Befeuchtung</v>
      </c>
      <c r="N182" s="25"/>
    </row>
    <row r="183" spans="1:14" ht="1.5" customHeight="1" x14ac:dyDescent="0.2">
      <c r="A183" s="38"/>
      <c r="C183" s="4"/>
      <c r="D183" s="31"/>
      <c r="E183" s="4"/>
    </row>
    <row r="184" spans="1:14" ht="13.5" customHeight="1" x14ac:dyDescent="0.2">
      <c r="A184" s="38"/>
      <c r="C184" s="1" t="s">
        <v>664</v>
      </c>
      <c r="D184" s="202" t="e">
        <f>INDEX(Hilfsdokumentation!Q134:Q145,MATCH('EN-105'!D170,Hilfsdokumentation!M134:M145,0))</f>
        <v>#N/A</v>
      </c>
      <c r="E184" s="4"/>
      <c r="F184" s="30" t="str">
        <f>IF($F$166="x","x","-")</f>
        <v>-</v>
      </c>
      <c r="H184" s="12" t="str">
        <f>IF(J184="x","-",IF(F184="x","-","x"))</f>
        <v>-</v>
      </c>
      <c r="J184" s="12" t="str">
        <f>IF($D$70="Ja","-","x")</f>
        <v>x</v>
      </c>
      <c r="M184" s="3" t="str">
        <f>IF(J184="x","Keine Eingabe erforerlich. Keine Kühlung/Befeuchtung","")</f>
        <v>Keine Eingabe erforerlich. Keine Kühlung/Befeuchtung</v>
      </c>
      <c r="N184" s="25"/>
    </row>
    <row r="185" spans="1:14" ht="1.5" customHeight="1" x14ac:dyDescent="0.2">
      <c r="C185" s="4"/>
      <c r="D185" s="31"/>
      <c r="E185" s="4"/>
    </row>
    <row r="186" spans="1:14" ht="13.5" customHeight="1" x14ac:dyDescent="0.2">
      <c r="C186" s="1" t="s">
        <v>666</v>
      </c>
      <c r="D186" s="201" t="e">
        <f>INDEX(Hilfsdokumentation!N134:N145,MATCH('EN-105'!D170,Hilfsdokumentation!M134:M145,0))</f>
        <v>#N/A</v>
      </c>
      <c r="E186" s="4"/>
      <c r="F186" s="30" t="str">
        <f>IF($F$166="x","x","-")</f>
        <v>-</v>
      </c>
      <c r="H186" s="12" t="str">
        <f>IF(J186="x","-",IF(F186="x","-","x"))</f>
        <v>-</v>
      </c>
      <c r="J186" s="12" t="str">
        <f>IF($D$70="Ja","-","x")</f>
        <v>x</v>
      </c>
      <c r="M186" s="3" t="str">
        <f>IF(J186="x","Keine Eingabe erforerlich. Keine Kühlung/Befeuchtung","")</f>
        <v>Keine Eingabe erforerlich. Keine Kühlung/Befeuchtung</v>
      </c>
      <c r="N186" s="25"/>
    </row>
    <row r="187" spans="1:14" ht="1.5" customHeight="1" x14ac:dyDescent="0.2">
      <c r="C187" s="4"/>
      <c r="D187" s="31"/>
      <c r="E187" s="4"/>
    </row>
    <row r="188" spans="1:14" ht="13.5" customHeight="1" x14ac:dyDescent="0.2">
      <c r="C188" s="1" t="s">
        <v>667</v>
      </c>
      <c r="D188" s="202" t="e">
        <f>INDEX(Hilfsdokumentation!P134:P145,MATCH('EN-105'!D170,Hilfsdokumentation!M134:M145,0))</f>
        <v>#N/A</v>
      </c>
      <c r="E188" s="4"/>
      <c r="F188" s="30" t="str">
        <f>IF($F$166="x","x","-")</f>
        <v>-</v>
      </c>
      <c r="H188" s="12" t="str">
        <f>IF(J188="x","-",IF(F188="x","-","x"))</f>
        <v>-</v>
      </c>
      <c r="J188" s="12" t="str">
        <f>IF($D$70="Ja","-","x")</f>
        <v>x</v>
      </c>
      <c r="M188" s="3" t="str">
        <f>IF(J188="x","Keine Eingabe erforerlich. Keine Kühlung/Befeuchtung","")</f>
        <v>Keine Eingabe erforerlich. Keine Kühlung/Befeuchtung</v>
      </c>
      <c r="N188" s="25"/>
    </row>
    <row r="189" spans="1:14" ht="1.5" customHeight="1" x14ac:dyDescent="0.2">
      <c r="C189" s="4"/>
      <c r="D189" s="4"/>
      <c r="E189" s="4"/>
    </row>
    <row r="190" spans="1:14" ht="13.5" customHeight="1" x14ac:dyDescent="0.2">
      <c r="B190" s="3" t="s">
        <v>672</v>
      </c>
      <c r="C190" s="4"/>
      <c r="D190" s="4"/>
      <c r="E190" s="4"/>
    </row>
    <row r="191" spans="1:14" ht="1.5" customHeight="1" x14ac:dyDescent="0.2">
      <c r="C191" s="4"/>
      <c r="D191" s="4"/>
      <c r="E191" s="4"/>
    </row>
    <row r="192" spans="1:14" ht="13.5" customHeight="1" x14ac:dyDescent="0.2">
      <c r="C192" s="1" t="s">
        <v>716</v>
      </c>
      <c r="D192" s="4"/>
      <c r="E192" s="4"/>
      <c r="F192" s="30" t="str">
        <f>IF($F$166="x","x","-")</f>
        <v>-</v>
      </c>
      <c r="H192" s="12" t="str">
        <f>IF(J192="x","-",IF(F192="x","-","x"))</f>
        <v>-</v>
      </c>
      <c r="J192" s="12" t="str">
        <f>IF($D$70="Ja","-","x")</f>
        <v>x</v>
      </c>
      <c r="M192" s="3" t="str">
        <f>IF(J192="x","Keine Eingabe erforerlich. Keine Kühlung/Befeuchtung","")</f>
        <v>Keine Eingabe erforerlich. Keine Kühlung/Befeuchtung</v>
      </c>
      <c r="N192" s="25"/>
    </row>
    <row r="193" spans="1:14" ht="1.5" customHeight="1" x14ac:dyDescent="0.2">
      <c r="C193" s="4"/>
      <c r="D193" s="4"/>
      <c r="E193" s="4"/>
    </row>
    <row r="194" spans="1:14" ht="13.5" customHeight="1" x14ac:dyDescent="0.2">
      <c r="B194" s="3" t="s">
        <v>674</v>
      </c>
      <c r="C194" s="4"/>
      <c r="D194" s="4"/>
      <c r="E194" s="4"/>
    </row>
    <row r="195" spans="1:14" ht="1.5" customHeight="1" x14ac:dyDescent="0.2">
      <c r="C195" s="4"/>
      <c r="D195" s="4"/>
      <c r="E195" s="4"/>
    </row>
    <row r="196" spans="1:14" ht="13.5" customHeight="1" x14ac:dyDescent="0.25">
      <c r="B196" s="197" t="s">
        <v>502</v>
      </c>
      <c r="C196" s="1" t="s">
        <v>682</v>
      </c>
      <c r="D196" s="206" t="s">
        <v>678</v>
      </c>
      <c r="E196" s="4"/>
      <c r="F196" s="30" t="str">
        <f>IF($F$166="x","x","-")</f>
        <v>-</v>
      </c>
      <c r="H196" s="12" t="str">
        <f>IF(J196="x","-",IF(F196="x","-","x"))</f>
        <v>-</v>
      </c>
      <c r="J196" s="12" t="str">
        <f>IF($D$70="Ja","-","x")</f>
        <v>x</v>
      </c>
      <c r="M196" s="3" t="str">
        <f>IF(J196="x","Keine Eingabe erforerlich. Keine Kühlung/Befeuchtung","")</f>
        <v>Keine Eingabe erforerlich. Keine Kühlung/Befeuchtung</v>
      </c>
      <c r="N196" s="25"/>
    </row>
    <row r="197" spans="1:14" ht="1.5" customHeight="1" x14ac:dyDescent="0.2">
      <c r="C197" s="4"/>
      <c r="D197" s="4"/>
      <c r="E197" s="4"/>
      <c r="N197" s="26"/>
    </row>
    <row r="198" spans="1:14" ht="13.5" customHeight="1" x14ac:dyDescent="0.25">
      <c r="B198" s="197" t="s">
        <v>502</v>
      </c>
      <c r="C198" s="3" t="s">
        <v>680</v>
      </c>
      <c r="D198" s="4"/>
      <c r="E198" s="4"/>
      <c r="F198" s="30" t="str">
        <f>IF($F$166="x","x","-")</f>
        <v>-</v>
      </c>
      <c r="H198" s="12" t="str">
        <f>IF(J198="x","-",IF(F198="x","-","x"))</f>
        <v>-</v>
      </c>
      <c r="J198" s="12" t="str">
        <f>IF($D$70="Ja","-","x")</f>
        <v>x</v>
      </c>
      <c r="M198" s="3" t="str">
        <f>IF(J198="x","Keine Eingabe erforerlich. Keine Kühlung/Befeuchtung","")</f>
        <v>Keine Eingabe erforerlich. Keine Kühlung/Befeuchtung</v>
      </c>
      <c r="N198" s="25"/>
    </row>
    <row r="199" spans="1:14" ht="1.5" customHeight="1" x14ac:dyDescent="0.2">
      <c r="D199" s="4"/>
      <c r="E199" s="4"/>
      <c r="N199" s="26"/>
    </row>
    <row r="200" spans="1:14" ht="13.5" customHeight="1" x14ac:dyDescent="0.2">
      <c r="C200" s="3" t="s">
        <v>681</v>
      </c>
      <c r="D200" s="4"/>
      <c r="E200" s="4"/>
      <c r="F200" s="30" t="str">
        <f>IF($F$166="x","x","-")</f>
        <v>-</v>
      </c>
      <c r="H200" s="12" t="str">
        <f>IF(J200="x","-",IF(F200="x","-","x"))</f>
        <v>-</v>
      </c>
      <c r="J200" s="12" t="str">
        <f>IF($D$70="Ja","-","x")</f>
        <v>x</v>
      </c>
      <c r="M200" s="3" t="str">
        <f>IF(J200="x","Keine Eingabe erforerlich. Keine Kühlung/Befeuchtung","")</f>
        <v>Keine Eingabe erforerlich. Keine Kühlung/Befeuchtung</v>
      </c>
      <c r="N200" s="25"/>
    </row>
    <row r="201" spans="1:14" ht="13.5" customHeight="1" x14ac:dyDescent="0.2">
      <c r="C201" s="4"/>
      <c r="D201" s="4"/>
      <c r="E201" s="4"/>
    </row>
    <row r="202" spans="1:14" ht="13.5" customHeight="1" x14ac:dyDescent="0.2">
      <c r="C202" s="1"/>
      <c r="D202" s="4"/>
      <c r="E202" s="4"/>
    </row>
    <row r="203" spans="1:14" ht="20.100000000000001" customHeight="1" x14ac:dyDescent="0.2">
      <c r="C203" s="4"/>
      <c r="D203" s="4"/>
      <c r="E203" s="4"/>
    </row>
    <row r="204" spans="1:14" x14ac:dyDescent="0.2">
      <c r="C204" s="4"/>
      <c r="D204" s="4"/>
      <c r="E204" s="4"/>
    </row>
    <row r="205" spans="1:14" ht="2.1" customHeight="1" x14ac:dyDescent="0.2">
      <c r="A205" s="2"/>
      <c r="B205" s="2"/>
    </row>
    <row r="206" spans="1:14" x14ac:dyDescent="0.2">
      <c r="B206" s="414"/>
      <c r="C206" s="414"/>
      <c r="D206" s="414"/>
      <c r="L206" s="27"/>
      <c r="N206" s="26"/>
    </row>
    <row r="207" spans="1:14" ht="2.1" customHeight="1" x14ac:dyDescent="0.2">
      <c r="A207" s="2"/>
      <c r="L207" s="7"/>
    </row>
    <row r="208" spans="1:14" x14ac:dyDescent="0.2">
      <c r="B208" s="414"/>
      <c r="C208" s="414"/>
      <c r="D208" s="414"/>
      <c r="L208" s="27"/>
      <c r="N208" s="26"/>
    </row>
    <row r="209" spans="1:16" ht="296.10000000000002" customHeight="1" x14ac:dyDescent="0.2"/>
    <row r="210" spans="1:16" s="39" customFormat="1" ht="140.44999999999999" customHeight="1" x14ac:dyDescent="0.2">
      <c r="A210" s="2" t="s">
        <v>542</v>
      </c>
      <c r="B210" s="34"/>
      <c r="C210" s="35"/>
      <c r="D210" s="35"/>
      <c r="E210" s="35"/>
      <c r="F210" s="34"/>
      <c r="G210" s="34"/>
      <c r="H210" s="36"/>
      <c r="I210" s="34"/>
      <c r="J210" s="34"/>
      <c r="K210" s="34"/>
      <c r="L210" s="34"/>
      <c r="M210" s="34"/>
      <c r="N210" s="34"/>
    </row>
    <row r="211" spans="1:16" s="39" customFormat="1" ht="1.5" customHeight="1" x14ac:dyDescent="0.2">
      <c r="A211" s="34"/>
      <c r="B211" s="34"/>
      <c r="C211" s="35"/>
      <c r="D211" s="35"/>
      <c r="E211" s="35"/>
      <c r="F211" s="34"/>
      <c r="G211" s="34"/>
      <c r="H211" s="36"/>
      <c r="I211" s="34"/>
      <c r="J211" s="34"/>
      <c r="K211" s="34"/>
      <c r="L211" s="34"/>
      <c r="M211" s="34"/>
      <c r="N211" s="34"/>
    </row>
    <row r="212" spans="1:16" s="39" customFormat="1" ht="70.5" customHeight="1" x14ac:dyDescent="0.2">
      <c r="A212" s="52"/>
      <c r="B212" s="404"/>
      <c r="C212" s="404"/>
      <c r="D212" s="404"/>
      <c r="E212" s="404"/>
      <c r="F212" s="404"/>
      <c r="G212" s="404"/>
      <c r="H212" s="404"/>
      <c r="I212" s="404"/>
      <c r="J212" s="404"/>
      <c r="K212" s="404"/>
      <c r="L212" s="404"/>
      <c r="M212" s="404"/>
      <c r="N212" s="404"/>
      <c r="O212" s="52"/>
      <c r="P212" s="52"/>
    </row>
    <row r="213" spans="1:16" s="34" customFormat="1" ht="20.100000000000001" customHeight="1" x14ac:dyDescent="0.2">
      <c r="C213" s="35"/>
      <c r="D213" s="35"/>
      <c r="E213" s="35"/>
      <c r="H213" s="36"/>
    </row>
    <row r="214" spans="1:16" x14ac:dyDescent="0.2">
      <c r="A214" s="2" t="s">
        <v>38</v>
      </c>
      <c r="D214" s="34" t="b">
        <f>ISTEXT(B212)</f>
        <v>0</v>
      </c>
    </row>
    <row r="215" spans="1:16" ht="1.5" customHeight="1" x14ac:dyDescent="0.2">
      <c r="A215" s="2"/>
    </row>
    <row r="216" spans="1:16" ht="14.25" x14ac:dyDescent="0.2">
      <c r="A216" s="2"/>
      <c r="B216" s="3" t="s">
        <v>448</v>
      </c>
      <c r="D216" s="69" t="str">
        <f>IF(OR(COUNTIF(H15:H31,"x")=0,F33="x"),"erfüllt","nicht erfüllt")</f>
        <v>nicht erfüllt</v>
      </c>
      <c r="F216" s="12" t="str">
        <f>F33</f>
        <v>-</v>
      </c>
      <c r="H216" s="3" t="s">
        <v>451</v>
      </c>
    </row>
    <row r="217" spans="1:16" ht="1.5" customHeight="1" x14ac:dyDescent="0.2">
      <c r="A217" s="2"/>
    </row>
    <row r="218" spans="1:16" ht="14.25" x14ac:dyDescent="0.2">
      <c r="B218" s="3" t="s">
        <v>251</v>
      </c>
      <c r="D218" s="69" t="str">
        <f>IF(OR(COUNTIF(H43:H200,"x")=0,COUNTIF(F218,"x")&gt;0),"erfüllt", "nicht erfüllt")</f>
        <v>nicht erfüllt</v>
      </c>
      <c r="F218" s="30" t="s">
        <v>43</v>
      </c>
      <c r="H218" s="3" t="s">
        <v>449</v>
      </c>
    </row>
    <row r="219" spans="1:16" ht="1.5" customHeight="1" x14ac:dyDescent="0.2">
      <c r="D219" s="87"/>
    </row>
    <row r="221" spans="1:16" ht="13.5" customHeight="1" x14ac:dyDescent="0.2">
      <c r="A221" s="34"/>
      <c r="B221" s="3" t="s">
        <v>39</v>
      </c>
      <c r="D221" s="3" t="str">
        <f>IF(ISTEXT(Name_Kontr),Name_Kontr,"")</f>
        <v/>
      </c>
      <c r="F221" s="328" t="str">
        <f>IF(AND(NOT(D214),COUNTIF(F216:F218,"x")&gt;0),"Begründung und Empfehlung des weiteren Vorgehens erforderlich.","")</f>
        <v/>
      </c>
      <c r="G221" s="328"/>
      <c r="H221" s="328"/>
      <c r="I221" s="328"/>
      <c r="J221" s="328"/>
      <c r="K221" s="328"/>
      <c r="L221" s="328"/>
      <c r="M221" s="328"/>
      <c r="N221" s="328"/>
    </row>
    <row r="222" spans="1:16" ht="2.1" customHeight="1" x14ac:dyDescent="0.2">
      <c r="A222" s="34" t="s">
        <v>42</v>
      </c>
      <c r="F222" s="328"/>
      <c r="G222" s="328"/>
      <c r="H222" s="328"/>
      <c r="I222" s="328"/>
      <c r="J222" s="328"/>
      <c r="K222" s="328"/>
      <c r="L222" s="328"/>
      <c r="M222" s="328"/>
      <c r="N222" s="328"/>
    </row>
    <row r="223" spans="1:16" x14ac:dyDescent="0.2">
      <c r="A223" s="34" t="s">
        <v>43</v>
      </c>
      <c r="B223" s="3" t="s">
        <v>40</v>
      </c>
      <c r="D223" s="47">
        <f ca="1">Datum</f>
        <v>45866</v>
      </c>
      <c r="F223" s="328"/>
      <c r="G223" s="328"/>
      <c r="H223" s="328"/>
      <c r="I223" s="328"/>
      <c r="J223" s="328"/>
      <c r="K223" s="328"/>
      <c r="L223" s="328"/>
      <c r="M223" s="328"/>
      <c r="N223" s="328"/>
    </row>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spans="1:21" hidden="1" x14ac:dyDescent="0.2">
      <c r="A241" s="3" t="s">
        <v>596</v>
      </c>
      <c r="P241" s="3" t="s">
        <v>641</v>
      </c>
    </row>
    <row r="242" spans="1:21" hidden="1" x14ac:dyDescent="0.2"/>
    <row r="243" spans="1:21" hidden="1" x14ac:dyDescent="0.2">
      <c r="A243" s="3" t="s">
        <v>597</v>
      </c>
      <c r="P243" s="3">
        <v>1000</v>
      </c>
      <c r="Q243" s="3">
        <v>3</v>
      </c>
    </row>
    <row r="244" spans="1:21" hidden="1" x14ac:dyDescent="0.2">
      <c r="A244" s="3" t="s">
        <v>598</v>
      </c>
      <c r="P244" s="3">
        <v>2000</v>
      </c>
      <c r="Q244" s="3">
        <v>4</v>
      </c>
    </row>
    <row r="245" spans="1:21" hidden="1" x14ac:dyDescent="0.2">
      <c r="A245" s="3" t="s">
        <v>599</v>
      </c>
      <c r="P245" s="3">
        <v>4000</v>
      </c>
      <c r="Q245" s="3">
        <v>5</v>
      </c>
    </row>
    <row r="246" spans="1:21" hidden="1" x14ac:dyDescent="0.2">
      <c r="A246" s="3" t="s">
        <v>600</v>
      </c>
      <c r="P246" s="3">
        <v>10000</v>
      </c>
      <c r="Q246" s="3">
        <v>6</v>
      </c>
    </row>
    <row r="247" spans="1:21" hidden="1" x14ac:dyDescent="0.2">
      <c r="A247" s="3" t="s">
        <v>601</v>
      </c>
      <c r="P247" s="3">
        <v>10000</v>
      </c>
      <c r="Q247" s="3">
        <v>7</v>
      </c>
    </row>
    <row r="248" spans="1:21" hidden="1" x14ac:dyDescent="0.2">
      <c r="A248" s="3" t="s">
        <v>602</v>
      </c>
    </row>
    <row r="249" spans="1:21" hidden="1" x14ac:dyDescent="0.2">
      <c r="A249" s="3" t="s">
        <v>603</v>
      </c>
    </row>
    <row r="250" spans="1:21" hidden="1" x14ac:dyDescent="0.2">
      <c r="A250" s="3" t="s">
        <v>604</v>
      </c>
    </row>
    <row r="251" spans="1:21" hidden="1" x14ac:dyDescent="0.2">
      <c r="A251" s="3" t="s">
        <v>605</v>
      </c>
    </row>
    <row r="252" spans="1:21" hidden="1" x14ac:dyDescent="0.2">
      <c r="A252" s="3" t="s">
        <v>606</v>
      </c>
    </row>
    <row r="253" spans="1:21" hidden="1" x14ac:dyDescent="0.2">
      <c r="P253" s="2" t="s">
        <v>645</v>
      </c>
      <c r="T253" s="3" t="s">
        <v>646</v>
      </c>
      <c r="U253" s="3" t="s">
        <v>647</v>
      </c>
    </row>
    <row r="254" spans="1:21" hidden="1" x14ac:dyDescent="0.2">
      <c r="P254" s="3" t="s">
        <v>597</v>
      </c>
      <c r="T254" s="3">
        <v>0.14000000000000001</v>
      </c>
      <c r="U254" s="3" t="s">
        <v>43</v>
      </c>
    </row>
    <row r="255" spans="1:21" hidden="1" x14ac:dyDescent="0.2">
      <c r="A255" s="3" t="s">
        <v>607</v>
      </c>
      <c r="P255" s="3" t="s">
        <v>598</v>
      </c>
      <c r="T255" s="3">
        <v>0.14000000000000001</v>
      </c>
      <c r="U255" s="3" t="s">
        <v>43</v>
      </c>
    </row>
    <row r="256" spans="1:21" hidden="1" x14ac:dyDescent="0.2">
      <c r="P256" s="3" t="s">
        <v>599</v>
      </c>
      <c r="T256" s="3" t="s">
        <v>43</v>
      </c>
      <c r="U256" s="3">
        <v>0.14000000000000001</v>
      </c>
    </row>
    <row r="257" spans="1:21" hidden="1" x14ac:dyDescent="0.2">
      <c r="A257" s="3" t="s">
        <v>609</v>
      </c>
      <c r="P257" s="3" t="s">
        <v>600</v>
      </c>
      <c r="T257" s="3" t="s">
        <v>43</v>
      </c>
      <c r="U257" s="3">
        <v>0.14000000000000001</v>
      </c>
    </row>
    <row r="258" spans="1:21" hidden="1" x14ac:dyDescent="0.2">
      <c r="A258" s="3" t="s">
        <v>608</v>
      </c>
      <c r="P258" s="3" t="s">
        <v>601</v>
      </c>
      <c r="T258" s="3">
        <v>0.14000000000000001</v>
      </c>
      <c r="U258" s="3">
        <v>0.14000000000000001</v>
      </c>
    </row>
    <row r="259" spans="1:21" hidden="1" x14ac:dyDescent="0.2">
      <c r="P259" s="3" t="s">
        <v>602</v>
      </c>
      <c r="T259" s="3">
        <v>0.2</v>
      </c>
      <c r="U259" s="3">
        <v>0.14000000000000001</v>
      </c>
    </row>
    <row r="260" spans="1:21" hidden="1" x14ac:dyDescent="0.2">
      <c r="A260" s="3" t="s">
        <v>614</v>
      </c>
      <c r="P260" s="3" t="s">
        <v>603</v>
      </c>
      <c r="T260" s="3">
        <v>0.2</v>
      </c>
      <c r="U260" s="3">
        <v>0.14000000000000001</v>
      </c>
    </row>
    <row r="261" spans="1:21" hidden="1" x14ac:dyDescent="0.2">
      <c r="P261" s="3" t="s">
        <v>604</v>
      </c>
      <c r="T261" s="3">
        <v>0.35</v>
      </c>
      <c r="U261" s="3">
        <v>0.2</v>
      </c>
    </row>
    <row r="262" spans="1:21" hidden="1" x14ac:dyDescent="0.2">
      <c r="A262" s="3" t="s">
        <v>609</v>
      </c>
      <c r="P262" s="3" t="s">
        <v>605</v>
      </c>
      <c r="T262" s="3">
        <v>0.35</v>
      </c>
      <c r="U262" s="3">
        <v>0.2</v>
      </c>
    </row>
    <row r="263" spans="1:21" hidden="1" x14ac:dyDescent="0.2">
      <c r="A263" s="3" t="s">
        <v>615</v>
      </c>
      <c r="P263" s="3" t="s">
        <v>606</v>
      </c>
      <c r="T263" s="3">
        <v>0.35</v>
      </c>
      <c r="U263" s="3">
        <v>0.2</v>
      </c>
    </row>
    <row r="264" spans="1:21" hidden="1" x14ac:dyDescent="0.2">
      <c r="A264" s="3" t="s">
        <v>616</v>
      </c>
    </row>
    <row r="265" spans="1:21" hidden="1" x14ac:dyDescent="0.2">
      <c r="A265" s="38"/>
    </row>
    <row r="266" spans="1:21" hidden="1" x14ac:dyDescent="0.2">
      <c r="A266" s="38" t="s">
        <v>618</v>
      </c>
    </row>
    <row r="267" spans="1:21" hidden="1" x14ac:dyDescent="0.2">
      <c r="A267" s="34"/>
    </row>
    <row r="268" spans="1:21" hidden="1" x14ac:dyDescent="0.2">
      <c r="A268" s="3" t="s">
        <v>619</v>
      </c>
      <c r="P268" s="3" t="s">
        <v>668</v>
      </c>
    </row>
    <row r="269" spans="1:21" hidden="1" x14ac:dyDescent="0.2">
      <c r="A269" s="3" t="s">
        <v>620</v>
      </c>
    </row>
    <row r="270" spans="1:21" hidden="1" x14ac:dyDescent="0.2">
      <c r="A270" s="3" t="s">
        <v>621</v>
      </c>
      <c r="P270" s="3" t="s">
        <v>669</v>
      </c>
    </row>
    <row r="271" spans="1:21" hidden="1" x14ac:dyDescent="0.2">
      <c r="A271" s="3" t="s">
        <v>622</v>
      </c>
      <c r="P271" s="3" t="s">
        <v>670</v>
      </c>
    </row>
    <row r="272" spans="1:21" hidden="1" x14ac:dyDescent="0.2">
      <c r="A272" s="3" t="s">
        <v>623</v>
      </c>
    </row>
    <row r="273" spans="1:1" hidden="1" x14ac:dyDescent="0.2">
      <c r="A273" s="3" t="s">
        <v>624</v>
      </c>
    </row>
    <row r="274" spans="1:1" hidden="1" x14ac:dyDescent="0.2"/>
    <row r="275" spans="1:1" hidden="1" x14ac:dyDescent="0.2">
      <c r="A275" s="3" t="s">
        <v>691</v>
      </c>
    </row>
    <row r="276" spans="1:1" hidden="1" x14ac:dyDescent="0.2"/>
    <row r="277" spans="1:1" hidden="1" x14ac:dyDescent="0.2">
      <c r="A277" s="3" t="s">
        <v>688</v>
      </c>
    </row>
    <row r="278" spans="1:1" hidden="1" x14ac:dyDescent="0.2">
      <c r="A278" s="3" t="s">
        <v>626</v>
      </c>
    </row>
    <row r="279" spans="1:1" hidden="1" x14ac:dyDescent="0.2">
      <c r="A279" s="3" t="s">
        <v>630</v>
      </c>
    </row>
    <row r="280" spans="1:1" hidden="1" x14ac:dyDescent="0.2">
      <c r="A280" s="3" t="s">
        <v>632</v>
      </c>
    </row>
    <row r="281" spans="1:1" hidden="1" x14ac:dyDescent="0.2">
      <c r="A281" s="38" t="s">
        <v>633</v>
      </c>
    </row>
    <row r="282" spans="1:1" hidden="1" x14ac:dyDescent="0.2">
      <c r="A282" s="3" t="s">
        <v>627</v>
      </c>
    </row>
    <row r="283" spans="1:1" hidden="1" x14ac:dyDescent="0.2">
      <c r="A283" s="38" t="s">
        <v>629</v>
      </c>
    </row>
    <row r="284" spans="1:1" hidden="1" x14ac:dyDescent="0.2">
      <c r="A284" s="38" t="s">
        <v>631</v>
      </c>
    </row>
    <row r="285" spans="1:1" hidden="1" x14ac:dyDescent="0.2">
      <c r="A285" s="38" t="s">
        <v>634</v>
      </c>
    </row>
    <row r="286" spans="1:1" hidden="1" x14ac:dyDescent="0.2">
      <c r="A286" s="38" t="s">
        <v>699</v>
      </c>
    </row>
    <row r="287" spans="1:1" hidden="1" x14ac:dyDescent="0.2">
      <c r="A287" s="38"/>
    </row>
    <row r="288" spans="1:1" hidden="1" x14ac:dyDescent="0.2">
      <c r="A288" s="38" t="s">
        <v>636</v>
      </c>
    </row>
    <row r="289" spans="1:2" hidden="1" x14ac:dyDescent="0.2"/>
    <row r="290" spans="1:2" hidden="1" x14ac:dyDescent="0.2">
      <c r="A290" s="3" t="s">
        <v>637</v>
      </c>
    </row>
    <row r="291" spans="1:2" hidden="1" x14ac:dyDescent="0.2">
      <c r="A291" s="3" t="s">
        <v>638</v>
      </c>
    </row>
    <row r="292" spans="1:2" hidden="1" x14ac:dyDescent="0.2"/>
    <row r="293" spans="1:2" hidden="1" x14ac:dyDescent="0.2"/>
    <row r="294" spans="1:2" hidden="1" x14ac:dyDescent="0.2">
      <c r="A294" s="3" t="s">
        <v>607</v>
      </c>
    </row>
    <row r="295" spans="1:2" hidden="1" x14ac:dyDescent="0.2"/>
    <row r="296" spans="1:2" hidden="1" x14ac:dyDescent="0.2">
      <c r="A296" s="3" t="s">
        <v>644</v>
      </c>
      <c r="B296" s="136"/>
    </row>
    <row r="297" spans="1:2" hidden="1" x14ac:dyDescent="0.2">
      <c r="A297" s="3" t="s">
        <v>698</v>
      </c>
    </row>
    <row r="298" spans="1:2" hidden="1" x14ac:dyDescent="0.2">
      <c r="A298" s="3" t="s">
        <v>643</v>
      </c>
    </row>
    <row r="299" spans="1:2" hidden="1" x14ac:dyDescent="0.2">
      <c r="A299" s="3" t="s">
        <v>642</v>
      </c>
    </row>
    <row r="300" spans="1:2" hidden="1" x14ac:dyDescent="0.2"/>
    <row r="301" spans="1:2" hidden="1" x14ac:dyDescent="0.2"/>
    <row r="302" spans="1:2" hidden="1" x14ac:dyDescent="0.2">
      <c r="A302" s="3" t="s">
        <v>649</v>
      </c>
    </row>
    <row r="303" spans="1:2" hidden="1" x14ac:dyDescent="0.2"/>
    <row r="304" spans="1:2" hidden="1" x14ac:dyDescent="0.2">
      <c r="A304" s="3" t="s">
        <v>650</v>
      </c>
    </row>
    <row r="305" spans="1:1" hidden="1" x14ac:dyDescent="0.2">
      <c r="A305" s="3" t="s">
        <v>651</v>
      </c>
    </row>
    <row r="306" spans="1:1" hidden="1" x14ac:dyDescent="0.2">
      <c r="A306" s="3" t="s">
        <v>653</v>
      </c>
    </row>
    <row r="307" spans="1:1" hidden="1" x14ac:dyDescent="0.2">
      <c r="A307" s="3" t="s">
        <v>654</v>
      </c>
    </row>
    <row r="308" spans="1:1" hidden="1" x14ac:dyDescent="0.2">
      <c r="A308" s="3" t="s">
        <v>655</v>
      </c>
    </row>
    <row r="309" spans="1:1" hidden="1" x14ac:dyDescent="0.2"/>
    <row r="310" spans="1:1" hidden="1" x14ac:dyDescent="0.2">
      <c r="A310" s="3" t="s">
        <v>678</v>
      </c>
    </row>
    <row r="311" spans="1:1" hidden="1" x14ac:dyDescent="0.2"/>
    <row r="312" spans="1:1" hidden="1" x14ac:dyDescent="0.2">
      <c r="A312" s="3" t="s">
        <v>675</v>
      </c>
    </row>
    <row r="313" spans="1:1" hidden="1" x14ac:dyDescent="0.2">
      <c r="A313" s="3" t="s">
        <v>676</v>
      </c>
    </row>
    <row r="314" spans="1:1" hidden="1" x14ac:dyDescent="0.2">
      <c r="A314" s="3" t="s">
        <v>677</v>
      </c>
    </row>
    <row r="315" spans="1:1" hidden="1" x14ac:dyDescent="0.2">
      <c r="A315" s="3" t="s">
        <v>679</v>
      </c>
    </row>
    <row r="316" spans="1:1" hidden="1" x14ac:dyDescent="0.2"/>
    <row r="317" spans="1:1" hidden="1" x14ac:dyDescent="0.2"/>
    <row r="318" spans="1:1" hidden="1" x14ac:dyDescent="0.2"/>
    <row r="319" spans="1:1" hidden="1" x14ac:dyDescent="0.2"/>
    <row r="320" spans="1:1"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sheetData>
  <sheetProtection algorithmName="SHA-512" hashValue="+apUbiAqPm6vf4cxDn8hKdxEASlZO2ZpadQSr/+Kh413Y+rYpd0zT68+ne8RJI5fDHDXUg7u1UMh73BF1CHZfA==" saltValue="iyW0Mx+usQa2HthS83RGbg==" spinCount="100000" sheet="1" formatRows="0"/>
  <mergeCells count="24">
    <mergeCell ref="C52:I52"/>
    <mergeCell ref="C87:D89"/>
    <mergeCell ref="B36:N36"/>
    <mergeCell ref="C78:D78"/>
    <mergeCell ref="C79:J79"/>
    <mergeCell ref="L57:M57"/>
    <mergeCell ref="B56:G56"/>
    <mergeCell ref="H56:M56"/>
    <mergeCell ref="B168:D168"/>
    <mergeCell ref="F221:N223"/>
    <mergeCell ref="D5:M5"/>
    <mergeCell ref="D7:M7"/>
    <mergeCell ref="D11:M11"/>
    <mergeCell ref="B206:D206"/>
    <mergeCell ref="B208:D208"/>
    <mergeCell ref="C47:D47"/>
    <mergeCell ref="C126:D126"/>
    <mergeCell ref="C139:D139"/>
    <mergeCell ref="B212:N212"/>
    <mergeCell ref="C98:D98"/>
    <mergeCell ref="C100:D100"/>
    <mergeCell ref="C107:D107"/>
    <mergeCell ref="B19:N19"/>
    <mergeCell ref="B133:D133"/>
  </mergeCells>
  <phoneticPr fontId="7" type="noConversion"/>
  <conditionalFormatting sqref="D61 D68 D72">
    <cfRule type="expression" dxfId="108" priority="6">
      <formula>$C$47="Anlageart/-typ wählen"</formula>
    </cfRule>
  </conditionalFormatting>
  <conditionalFormatting sqref="D170">
    <cfRule type="expression" dxfId="107" priority="20">
      <formula>$C$98="&lt; 1000 h"</formula>
    </cfRule>
  </conditionalFormatting>
  <conditionalFormatting sqref="D172">
    <cfRule type="expression" dxfId="106" priority="19">
      <formula>$C$98="&lt; 1000 h"</formula>
    </cfRule>
  </conditionalFormatting>
  <conditionalFormatting sqref="D174">
    <cfRule type="expression" dxfId="105" priority="18">
      <formula>$C$98="&lt; 1000 h"</formula>
    </cfRule>
  </conditionalFormatting>
  <conditionalFormatting sqref="D176">
    <cfRule type="expression" dxfId="104" priority="17">
      <formula>$C$98="&lt; 1000 h"</formula>
    </cfRule>
  </conditionalFormatting>
  <conditionalFormatting sqref="D182">
    <cfRule type="expression" dxfId="103" priority="15">
      <formula>$C$98="&lt; 1000 h"</formula>
    </cfRule>
  </conditionalFormatting>
  <conditionalFormatting sqref="D184">
    <cfRule type="expression" dxfId="102" priority="13">
      <formula>$C$98="&lt; 1000 h"</formula>
    </cfRule>
  </conditionalFormatting>
  <conditionalFormatting sqref="D186">
    <cfRule type="expression" dxfId="101" priority="12">
      <formula>$C$98="&lt; 1000 h"</formula>
    </cfRule>
  </conditionalFormatting>
  <conditionalFormatting sqref="D188">
    <cfRule type="expression" dxfId="100" priority="11">
      <formula>$C$98="&lt; 1000 h"</formula>
    </cfRule>
  </conditionalFormatting>
  <conditionalFormatting sqref="D216">
    <cfRule type="beginsWith" dxfId="99" priority="30" operator="beginsWith" text="erfüllt">
      <formula>LEFT(D216,LEN("erfüllt"))="erfüllt"</formula>
    </cfRule>
    <cfRule type="containsText" dxfId="98" priority="31" operator="containsText" text="nicht erfüllt">
      <formula>NOT(ISERROR(SEARCH("nicht erfüllt",D216)))</formula>
    </cfRule>
    <cfRule type="containsText" dxfId="97" priority="341" operator="containsText" text="nicht">
      <formula>NOT(ISERROR(SEARCH("nicht",#REF!)))</formula>
    </cfRule>
  </conditionalFormatting>
  <conditionalFormatting sqref="D218:D219">
    <cfRule type="beginsWith" dxfId="96" priority="32" operator="beginsWith" text="erfüllt">
      <formula>LEFT(D218,LEN("erfüllt"))="erfüllt"</formula>
    </cfRule>
    <cfRule type="containsText" dxfId="95" priority="33" operator="containsText" text="nicht erfüllt">
      <formula>NOT(ISERROR(SEARCH("nicht erfüllt",D218)))</formula>
    </cfRule>
    <cfRule type="containsText" dxfId="94" priority="34" operator="containsText" text="nicht">
      <formula>NOT(ISERROR(SEARCH("nicht",B206)))</formula>
    </cfRule>
  </conditionalFormatting>
  <conditionalFormatting sqref="G182">
    <cfRule type="expression" dxfId="93" priority="10">
      <formula>$D$70="Nein"</formula>
    </cfRule>
  </conditionalFormatting>
  <conditionalFormatting sqref="H15:H17">
    <cfRule type="cellIs" dxfId="92" priority="2" operator="equal">
      <formula>"x"</formula>
    </cfRule>
  </conditionalFormatting>
  <conditionalFormatting sqref="H21:H31">
    <cfRule type="cellIs" dxfId="91" priority="3" operator="equal">
      <formula>"x"</formula>
    </cfRule>
  </conditionalFormatting>
  <conditionalFormatting sqref="H43 H47 H51 H55 H59 H63 H66 H70 H78 H85 H89 H96 H105 H111 H124 H134 H136 H139 H147 H149 H151 H153:H154 H159 H161 H163 H182 H184 H186 H188 H192 H196 H198 H200">
    <cfRule type="cellIs" dxfId="90" priority="1" operator="equal">
      <formula>"x"</formula>
    </cfRule>
  </conditionalFormatting>
  <dataValidations count="11">
    <dataValidation type="list" allowBlank="1" showInputMessage="1" showErrorMessage="1" sqref="F30 F26 F24 F32 F28" xr:uid="{00000000-0002-0000-0800-000000000000}">
      <formula1>$A$265:$A$266</formula1>
    </dataValidation>
    <dataValidation type="list" allowBlank="1" showInputMessage="1" showErrorMessage="1" sqref="C47:D48" xr:uid="{D75613A0-EB98-492C-8C70-9664831B4575}">
      <formula1>$A$241:$A$252</formula1>
    </dataValidation>
    <dataValidation type="list" allowBlank="1" showInputMessage="1" showErrorMessage="1" sqref="D70 D51:D52" xr:uid="{3FC71063-E9C7-4DDF-9407-9F6A1121854C}">
      <formula1>$A$255:$A$258</formula1>
    </dataValidation>
    <dataValidation type="list" allowBlank="1" showInputMessage="1" showErrorMessage="1" sqref="D66:D67" xr:uid="{DB73AAE5-F286-4BAD-858D-9D48F1F1300B}">
      <formula1>$A$260:$A$264</formula1>
    </dataValidation>
    <dataValidation type="list" allowBlank="1" showInputMessage="1" showErrorMessage="1" sqref="J91 J26 J24 L206 L208 J62 F126:F129" xr:uid="{00000000-0002-0000-0800-000001000000}">
      <formula1>$A$283:$A$284</formula1>
    </dataValidation>
    <dataValidation type="list" allowBlank="1" showInputMessage="1" showErrorMessage="1" sqref="C91:D91" xr:uid="{6EBA2DAF-8913-4EC6-BB31-59DA66AD8262}">
      <formula1>$A$275:$A$285</formula1>
    </dataValidation>
    <dataValidation type="list" allowBlank="1" showInputMessage="1" showErrorMessage="1" sqref="D110 C101 C98:C99 D103:D104 D106 D108" xr:uid="{1028A58E-9F30-4804-8E5C-A0999D318957}">
      <formula1>$A$288:$A$291</formula1>
    </dataValidation>
    <dataValidation type="list" allowBlank="1" showInputMessage="1" showErrorMessage="1" sqref="C126:D126" xr:uid="{00279686-0A63-401A-A642-D238B4539E3A}">
      <formula1>$A$294:$A$299</formula1>
    </dataValidation>
    <dataValidation type="list" allowBlank="1" showInputMessage="1" showErrorMessage="1" sqref="C139:D139" xr:uid="{990FF1E9-E983-4AC6-939D-4B043DD4E04F}">
      <formula1>$A$302:$A$308</formula1>
    </dataValidation>
    <dataValidation type="list" allowBlank="1" showInputMessage="1" showErrorMessage="1" sqref="D196" xr:uid="{03FFBC99-1AEF-4DED-9B94-2CB705739E6F}">
      <formula1>$A$310:$A$315</formula1>
    </dataValidation>
    <dataValidation type="list" allowBlank="1" showInputMessage="1" showErrorMessage="1" sqref="C78:D78" xr:uid="{21A9EF0E-4253-47EB-BBD4-B3B5D0E13FD5}">
      <formula1>$A$275:$A$286</formula1>
    </dataValidation>
  </dataValidations>
  <hyperlinks>
    <hyperlink ref="N1" r:id="rId1" xr:uid="{EB4550E1-210A-4B19-A936-52F20025B126}"/>
    <hyperlink ref="B49" location="Hilfsdokumentation!A1" display="$" xr:uid="{9BDC7828-0F0F-4F12-88CB-73A238ACD571}"/>
    <hyperlink ref="B53" location="Hilfsdokumentation!A35" display="$" xr:uid="{5FA1DAE8-C840-4808-932D-57C674997FEC}"/>
    <hyperlink ref="B57" location="Hilfsdokumentation!A50" display="$" xr:uid="{85521B16-4869-46A9-99A5-EEC7ED278244}"/>
    <hyperlink ref="B61" location="'EN-101a'!D24" display="$" xr:uid="{F52E532A-025A-4536-AEC8-5D403FA7873D}"/>
    <hyperlink ref="B68" location="Hilfsdokumentation!A5" display="§" xr:uid="{B75E919E-F357-44F9-93AA-E7E3CD2586ED}"/>
    <hyperlink ref="B79" r:id="rId2" display="$" xr:uid="{0FA1E69D-3074-4822-B444-5407FB8FAC9E}"/>
    <hyperlink ref="B72" location="Hilfsdokumentation!A5" display="§" xr:uid="{D7B77559-AF96-44E1-B5C9-FF2F46FA5387}"/>
    <hyperlink ref="B116" location="'EN-105'!D52" display="§" xr:uid="{BF1510A9-0810-4F7C-BCE0-8ABFAFE40CE1}"/>
    <hyperlink ref="B118" location="Hilfsdokumentation!A73" display="§" xr:uid="{DDE923F6-A0EC-46AC-B328-6188DCF51E8D}"/>
    <hyperlink ref="B109" location="Hilfsdokumentation!A84" display="§" xr:uid="{6580B3CC-6DD6-4F6C-A7A0-4319EB50A83E}"/>
    <hyperlink ref="D122" r:id="rId3" display="Rohrquerschnittsrechner" xr:uid="{2B53D8DA-2A2C-4DF3-9457-46E87659FF39}"/>
    <hyperlink ref="A170:A176" location="'EN-Kt.'!T15" display="§" xr:uid="{2E764A3E-0644-4F40-86CD-555135EC029B}"/>
    <hyperlink ref="A180" location="Hilfsdokumentation!A130" display="§" xr:uid="{CE0D649D-2BE0-466F-9E05-49701768B746}"/>
    <hyperlink ref="B196" location="Hilfsdokumentation!A171" display="§" xr:uid="{39A8DA57-724C-4484-8191-2BA4972893B2}"/>
    <hyperlink ref="B198" location="Hilfsdokumentation!A180" display="§" xr:uid="{E70C8E88-39DA-4385-AF65-6163B08AC9B8}"/>
    <hyperlink ref="N2" location="'EN-Kt.'!A1" display="Zurück zm EN-Kt. " xr:uid="{987B4A1B-701D-4F5C-B941-C581360F365A}"/>
  </hyperlinks>
  <pageMargins left="0.59055118110236227" right="0.59055118110236227" top="1.1417322834645669" bottom="1.1417322834645669" header="0.31496062992125984" footer="0.31496062992125984"/>
  <pageSetup paperSize="9" scale="67" fitToHeight="0" orientation="portrait" r:id="rId4"/>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5"/>
  <legacyDrawing r:id="rId6"/>
  <legacyDrawingHF r:id="rId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2000000}">
          <x14:formula1>
            <xm:f>'EN-Kt.'!$A$207:$A$208</xm:f>
          </x14:formula1>
          <xm:sqref>J32 J151:J153 F45 F15 F43 F47:F48 F66:F67 F59:F60 F85 J55:J57 F33 F31 F96 F29 F70 F78 J17 F186 F25 J108:J109 F55:F56 J134 F136 F188 F139 F108:F111 F147 J60 F149 F163 F151:F153 J159 F159 J161 F161 F23 J163 F27 F182 F99 F184 F89:F91 F62:F63 F198 F192 J96 F196 F101:F106 F51:F52 J28 J30 F17 F21 F124 J136 F134 J63 F200 J147 J149 F218 F41 F74 F93 F131 F143 J143 J157 F157 F166</xm:sqref>
        </x14:dataValidation>
        <x14:dataValidation type="list" allowBlank="1" showInputMessage="1" showErrorMessage="1" xr:uid="{00000000-0002-0000-0800-000003000000}">
          <x14:formula1>
            <xm:f>'EN-Kt.'!$C$304:$C$307</xm:f>
          </x14:formula1>
          <xm:sqref>D9</xm:sqref>
        </x14:dataValidation>
        <x14:dataValidation type="list" allowBlank="1" showInputMessage="1" showErrorMessage="1" xr:uid="{0FB58351-8804-4A9B-88CB-FD2EF0FC3288}">
          <x14:formula1>
            <xm:f>'EN-102a Neubau'!$T$7:$T$8</xm:f>
          </x14:formula1>
          <xm:sqref>F158 J158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theme="0"/>
  </sheetPr>
  <dimension ref="A1:S108"/>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4.625" style="3" customWidth="1"/>
    <col min="15" max="15" width="10.875" style="3"/>
    <col min="16" max="19" width="0" style="3" hidden="1" customWidth="1"/>
    <col min="20" max="16384" width="10.875" style="3"/>
  </cols>
  <sheetData>
    <row r="1" spans="1:16" s="22" customFormat="1" ht="18" x14ac:dyDescent="0.25">
      <c r="A1" s="6" t="s">
        <v>333</v>
      </c>
      <c r="B1" s="6"/>
      <c r="N1" s="117" t="s">
        <v>503</v>
      </c>
      <c r="P1" s="23"/>
    </row>
    <row r="2" spans="1:16" s="22" customFormat="1" ht="18" x14ac:dyDescent="0.25">
      <c r="A2" s="6" t="s">
        <v>334</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218"/>
      <c r="F9" s="218"/>
      <c r="G9" s="218"/>
      <c r="H9" s="218"/>
      <c r="I9" s="218"/>
      <c r="J9" s="218"/>
      <c r="K9" s="218"/>
      <c r="L9" s="218"/>
      <c r="M9" s="218"/>
      <c r="N9" s="21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7"/>
      <c r="H18" s="7"/>
      <c r="J18" s="7"/>
      <c r="L18" s="7"/>
    </row>
    <row r="19" spans="1:19" x14ac:dyDescent="0.2">
      <c r="B19" s="37"/>
      <c r="C19" s="13"/>
      <c r="D19" s="13"/>
      <c r="F19" s="30" t="s">
        <v>43</v>
      </c>
      <c r="H19" s="12" t="str">
        <f>IF(J19="x","-",IF(F19="x","-","x"))</f>
        <v>x</v>
      </c>
      <c r="J19" s="30" t="s">
        <v>43</v>
      </c>
      <c r="L19" s="7"/>
      <c r="N19" s="25"/>
      <c r="S19" s="3" t="str">
        <f>IF(OR(AND(C35="-", Q19=C155),OR(Q15="III – Verwaltung",Q17="III – Verwaltung")),"nicht zulässig", IF(AND(OR(E15="x",E17="x",E19="x"),Q19=""),"Angabe fehlt",""  ))</f>
        <v/>
      </c>
    </row>
    <row r="20" spans="1:19" ht="2.1" customHeight="1" x14ac:dyDescent="0.2">
      <c r="F20" s="7"/>
      <c r="H20" s="7"/>
      <c r="J20" s="7"/>
      <c r="L20" s="7"/>
    </row>
    <row r="21" spans="1:19" x14ac:dyDescent="0.2">
      <c r="B21" s="37"/>
      <c r="C21" s="13"/>
      <c r="D21" s="13"/>
      <c r="F21" s="30" t="s">
        <v>43</v>
      </c>
      <c r="H21" s="12" t="str">
        <f>IF(J21="x","-",IF(F21="x","-","x"))</f>
        <v>x</v>
      </c>
      <c r="J21" s="30" t="s">
        <v>43</v>
      </c>
      <c r="L21" s="7"/>
      <c r="N21" s="25"/>
    </row>
    <row r="22" spans="1:19" ht="12.75" customHeight="1" x14ac:dyDescent="0.2">
      <c r="F22" s="7"/>
      <c r="H22" s="7"/>
      <c r="J22" s="7"/>
      <c r="L22" s="7"/>
    </row>
    <row r="23" spans="1:19" ht="15.6" customHeight="1" x14ac:dyDescent="0.2">
      <c r="B23" s="3" t="s">
        <v>450</v>
      </c>
      <c r="F23" s="30" t="s">
        <v>43</v>
      </c>
      <c r="N23" s="328" t="str">
        <f>IF(Kanton="schwyz",S25,"")</f>
        <v/>
      </c>
      <c r="P23" s="3" t="s">
        <v>108</v>
      </c>
      <c r="Q23" s="3" t="s">
        <v>427</v>
      </c>
      <c r="R23" s="3" t="s">
        <v>753</v>
      </c>
      <c r="S23" s="3" t="s">
        <v>754</v>
      </c>
    </row>
    <row r="24" spans="1:19" ht="2.1" customHeight="1" x14ac:dyDescent="0.2">
      <c r="N24" s="328"/>
    </row>
    <row r="25" spans="1:19" x14ac:dyDescent="0.2">
      <c r="B25" s="38" t="str">
        <f>IF(F23="x","(Begründung im Feld 'Bemerkungen')","")</f>
        <v/>
      </c>
      <c r="N25" s="328"/>
      <c r="S25" s="3" t="s">
        <v>850</v>
      </c>
    </row>
    <row r="26" spans="1:19" ht="165.6" customHeight="1" x14ac:dyDescent="0.2">
      <c r="A26" s="2" t="s">
        <v>265</v>
      </c>
      <c r="B26" s="2"/>
      <c r="N26" s="328"/>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row>
    <row r="40" spans="1:14" x14ac:dyDescent="0.2">
      <c r="B40" s="37"/>
      <c r="C40" s="13"/>
      <c r="D40" s="13"/>
      <c r="E40" s="13"/>
      <c r="F40" s="13"/>
      <c r="G40" s="13"/>
      <c r="H40" s="13"/>
      <c r="I40" s="13"/>
      <c r="J40" s="13"/>
      <c r="K40" s="13"/>
      <c r="L40" s="13"/>
      <c r="M40" s="13"/>
      <c r="N40" s="13"/>
    </row>
    <row r="41" spans="1:14" ht="2.1" customHeight="1" x14ac:dyDescent="0.2">
      <c r="A41" s="2"/>
      <c r="B41" s="2"/>
    </row>
    <row r="42" spans="1:14" x14ac:dyDescent="0.2">
      <c r="B42" s="37"/>
      <c r="C42" s="13"/>
      <c r="D42" s="13"/>
      <c r="E42" s="13"/>
      <c r="F42" s="13"/>
      <c r="G42" s="13"/>
      <c r="H42" s="13"/>
      <c r="I42" s="13"/>
      <c r="J42" s="13"/>
      <c r="K42" s="13"/>
      <c r="L42" s="13"/>
      <c r="M42" s="13"/>
      <c r="N42" s="13"/>
    </row>
    <row r="43" spans="1:14" ht="2.1" customHeight="1" x14ac:dyDescent="0.2">
      <c r="A43" s="2"/>
      <c r="B43" s="2"/>
      <c r="F43" s="7"/>
      <c r="G43" s="7"/>
      <c r="H43" s="7"/>
      <c r="I43" s="7"/>
      <c r="J43" s="8"/>
      <c r="L43" s="8"/>
    </row>
    <row r="44" spans="1:14" x14ac:dyDescent="0.2">
      <c r="B44" s="3" t="s">
        <v>265</v>
      </c>
      <c r="F44" s="30" t="s">
        <v>43</v>
      </c>
      <c r="H44" s="12" t="str">
        <f>IF(J44="x","-",IF(F44="x","-","x"))</f>
        <v>x</v>
      </c>
    </row>
    <row r="45" spans="1:14" ht="20.100000000000001" customHeight="1" x14ac:dyDescent="0.2">
      <c r="C45" s="4"/>
      <c r="D45" s="4"/>
      <c r="E45" s="4"/>
    </row>
    <row r="46" spans="1:14" x14ac:dyDescent="0.2">
      <c r="A46" s="2" t="s">
        <v>27</v>
      </c>
      <c r="B46" s="2"/>
    </row>
    <row r="47" spans="1:14" ht="2.1" customHeight="1" x14ac:dyDescent="0.2">
      <c r="A47" s="2"/>
      <c r="B47" s="2"/>
    </row>
    <row r="48" spans="1:14" x14ac:dyDescent="0.2">
      <c r="B48" s="37"/>
      <c r="C48" s="13"/>
      <c r="D48" s="13"/>
      <c r="L48" s="30" t="s">
        <v>43</v>
      </c>
      <c r="N48" s="25"/>
    </row>
    <row r="49" spans="1:16" ht="2.1" customHeight="1" x14ac:dyDescent="0.2">
      <c r="A49" s="2"/>
      <c r="L49" s="7"/>
    </row>
    <row r="50" spans="1:16" x14ac:dyDescent="0.2">
      <c r="B50" s="37"/>
      <c r="C50" s="13"/>
      <c r="D50" s="13"/>
      <c r="L50" s="30" t="s">
        <v>43</v>
      </c>
      <c r="N50" s="25"/>
    </row>
    <row r="51" spans="1:16" ht="18.75" customHeight="1" x14ac:dyDescent="0.2"/>
    <row r="52" spans="1:16" s="39" customFormat="1" ht="34.15" customHeight="1" x14ac:dyDescent="0.2">
      <c r="A52" s="2" t="s">
        <v>542</v>
      </c>
      <c r="B52" s="34"/>
      <c r="C52" s="35"/>
      <c r="D52" s="35"/>
      <c r="E52" s="35"/>
      <c r="F52" s="34"/>
      <c r="G52" s="34"/>
      <c r="H52" s="36"/>
      <c r="I52" s="34"/>
      <c r="J52" s="34"/>
      <c r="K52" s="34"/>
      <c r="L52" s="34"/>
      <c r="M52" s="34"/>
      <c r="N52" s="34"/>
      <c r="P52" s="39" t="e">
        <f>MATCH("x",#REF!,0)</f>
        <v>#REF!</v>
      </c>
    </row>
    <row r="53" spans="1:16" s="39" customFormat="1" ht="1.5" customHeight="1" x14ac:dyDescent="0.2">
      <c r="A53" s="34"/>
      <c r="B53" s="34"/>
      <c r="C53" s="35"/>
      <c r="D53" s="35"/>
      <c r="E53" s="35"/>
      <c r="F53" s="34"/>
      <c r="G53" s="34"/>
      <c r="H53" s="36"/>
      <c r="I53" s="34"/>
      <c r="J53" s="34"/>
      <c r="K53" s="34"/>
      <c r="L53" s="34"/>
      <c r="M53" s="34"/>
      <c r="N53" s="34"/>
    </row>
    <row r="54" spans="1:16" s="39" customFormat="1" ht="70.5" customHeight="1" x14ac:dyDescent="0.2">
      <c r="A54" s="52"/>
      <c r="B54" s="404"/>
      <c r="C54" s="404"/>
      <c r="D54" s="404"/>
      <c r="E54" s="404"/>
      <c r="F54" s="404"/>
      <c r="G54" s="404"/>
      <c r="H54" s="404"/>
      <c r="I54" s="404"/>
      <c r="J54" s="404"/>
      <c r="K54" s="404"/>
      <c r="L54" s="404"/>
      <c r="M54" s="404"/>
      <c r="N54" s="404"/>
      <c r="O54" s="52"/>
      <c r="P54" s="52"/>
    </row>
    <row r="55" spans="1:16" s="34" customFormat="1" ht="20.100000000000001" customHeight="1" x14ac:dyDescent="0.2">
      <c r="C55" s="35"/>
      <c r="D55" s="35"/>
      <c r="E55" s="35"/>
      <c r="H55" s="36"/>
    </row>
    <row r="56" spans="1:16" x14ac:dyDescent="0.2">
      <c r="A56" s="2" t="s">
        <v>38</v>
      </c>
      <c r="D56" s="34" t="b">
        <f>ISTEXT(B54)</f>
        <v>0</v>
      </c>
    </row>
    <row r="57" spans="1:16" ht="1.5" customHeight="1" x14ac:dyDescent="0.2">
      <c r="A57" s="2"/>
    </row>
    <row r="58" spans="1:16" ht="14.25" x14ac:dyDescent="0.2">
      <c r="A58" s="2"/>
      <c r="B58" s="3" t="s">
        <v>448</v>
      </c>
      <c r="D58" s="69" t="str">
        <f>IF(OR(COUNTIF(H15:H21,"x")=0,F23="x"),"erfüllt","nicht erfüllt")</f>
        <v>nicht erfüllt</v>
      </c>
      <c r="F58" s="12" t="str">
        <f>F23</f>
        <v>-</v>
      </c>
      <c r="H58" s="3" t="s">
        <v>451</v>
      </c>
    </row>
    <row r="59" spans="1:16" ht="1.5" customHeight="1" x14ac:dyDescent="0.2">
      <c r="A59" s="2"/>
    </row>
    <row r="60" spans="1:16" ht="14.25" x14ac:dyDescent="0.2">
      <c r="B60" s="3" t="s">
        <v>251</v>
      </c>
      <c r="D60" s="69" t="str">
        <f>IF(OR(COUNTIF(H28:H44,"x")=0,COUNTIF(F60,"x")&gt;0),"erfüllt", "nicht erfüllt")</f>
        <v>nicht erfüllt</v>
      </c>
      <c r="F60" s="30" t="s">
        <v>43</v>
      </c>
      <c r="H60" s="3" t="s">
        <v>449</v>
      </c>
    </row>
    <row r="61" spans="1:16" ht="1.5" customHeight="1" x14ac:dyDescent="0.2">
      <c r="D61" s="69"/>
    </row>
    <row r="63" spans="1:16" ht="13.5" customHeight="1" x14ac:dyDescent="0.2">
      <c r="A63" s="34"/>
      <c r="B63" s="3" t="s">
        <v>39</v>
      </c>
      <c r="D63" s="3" t="str">
        <f>IF(ISTEXT(Name_Kontr),Name_Kontr,"")</f>
        <v/>
      </c>
      <c r="F63" s="328" t="str">
        <f>IF(AND(NOT(D56),COUNTIF(F58:F60,"x")&gt;0),"Begründung und Empfehlung des weiteren Vorgehens erforderlich.","")</f>
        <v/>
      </c>
      <c r="G63" s="328"/>
      <c r="H63" s="328"/>
      <c r="I63" s="328"/>
      <c r="J63" s="328"/>
      <c r="K63" s="328"/>
      <c r="L63" s="328"/>
      <c r="M63" s="328"/>
      <c r="N63" s="328"/>
    </row>
    <row r="64" spans="1:16" ht="2.1" customHeight="1" x14ac:dyDescent="0.2">
      <c r="A64" s="34" t="s">
        <v>42</v>
      </c>
      <c r="D64" s="3" t="e">
        <f>IF(D37="befreit","-",'EN-Kt.'!#REF!)</f>
        <v>#REF!</v>
      </c>
      <c r="F64" s="328"/>
      <c r="G64" s="328"/>
      <c r="H64" s="328"/>
      <c r="I64" s="328"/>
      <c r="J64" s="328"/>
      <c r="K64" s="328"/>
      <c r="L64" s="328"/>
      <c r="M64" s="328"/>
      <c r="N64" s="328"/>
    </row>
    <row r="65" spans="1:14" x14ac:dyDescent="0.2">
      <c r="A65" s="34" t="s">
        <v>43</v>
      </c>
      <c r="B65" s="3" t="s">
        <v>40</v>
      </c>
      <c r="D65" s="47">
        <f ca="1">Datum</f>
        <v>45866</v>
      </c>
      <c r="F65" s="328"/>
      <c r="G65" s="328"/>
      <c r="H65" s="328"/>
      <c r="I65" s="328"/>
      <c r="J65" s="328"/>
      <c r="K65" s="328"/>
      <c r="L65" s="328"/>
      <c r="M65" s="328"/>
      <c r="N65" s="328"/>
    </row>
    <row r="107" spans="1:2" x14ac:dyDescent="0.2">
      <c r="A107" s="34" t="s">
        <v>42</v>
      </c>
      <c r="B107" s="34"/>
    </row>
    <row r="108" spans="1:2" x14ac:dyDescent="0.2">
      <c r="A108" s="34" t="s">
        <v>43</v>
      </c>
      <c r="B108" s="34"/>
    </row>
  </sheetData>
  <sheetProtection algorithmName="SHA-512" hashValue="YSdr+/ItaQYo3hyNeBGl9B0Eu0w01xVz5mHudBfG8dQrvJWmkMnd6ILkp9n8siWvmpf5UnKezFjAFpB2YglNwg==" saltValue="7zmoMD1AlNPPHM3uCEcwfw==" spinCount="100000" sheet="1" formatRows="0"/>
  <mergeCells count="6">
    <mergeCell ref="B54:N54"/>
    <mergeCell ref="F63:N65"/>
    <mergeCell ref="D5:M5"/>
    <mergeCell ref="D7:M7"/>
    <mergeCell ref="D11:M11"/>
    <mergeCell ref="N23:N26"/>
  </mergeCells>
  <phoneticPr fontId="7" type="noConversion"/>
  <conditionalFormatting sqref="D58">
    <cfRule type="beginsWith" dxfId="89" priority="1" operator="beginsWith" text="erfüllt">
      <formula>LEFT(D58,LEN("erfüllt"))="erfüllt"</formula>
    </cfRule>
    <cfRule type="containsText" dxfId="88" priority="2" operator="containsText" text="nicht erfüllt">
      <formula>NOT(ISERROR(SEARCH("nicht erfüllt",D58)))</formula>
    </cfRule>
  </conditionalFormatting>
  <conditionalFormatting sqref="D60:D61 D58">
    <cfRule type="containsText" dxfId="87" priority="5" operator="containsText" text="nicht">
      <formula>NOT(ISERROR(SEARCH("nicht",B46)))</formula>
    </cfRule>
  </conditionalFormatting>
  <conditionalFormatting sqref="D60:D61">
    <cfRule type="beginsWith" dxfId="86" priority="3" operator="beginsWith" text="erfüllt">
      <formula>LEFT(D60,LEN("erfüllt"))="erfüllt"</formula>
    </cfRule>
    <cfRule type="containsText" dxfId="85" priority="4" operator="containsText" text="nicht erfüllt">
      <formula>NOT(ISERROR(SEARCH("nicht erfüllt",D60)))</formula>
    </cfRule>
  </conditionalFormatting>
  <dataValidations count="2">
    <dataValidation type="list" allowBlank="1" showInputMessage="1" showErrorMessage="1" sqref="H44 H17 H19 H15 H21" xr:uid="{00000000-0002-0000-0900-000000000000}">
      <formula1>$A$176:$A$177</formula1>
    </dataValidation>
    <dataValidation type="list" allowBlank="1" showInputMessage="1" showErrorMessage="1" sqref="F17 F60 F19 J21 J17 J19 L50 F44 L48 F21 F23" xr:uid="{00000000-0002-0000-0900-000001000000}">
      <formula1>$A$107:$A$108</formula1>
    </dataValidation>
  </dataValidations>
  <hyperlinks>
    <hyperlink ref="N1" r:id="rId1" xr:uid="{90F49F02-CADE-4200-96CD-E87FCFE7ADFB}"/>
    <hyperlink ref="N2" location="'EN-Kt.'!A1" display="Zurück zm EN-Kt. " xr:uid="{61441D21-E5ED-4C1A-AAE6-7D348E1EFA08}"/>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'EN-Kt.'!$A$207:$A$208</xm:f>
          </x14:formula1>
          <xm:sqref>F15</xm:sqref>
        </x14:dataValidation>
        <x14:dataValidation type="list" allowBlank="1" showInputMessage="1" showErrorMessage="1" xr:uid="{00000000-0002-0000-0900-000003000000}">
          <x14:formula1>
            <xm:f>'EN-Kt.'!$C$304:$C$307</xm:f>
          </x14:formula1>
          <xm:sqref>D9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tabColor theme="0"/>
  </sheetPr>
  <dimension ref="A1:S65"/>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625" style="3" customWidth="1"/>
    <col min="15" max="16384" width="10.875" style="3"/>
  </cols>
  <sheetData>
    <row r="1" spans="1:16" s="22" customFormat="1" ht="18" x14ac:dyDescent="0.25">
      <c r="A1" s="6" t="s">
        <v>335</v>
      </c>
      <c r="B1" s="6"/>
      <c r="N1" s="117" t="s">
        <v>503</v>
      </c>
      <c r="P1" s="23"/>
    </row>
    <row r="2" spans="1:16" s="22" customFormat="1" ht="18" x14ac:dyDescent="0.25">
      <c r="A2" s="6" t="s">
        <v>429</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t="s">
        <v>43</v>
      </c>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7"/>
      <c r="H18" s="7"/>
      <c r="J18" s="7"/>
      <c r="L18" s="7"/>
    </row>
    <row r="19" spans="1:19" x14ac:dyDescent="0.2">
      <c r="B19" s="37"/>
      <c r="C19" s="13"/>
      <c r="D19" s="13"/>
      <c r="F19" s="30" t="s">
        <v>43</v>
      </c>
      <c r="H19" s="12" t="str">
        <f>IF(J19="x","-",IF(F19="x","-","x"))</f>
        <v>x</v>
      </c>
      <c r="J19" s="30" t="s">
        <v>43</v>
      </c>
      <c r="L19" s="7"/>
      <c r="N19" s="25"/>
      <c r="S19" s="3" t="str">
        <f>IF(OR(AND(C35="-", Q19=C155),OR(Q15="III – Verwaltung",Q17="III – Verwaltung")),"nicht zulässig", IF(AND(OR(E15="x",E17="x",E19="x"),Q19=""),"Angabe fehlt",""  ))</f>
        <v/>
      </c>
    </row>
    <row r="20" spans="1:19" ht="2.1" customHeight="1" x14ac:dyDescent="0.2">
      <c r="F20" s="7"/>
      <c r="H20" s="7"/>
      <c r="J20" s="7"/>
      <c r="L20" s="7"/>
    </row>
    <row r="21" spans="1:19" x14ac:dyDescent="0.2">
      <c r="B21" s="37"/>
      <c r="C21" s="13"/>
      <c r="D21" s="13"/>
      <c r="F21" s="30" t="s">
        <v>43</v>
      </c>
      <c r="H21" s="12" t="str">
        <f>IF(J21="x","-",IF(F21="x","-","x"))</f>
        <v>x</v>
      </c>
      <c r="J21" s="30" t="s">
        <v>43</v>
      </c>
      <c r="L21" s="7"/>
      <c r="N21" s="25"/>
    </row>
    <row r="22" spans="1:19" ht="12.75" customHeight="1" x14ac:dyDescent="0.2">
      <c r="F22" s="7"/>
      <c r="H22" s="7"/>
      <c r="J22" s="7"/>
      <c r="L22" s="7"/>
    </row>
    <row r="23" spans="1:19" x14ac:dyDescent="0.2">
      <c r="B23" s="3" t="s">
        <v>450</v>
      </c>
      <c r="F23" s="30" t="s">
        <v>43</v>
      </c>
      <c r="S23" s="3" t="str">
        <f>IF(OR(AND(C35="-", Q23=C159),OR(Q14="III – Verwaltung",Q16="III – Verwaltung")),"nicht zulässig", IF(AND(OR(E14="x",E16="x",E18="x"),Q23=""),"Angabe fehlt",""  ))</f>
        <v/>
      </c>
    </row>
    <row r="24" spans="1:19" ht="2.1" customHeight="1" x14ac:dyDescent="0.2"/>
    <row r="25" spans="1:19" x14ac:dyDescent="0.2">
      <c r="B25" s="38" t="str">
        <f>IF(F23="x","(Begründung im Feld 'Bemerkungen')","")</f>
        <v/>
      </c>
    </row>
    <row r="26" spans="1:19" ht="63.95" customHeight="1" x14ac:dyDescent="0.2">
      <c r="A26" s="2" t="s">
        <v>265</v>
      </c>
      <c r="B26" s="2"/>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row>
    <row r="40" spans="1:14" x14ac:dyDescent="0.2">
      <c r="B40" s="37"/>
      <c r="C40" s="13"/>
      <c r="D40" s="13"/>
      <c r="E40" s="13"/>
      <c r="F40" s="13"/>
      <c r="G40" s="13"/>
      <c r="H40" s="13"/>
      <c r="I40" s="13"/>
      <c r="J40" s="13"/>
      <c r="K40" s="13"/>
      <c r="L40" s="13"/>
      <c r="M40" s="13"/>
      <c r="N40" s="13"/>
    </row>
    <row r="41" spans="1:14" ht="2.1" customHeight="1" x14ac:dyDescent="0.2">
      <c r="A41" s="2"/>
      <c r="B41" s="2"/>
    </row>
    <row r="42" spans="1:14" x14ac:dyDescent="0.2">
      <c r="B42" s="37"/>
      <c r="C42" s="13"/>
      <c r="D42" s="13"/>
      <c r="E42" s="13"/>
      <c r="F42" s="13"/>
      <c r="G42" s="13"/>
      <c r="H42" s="13"/>
      <c r="I42" s="13"/>
      <c r="J42" s="13"/>
      <c r="K42" s="13"/>
      <c r="L42" s="13"/>
      <c r="M42" s="13"/>
      <c r="N42" s="13"/>
    </row>
    <row r="43" spans="1:14" ht="2.1" customHeight="1" x14ac:dyDescent="0.2">
      <c r="A43" s="2"/>
      <c r="B43" s="2"/>
      <c r="F43" s="7"/>
      <c r="G43" s="7"/>
      <c r="H43" s="7"/>
      <c r="I43" s="7"/>
      <c r="J43" s="8"/>
      <c r="L43" s="8"/>
    </row>
    <row r="44" spans="1:14" x14ac:dyDescent="0.2">
      <c r="B44" s="3" t="s">
        <v>265</v>
      </c>
      <c r="F44" s="30" t="s">
        <v>43</v>
      </c>
      <c r="H44" s="12" t="str">
        <f>IF(J44="x","-",IF(F44="x","-","x"))</f>
        <v>x</v>
      </c>
    </row>
    <row r="45" spans="1:14" ht="20.100000000000001" customHeight="1" x14ac:dyDescent="0.2">
      <c r="C45" s="4"/>
      <c r="D45" s="4"/>
      <c r="E45" s="4"/>
    </row>
    <row r="46" spans="1:14" x14ac:dyDescent="0.2">
      <c r="A46" s="2" t="s">
        <v>27</v>
      </c>
      <c r="B46" s="2"/>
    </row>
    <row r="47" spans="1:14" ht="2.1" customHeight="1" x14ac:dyDescent="0.2">
      <c r="A47" s="2"/>
      <c r="B47" s="2"/>
    </row>
    <row r="48" spans="1:14" x14ac:dyDescent="0.2">
      <c r="B48" s="37"/>
      <c r="C48" s="13"/>
      <c r="D48" s="13"/>
      <c r="L48" s="30" t="s">
        <v>43</v>
      </c>
      <c r="N48" s="25"/>
    </row>
    <row r="49" spans="1:16" ht="2.1" customHeight="1" x14ac:dyDescent="0.2">
      <c r="A49" s="2"/>
      <c r="L49" s="7"/>
    </row>
    <row r="50" spans="1:16" x14ac:dyDescent="0.2">
      <c r="B50" s="37"/>
      <c r="C50" s="13"/>
      <c r="D50" s="13"/>
      <c r="L50" s="30" t="s">
        <v>43</v>
      </c>
      <c r="N50" s="25"/>
    </row>
    <row r="51" spans="1:16" ht="18.75" customHeight="1" x14ac:dyDescent="0.2"/>
    <row r="52" spans="1:16" s="39" customFormat="1" ht="168.6" customHeight="1" x14ac:dyDescent="0.2">
      <c r="A52" s="2" t="s">
        <v>542</v>
      </c>
      <c r="B52" s="34"/>
      <c r="C52" s="35"/>
      <c r="D52" s="35"/>
      <c r="E52" s="35"/>
      <c r="F52" s="34"/>
      <c r="G52" s="34"/>
      <c r="H52" s="36"/>
      <c r="I52" s="34"/>
      <c r="J52" s="34"/>
      <c r="K52" s="34"/>
      <c r="L52" s="34"/>
      <c r="M52" s="34"/>
      <c r="N52" s="34"/>
      <c r="P52" s="39" t="e">
        <f>MATCH("x",#REF!,0)</f>
        <v>#REF!</v>
      </c>
    </row>
    <row r="53" spans="1:16" s="39" customFormat="1" ht="1.5" customHeight="1" x14ac:dyDescent="0.2">
      <c r="A53" s="34"/>
      <c r="B53" s="34"/>
      <c r="C53" s="35"/>
      <c r="D53" s="35"/>
      <c r="E53" s="35"/>
      <c r="F53" s="34"/>
      <c r="G53" s="34"/>
      <c r="H53" s="36"/>
      <c r="I53" s="34"/>
      <c r="J53" s="34"/>
      <c r="K53" s="34"/>
      <c r="L53" s="34"/>
      <c r="M53" s="34"/>
      <c r="N53" s="34"/>
    </row>
    <row r="54" spans="1:16" s="39" customFormat="1" ht="70.5" customHeight="1" x14ac:dyDescent="0.2">
      <c r="A54" s="52"/>
      <c r="B54" s="404"/>
      <c r="C54" s="404"/>
      <c r="D54" s="404"/>
      <c r="E54" s="404"/>
      <c r="F54" s="404"/>
      <c r="G54" s="404"/>
      <c r="H54" s="404"/>
      <c r="I54" s="404"/>
      <c r="J54" s="404"/>
      <c r="K54" s="404"/>
      <c r="L54" s="404"/>
      <c r="M54" s="404"/>
      <c r="N54" s="404"/>
      <c r="O54" s="52"/>
      <c r="P54" s="52"/>
    </row>
    <row r="55" spans="1:16" s="34" customFormat="1" ht="20.100000000000001" customHeight="1" x14ac:dyDescent="0.2">
      <c r="C55" s="35"/>
      <c r="D55" s="35"/>
      <c r="E55" s="35"/>
      <c r="H55" s="36"/>
    </row>
    <row r="56" spans="1:16" x14ac:dyDescent="0.2">
      <c r="A56" s="2" t="s">
        <v>38</v>
      </c>
      <c r="D56" s="34" t="b">
        <f>ISTEXT(B54)</f>
        <v>0</v>
      </c>
    </row>
    <row r="57" spans="1:16" ht="1.5" customHeight="1" x14ac:dyDescent="0.2">
      <c r="A57" s="2"/>
    </row>
    <row r="58" spans="1:16" ht="14.25" x14ac:dyDescent="0.2">
      <c r="A58" s="2"/>
      <c r="B58" s="3" t="s">
        <v>448</v>
      </c>
      <c r="D58" s="69" t="str">
        <f>IF(OR(COUNTIF(H15:H21,"x")=0,F23="x"),"erfüllt","nicht erfüllt")</f>
        <v>nicht erfüllt</v>
      </c>
      <c r="F58" s="12" t="str">
        <f>F23</f>
        <v>-</v>
      </c>
      <c r="H58" s="3" t="s">
        <v>451</v>
      </c>
    </row>
    <row r="59" spans="1:16" ht="1.5" customHeight="1" x14ac:dyDescent="0.2">
      <c r="A59" s="2"/>
    </row>
    <row r="60" spans="1:16" ht="14.25" x14ac:dyDescent="0.2">
      <c r="B60" s="3" t="s">
        <v>251</v>
      </c>
      <c r="D60" s="69" t="str">
        <f>IF(OR(COUNTIF(H27:H44,"x")=0,COUNTIF(F60,"x")&gt;0),"erfüllt", "nicht erfüllt")</f>
        <v>nicht erfüllt</v>
      </c>
      <c r="F60" s="30" t="s">
        <v>43</v>
      </c>
      <c r="H60" s="3" t="s">
        <v>449</v>
      </c>
    </row>
    <row r="61" spans="1:16" ht="1.5" customHeight="1" x14ac:dyDescent="0.2">
      <c r="D61" s="89"/>
    </row>
    <row r="63" spans="1:16" ht="13.5" customHeight="1" x14ac:dyDescent="0.2">
      <c r="A63" s="34"/>
      <c r="B63" s="3" t="s">
        <v>39</v>
      </c>
      <c r="D63" s="3" t="str">
        <f>IF(ISTEXT(Name_Kontr),Name_Kontr,"")</f>
        <v/>
      </c>
      <c r="F63" s="328" t="str">
        <f>IF(AND(NOT(D56),COUNTIF(F58:F60,"x")&gt;0),"Begründung und Empfehlung des weiteren Vorgehens erforderlich.","")</f>
        <v/>
      </c>
      <c r="G63" s="328"/>
      <c r="H63" s="328"/>
      <c r="I63" s="328"/>
      <c r="J63" s="328"/>
      <c r="K63" s="328"/>
      <c r="L63" s="328"/>
      <c r="M63" s="328"/>
      <c r="N63" s="328"/>
    </row>
    <row r="64" spans="1:16" ht="2.1" customHeight="1" x14ac:dyDescent="0.2">
      <c r="A64" s="34" t="s">
        <v>42</v>
      </c>
      <c r="F64" s="328"/>
      <c r="G64" s="328"/>
      <c r="H64" s="328"/>
      <c r="I64" s="328"/>
      <c r="J64" s="328"/>
      <c r="K64" s="328"/>
      <c r="L64" s="328"/>
      <c r="M64" s="328"/>
      <c r="N64" s="328"/>
    </row>
    <row r="65" spans="1:14" x14ac:dyDescent="0.2">
      <c r="A65" s="34" t="s">
        <v>43</v>
      </c>
      <c r="B65" s="3" t="s">
        <v>40</v>
      </c>
      <c r="D65" s="47">
        <f ca="1">Datum</f>
        <v>45866</v>
      </c>
      <c r="F65" s="328"/>
      <c r="G65" s="328"/>
      <c r="H65" s="328"/>
      <c r="I65" s="328"/>
      <c r="J65" s="328"/>
      <c r="K65" s="328"/>
      <c r="L65" s="328"/>
      <c r="M65" s="328"/>
      <c r="N65" s="328"/>
    </row>
  </sheetData>
  <sheetProtection algorithmName="SHA-512" hashValue="8VZleSvGyYz0dQQQSBsh5P4HPIBih0Xus8ocH1HE/kKD45insE09wqgCztdsnwiyWtRp+g/ZIkkAjegmDoMu5g==" saltValue="odPK4KhdVF5gEG/AzIFGNg==" spinCount="100000" sheet="1" formatRows="0"/>
  <mergeCells count="5">
    <mergeCell ref="B54:N54"/>
    <mergeCell ref="F63:N65"/>
    <mergeCell ref="D5:M5"/>
    <mergeCell ref="D7:M7"/>
    <mergeCell ref="D11:M11"/>
  </mergeCells>
  <phoneticPr fontId="7" type="noConversion"/>
  <conditionalFormatting sqref="D58">
    <cfRule type="beginsWith" dxfId="84" priority="1" operator="beginsWith" text="erfüllt">
      <formula>LEFT(D58,LEN("erfüllt"))="erfüllt"</formula>
    </cfRule>
    <cfRule type="containsText" dxfId="83" priority="2" operator="containsText" text="nicht erfüllt">
      <formula>NOT(ISERROR(SEARCH("nicht erfüllt",D58)))</formula>
    </cfRule>
  </conditionalFormatting>
  <conditionalFormatting sqref="D60:D61 D58">
    <cfRule type="containsText" dxfId="82" priority="5" operator="containsText" text="nicht">
      <formula>NOT(ISERROR(SEARCH("nicht",B46)))</formula>
    </cfRule>
  </conditionalFormatting>
  <conditionalFormatting sqref="D60:D61">
    <cfRule type="beginsWith" dxfId="81" priority="3" operator="beginsWith" text="erfüllt">
      <formula>LEFT(D60,LEN("erfüllt"))="erfüllt"</formula>
    </cfRule>
    <cfRule type="containsText" dxfId="80" priority="4" operator="containsText" text="nicht erfüllt">
      <formula>NOT(ISERROR(SEARCH("nicht erfüllt",D60)))</formula>
    </cfRule>
  </conditionalFormatting>
  <dataValidations disablePrompts="1" count="1">
    <dataValidation type="list" allowBlank="1" showInputMessage="1" showErrorMessage="1" sqref="H17 H44 H15 H19 H21" xr:uid="{00000000-0002-0000-0A00-000000000000}">
      <formula1>$A$176:$A$177</formula1>
    </dataValidation>
  </dataValidations>
  <hyperlinks>
    <hyperlink ref="N1" r:id="rId1" xr:uid="{BE105CDD-8539-49DF-8FFB-807ECDB4B5EC}"/>
    <hyperlink ref="N2" location="'EN-Kt.'!A1" display="Zurück zm EN-Kt. " xr:uid="{C19AC7F9-0840-4E55-A6EC-0920E77D8412}"/>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A00-000001000000}">
          <x14:formula1>
            <xm:f>'EN-Kt.'!$A$207:$A$208</xm:f>
          </x14:formula1>
          <xm:sqref>F15 F17 F19 J21 J17 J19 F60 F44 L48 L50 F21 F23</xm:sqref>
        </x14:dataValidation>
        <x14:dataValidation type="list" allowBlank="1" showInputMessage="1" showErrorMessage="1" xr:uid="{00000000-0002-0000-0A00-000002000000}">
          <x14:formula1>
            <xm:f>'EN-Kt.'!$C$304:$C$307</xm:f>
          </x14:formula1>
          <xm:sqref>D9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tabColor theme="0"/>
  </sheetPr>
  <dimension ref="A1:S65"/>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25" style="3" customWidth="1"/>
    <col min="15" max="16384" width="10.875" style="3"/>
  </cols>
  <sheetData>
    <row r="1" spans="1:16" s="22" customFormat="1" ht="18" x14ac:dyDescent="0.25">
      <c r="A1" s="6" t="s">
        <v>336</v>
      </c>
      <c r="B1" s="6"/>
      <c r="N1" s="117" t="s">
        <v>503</v>
      </c>
      <c r="P1" s="23"/>
    </row>
    <row r="2" spans="1:16" s="22" customFormat="1" ht="18" x14ac:dyDescent="0.25">
      <c r="A2" s="6" t="s">
        <v>337</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 t="s">
        <v>64</v>
      </c>
      <c r="C9" s="34"/>
      <c r="D9" s="218" t="s">
        <v>491</v>
      </c>
      <c r="E9" s="219"/>
      <c r="F9" s="16"/>
      <c r="G9" s="16"/>
      <c r="H9" s="16"/>
      <c r="I9" s="16"/>
      <c r="J9" s="16"/>
      <c r="K9" s="16"/>
      <c r="L9" s="16"/>
      <c r="M9" s="16"/>
      <c r="N9" s="16"/>
    </row>
    <row r="10" spans="1:16" ht="2.1" customHeight="1" x14ac:dyDescent="0.2">
      <c r="C10" s="34"/>
      <c r="D10" s="34"/>
      <c r="E10" s="34"/>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t="s">
        <v>43</v>
      </c>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7"/>
      <c r="H18" s="7"/>
      <c r="J18" s="7"/>
      <c r="L18" s="7"/>
    </row>
    <row r="19" spans="1:19" x14ac:dyDescent="0.2">
      <c r="B19" s="37"/>
      <c r="C19" s="13"/>
      <c r="D19" s="13"/>
      <c r="F19" s="30" t="s">
        <v>43</v>
      </c>
      <c r="H19" s="12" t="str">
        <f>IF(J19="x","-",IF(F19="x","-","x"))</f>
        <v>x</v>
      </c>
      <c r="J19" s="30" t="s">
        <v>43</v>
      </c>
      <c r="L19" s="7"/>
      <c r="N19" s="25"/>
      <c r="S19" s="3" t="str">
        <f>IF(OR(AND(C35="-", Q19=C155),OR(Q15="III – Verwaltung",Q17="III – Verwaltung")),"nicht zulässig", IF(AND(OR(E15="x",E17="x",E19="x"),Q19=""),"Angabe fehlt",""  ))</f>
        <v/>
      </c>
    </row>
    <row r="20" spans="1:19" ht="2.1" customHeight="1" x14ac:dyDescent="0.2">
      <c r="F20" s="7"/>
      <c r="H20" s="7"/>
      <c r="J20" s="7"/>
      <c r="L20" s="7"/>
    </row>
    <row r="21" spans="1:19" x14ac:dyDescent="0.2">
      <c r="B21" s="37"/>
      <c r="C21" s="13"/>
      <c r="D21" s="13"/>
      <c r="F21" s="30" t="s">
        <v>43</v>
      </c>
      <c r="H21" s="12" t="str">
        <f>IF(J21="x","-",IF(F21="x","-","x"))</f>
        <v>x</v>
      </c>
      <c r="J21" s="30" t="s">
        <v>43</v>
      </c>
      <c r="L21" s="7"/>
      <c r="N21" s="25"/>
    </row>
    <row r="22" spans="1:19" ht="12.75" customHeight="1" x14ac:dyDescent="0.2">
      <c r="F22" s="7"/>
      <c r="H22" s="7"/>
      <c r="J22" s="7"/>
      <c r="L22" s="7"/>
    </row>
    <row r="23" spans="1:19" x14ac:dyDescent="0.2">
      <c r="B23" s="3" t="s">
        <v>450</v>
      </c>
      <c r="F23" s="30" t="s">
        <v>43</v>
      </c>
      <c r="S23" s="3" t="str">
        <f>IF(OR(AND(C35="-", Q23=C159),OR(Q14="III – Verwaltung",Q16="III – Verwaltung")),"nicht zulässig", IF(AND(OR(E14="x",E16="x",E18="x"),Q23=""),"Angabe fehlt",""  ))</f>
        <v/>
      </c>
    </row>
    <row r="24" spans="1:19" ht="2.1" customHeight="1" x14ac:dyDescent="0.2"/>
    <row r="25" spans="1:19" x14ac:dyDescent="0.2">
      <c r="B25" s="38" t="str">
        <f>IF(F23="x","(Begründung im Feld 'Bemerkungen')","")</f>
        <v/>
      </c>
    </row>
    <row r="26" spans="1:19" ht="63.95" customHeight="1" x14ac:dyDescent="0.2">
      <c r="A26" s="2" t="s">
        <v>265</v>
      </c>
      <c r="B26" s="2"/>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row>
    <row r="40" spans="1:14" x14ac:dyDescent="0.2">
      <c r="B40" s="37"/>
      <c r="C40" s="13"/>
      <c r="D40" s="13"/>
      <c r="E40" s="13"/>
      <c r="F40" s="13"/>
      <c r="G40" s="13"/>
      <c r="H40" s="13"/>
      <c r="I40" s="13"/>
      <c r="J40" s="13"/>
      <c r="K40" s="13"/>
      <c r="L40" s="13"/>
      <c r="M40" s="13"/>
      <c r="N40" s="13"/>
    </row>
    <row r="41" spans="1:14" ht="2.1" customHeight="1" x14ac:dyDescent="0.2">
      <c r="A41" s="2"/>
      <c r="B41" s="2"/>
    </row>
    <row r="42" spans="1:14" x14ac:dyDescent="0.2">
      <c r="B42" s="37"/>
      <c r="C42" s="13"/>
      <c r="D42" s="13"/>
      <c r="E42" s="13"/>
      <c r="F42" s="13"/>
      <c r="G42" s="13"/>
      <c r="H42" s="13"/>
      <c r="I42" s="13"/>
      <c r="J42" s="13"/>
      <c r="K42" s="13"/>
      <c r="L42" s="13"/>
      <c r="M42" s="13"/>
      <c r="N42" s="13"/>
    </row>
    <row r="43" spans="1:14" ht="2.1" customHeight="1" x14ac:dyDescent="0.2">
      <c r="A43" s="2"/>
      <c r="B43" s="2"/>
      <c r="F43" s="7"/>
      <c r="G43" s="7"/>
      <c r="H43" s="7"/>
      <c r="I43" s="7"/>
      <c r="J43" s="8"/>
      <c r="L43" s="8"/>
    </row>
    <row r="44" spans="1:14" x14ac:dyDescent="0.2">
      <c r="B44" s="3" t="s">
        <v>265</v>
      </c>
      <c r="F44" s="30" t="s">
        <v>43</v>
      </c>
      <c r="H44" s="12" t="str">
        <f>IF(J44="x","-",IF(F44="x","-","x"))</f>
        <v>x</v>
      </c>
    </row>
    <row r="45" spans="1:14" ht="20.100000000000001" customHeight="1" x14ac:dyDescent="0.2">
      <c r="C45" s="4"/>
      <c r="D45" s="4"/>
      <c r="E45" s="4"/>
    </row>
    <row r="46" spans="1:14" x14ac:dyDescent="0.2">
      <c r="A46" s="2" t="s">
        <v>27</v>
      </c>
      <c r="B46" s="2"/>
    </row>
    <row r="47" spans="1:14" ht="2.1" customHeight="1" x14ac:dyDescent="0.2">
      <c r="A47" s="2"/>
      <c r="B47" s="2"/>
    </row>
    <row r="48" spans="1:14" x14ac:dyDescent="0.2">
      <c r="B48" s="37"/>
      <c r="C48" s="13"/>
      <c r="D48" s="13"/>
      <c r="L48" s="30" t="s">
        <v>43</v>
      </c>
      <c r="N48" s="25"/>
    </row>
    <row r="49" spans="1:16" ht="2.1" customHeight="1" x14ac:dyDescent="0.2">
      <c r="A49" s="2"/>
      <c r="L49" s="7"/>
    </row>
    <row r="50" spans="1:16" x14ac:dyDescent="0.2">
      <c r="B50" s="37"/>
      <c r="C50" s="13"/>
      <c r="D50" s="13"/>
      <c r="L50" s="30" t="s">
        <v>43</v>
      </c>
      <c r="N50" s="25"/>
    </row>
    <row r="51" spans="1:16" ht="18.75" customHeight="1" x14ac:dyDescent="0.2"/>
    <row r="52" spans="1:16" s="39" customFormat="1" ht="179.1" customHeight="1" x14ac:dyDescent="0.2">
      <c r="A52" s="2" t="s">
        <v>542</v>
      </c>
      <c r="B52" s="34"/>
      <c r="C52" s="35"/>
      <c r="D52" s="35"/>
      <c r="E52" s="35"/>
      <c r="F52" s="34"/>
      <c r="G52" s="34"/>
      <c r="H52" s="36"/>
      <c r="I52" s="34"/>
      <c r="J52" s="34"/>
      <c r="K52" s="34"/>
      <c r="L52" s="34"/>
      <c r="M52" s="34"/>
      <c r="N52" s="34"/>
      <c r="P52" s="39" t="e">
        <f>MATCH("x",#REF!,0)</f>
        <v>#REF!</v>
      </c>
    </row>
    <row r="53" spans="1:16" s="39" customFormat="1" ht="1.5" customHeight="1" x14ac:dyDescent="0.2">
      <c r="A53" s="34"/>
      <c r="B53" s="34"/>
      <c r="C53" s="35"/>
      <c r="D53" s="35"/>
      <c r="E53" s="35"/>
      <c r="F53" s="34"/>
      <c r="G53" s="34"/>
      <c r="H53" s="36"/>
      <c r="I53" s="34"/>
      <c r="J53" s="34"/>
      <c r="K53" s="34"/>
      <c r="L53" s="34"/>
      <c r="M53" s="34"/>
      <c r="N53" s="34"/>
    </row>
    <row r="54" spans="1:16" s="39" customFormat="1" ht="70.5" customHeight="1" x14ac:dyDescent="0.2">
      <c r="A54" s="52"/>
      <c r="B54" s="404"/>
      <c r="C54" s="404"/>
      <c r="D54" s="404"/>
      <c r="E54" s="404"/>
      <c r="F54" s="404"/>
      <c r="G54" s="404"/>
      <c r="H54" s="404"/>
      <c r="I54" s="404"/>
      <c r="J54" s="404"/>
      <c r="K54" s="404"/>
      <c r="L54" s="404"/>
      <c r="M54" s="404"/>
      <c r="N54" s="404"/>
      <c r="O54" s="52"/>
      <c r="P54" s="52"/>
    </row>
    <row r="55" spans="1:16" s="34" customFormat="1" ht="20.100000000000001" customHeight="1" x14ac:dyDescent="0.2">
      <c r="C55" s="35"/>
      <c r="D55" s="35"/>
      <c r="E55" s="35"/>
      <c r="H55" s="36"/>
    </row>
    <row r="56" spans="1:16" x14ac:dyDescent="0.2">
      <c r="A56" s="2" t="s">
        <v>38</v>
      </c>
      <c r="D56" s="34" t="b">
        <f>ISTEXT(B54)</f>
        <v>0</v>
      </c>
    </row>
    <row r="57" spans="1:16" ht="1.5" customHeight="1" x14ac:dyDescent="0.2">
      <c r="A57" s="2"/>
    </row>
    <row r="58" spans="1:16" ht="14.25" x14ac:dyDescent="0.2">
      <c r="A58" s="2"/>
      <c r="B58" s="3" t="s">
        <v>448</v>
      </c>
      <c r="D58" s="69" t="str">
        <f>IF(OR(COUNTIF(H15:H21,"x")=0,F23="x"),"erfüllt","nicht erfüllt")</f>
        <v>nicht erfüllt</v>
      </c>
      <c r="F58" s="12" t="str">
        <f>F23</f>
        <v>-</v>
      </c>
      <c r="H58" s="3" t="s">
        <v>451</v>
      </c>
    </row>
    <row r="59" spans="1:16" ht="1.5" customHeight="1" x14ac:dyDescent="0.2">
      <c r="A59" s="2"/>
    </row>
    <row r="60" spans="1:16" ht="14.25" x14ac:dyDescent="0.2">
      <c r="B60" s="3" t="s">
        <v>251</v>
      </c>
      <c r="D60" s="69" t="str">
        <f>IF(OR(COUNTIF(H19:H44,"x")=0,COUNTIF(F60,"x")&gt;0),"erfüllt", "nicht erfüllt")</f>
        <v>nicht erfüllt</v>
      </c>
      <c r="F60" s="30" t="s">
        <v>43</v>
      </c>
      <c r="H60" s="3" t="s">
        <v>449</v>
      </c>
    </row>
    <row r="61" spans="1:16" ht="1.5" customHeight="1" x14ac:dyDescent="0.2">
      <c r="D61" s="89"/>
    </row>
    <row r="63" spans="1:16" ht="13.5" customHeight="1" x14ac:dyDescent="0.2">
      <c r="A63" s="34"/>
      <c r="B63" s="3" t="s">
        <v>39</v>
      </c>
      <c r="D63" s="3" t="str">
        <f>IF(ISTEXT(Name_Kontr),Name_Kontr,"")</f>
        <v/>
      </c>
      <c r="F63" s="328" t="str">
        <f>IF(AND(NOT(D56),COUNTIF(F59:F60,"x")&gt;0),"Begründung und Empfehlung des weiteren Vorgehens erforderlich.","")</f>
        <v/>
      </c>
      <c r="G63" s="328"/>
      <c r="H63" s="328"/>
      <c r="I63" s="328"/>
      <c r="J63" s="328"/>
      <c r="K63" s="328"/>
      <c r="L63" s="328"/>
      <c r="M63" s="328"/>
      <c r="N63" s="328"/>
    </row>
    <row r="64" spans="1:16" ht="2.1" customHeight="1" x14ac:dyDescent="0.2">
      <c r="A64" s="34" t="s">
        <v>42</v>
      </c>
      <c r="F64" s="328"/>
      <c r="G64" s="328"/>
      <c r="H64" s="328"/>
      <c r="I64" s="328"/>
      <c r="J64" s="328"/>
      <c r="K64" s="328"/>
      <c r="L64" s="328"/>
      <c r="M64" s="328"/>
      <c r="N64" s="328"/>
    </row>
    <row r="65" spans="1:14" x14ac:dyDescent="0.2">
      <c r="A65" s="34" t="s">
        <v>43</v>
      </c>
      <c r="B65" s="3" t="s">
        <v>40</v>
      </c>
      <c r="D65" s="47">
        <f ca="1">Datum</f>
        <v>45866</v>
      </c>
      <c r="F65" s="328"/>
      <c r="G65" s="328"/>
      <c r="H65" s="328"/>
      <c r="I65" s="328"/>
      <c r="J65" s="328"/>
      <c r="K65" s="328"/>
      <c r="L65" s="328"/>
      <c r="M65" s="328"/>
      <c r="N65" s="328"/>
    </row>
  </sheetData>
  <sheetProtection algorithmName="SHA-512" hashValue="j98+oMDN2t7AsWpO50XOnyMSbRL/DtDjm1UyW0NO7yH7Bt3IklcXE5hyBm9okfMIBnNFjdwB+jo8S1yeP40LGA==" saltValue="gfh5pbP/n/hrQ/r3Ob9oUw==" spinCount="100000" sheet="1" formatRows="0"/>
  <mergeCells count="5">
    <mergeCell ref="B54:N54"/>
    <mergeCell ref="F63:N65"/>
    <mergeCell ref="D5:M5"/>
    <mergeCell ref="D7:M7"/>
    <mergeCell ref="D11:M11"/>
  </mergeCells>
  <phoneticPr fontId="7" type="noConversion"/>
  <conditionalFormatting sqref="D58">
    <cfRule type="beginsWith" dxfId="79" priority="1" operator="beginsWith" text="erfüllt">
      <formula>LEFT(D58,LEN("erfüllt"))="erfüllt"</formula>
    </cfRule>
    <cfRule type="containsText" dxfId="78" priority="2" operator="containsText" text="nicht erfüllt">
      <formula>NOT(ISERROR(SEARCH("nicht erfüllt",D58)))</formula>
    </cfRule>
  </conditionalFormatting>
  <conditionalFormatting sqref="D60:D61 D58">
    <cfRule type="containsText" dxfId="77" priority="5" operator="containsText" text="nicht">
      <formula>NOT(ISERROR(SEARCH("nicht",B46)))</formula>
    </cfRule>
  </conditionalFormatting>
  <conditionalFormatting sqref="D60:D61">
    <cfRule type="beginsWith" dxfId="76" priority="3" operator="beginsWith" text="erfüllt">
      <formula>LEFT(D60,LEN("erfüllt"))="erfüllt"</formula>
    </cfRule>
    <cfRule type="containsText" dxfId="75" priority="4" operator="containsText" text="nicht erfüllt">
      <formula>NOT(ISERROR(SEARCH("nicht erfüllt",D60)))</formula>
    </cfRule>
  </conditionalFormatting>
  <dataValidations disablePrompts="1" count="1">
    <dataValidation type="list" allowBlank="1" showInputMessage="1" showErrorMessage="1" sqref="H44 H17 H19 H15 H21" xr:uid="{00000000-0002-0000-0B00-000000000000}">
      <formula1>$A$176:$A$177</formula1>
    </dataValidation>
  </dataValidations>
  <hyperlinks>
    <hyperlink ref="N1" r:id="rId1" xr:uid="{18994ACF-7B17-4248-ADBA-81F3432012FB}"/>
    <hyperlink ref="N2" location="'EN-Kt.'!A1" display="Zurück zm EN-Kt. " xr:uid="{8C988DD1-3DE7-45B8-A9E2-5D30E6725B0E}"/>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B00-000001000000}">
          <x14:formula1>
            <xm:f>'EN-Kt.'!$A$207:$A$208</xm:f>
          </x14:formula1>
          <xm:sqref>F15 F17 F19 J21 J17 J19 F23 F44 L48 L50 F21 F60</xm:sqref>
        </x14:dataValidation>
        <x14:dataValidation type="list" allowBlank="1" showInputMessage="1" showErrorMessage="1" xr:uid="{00000000-0002-0000-0B00-000002000000}">
          <x14:formula1>
            <xm:f>'EN-Kt.'!$C$304:$C$307</xm:f>
          </x14:formula1>
          <xm:sqref>D9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tabColor theme="0"/>
  </sheetPr>
  <dimension ref="A1:R192"/>
  <sheetViews>
    <sheetView showGridLines="0" zoomScaleNormal="100" zoomScalePageLayoutView="55" workbookViewId="0"/>
  </sheetViews>
  <sheetFormatPr baseColWidth="10" defaultColWidth="10.875" defaultRowHeight="13.5" x14ac:dyDescent="0.2"/>
  <cols>
    <col min="1" max="2" width="4.375" style="3" customWidth="1"/>
    <col min="3" max="3" width="20" style="3" customWidth="1"/>
    <col min="4" max="4" width="24.8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2.875" style="3" customWidth="1"/>
    <col min="15" max="15" width="0.375" style="3" customWidth="1"/>
    <col min="16" max="16" width="50" style="3" customWidth="1"/>
    <col min="17" max="16384" width="10.875" style="3"/>
  </cols>
  <sheetData>
    <row r="1" spans="1:18" ht="18" x14ac:dyDescent="0.25">
      <c r="A1" s="6" t="s">
        <v>332</v>
      </c>
      <c r="B1" s="6"/>
      <c r="D1" s="51"/>
      <c r="P1" s="117" t="s">
        <v>503</v>
      </c>
      <c r="R1"/>
    </row>
    <row r="2" spans="1:18" ht="18" x14ac:dyDescent="0.25">
      <c r="A2" s="6" t="s">
        <v>331</v>
      </c>
      <c r="B2" s="6"/>
      <c r="P2" s="117" t="s">
        <v>734</v>
      </c>
    </row>
    <row r="3" spans="1:18" ht="57" customHeight="1" x14ac:dyDescent="0.2">
      <c r="A3" s="2" t="s">
        <v>61</v>
      </c>
      <c r="F3" s="1"/>
      <c r="H3" s="7"/>
      <c r="I3" s="7"/>
      <c r="J3" s="7"/>
      <c r="K3" s="7"/>
      <c r="L3" s="8"/>
      <c r="N3" s="8"/>
    </row>
    <row r="4" spans="1:18" ht="2.1" customHeight="1" x14ac:dyDescent="0.2">
      <c r="A4" s="2"/>
      <c r="F4" s="1"/>
      <c r="H4" s="7"/>
      <c r="I4" s="7"/>
      <c r="J4" s="7"/>
      <c r="K4" s="7"/>
      <c r="L4" s="8"/>
      <c r="N4" s="8"/>
    </row>
    <row r="5" spans="1:18" x14ac:dyDescent="0.2">
      <c r="B5" s="3" t="s">
        <v>62</v>
      </c>
      <c r="D5" s="406" t="str">
        <f>IF(ISTEXT(Gemeinde),Gemeinde,"")</f>
        <v/>
      </c>
      <c r="E5" s="406"/>
      <c r="F5" s="406"/>
      <c r="G5" s="406"/>
      <c r="H5" s="406"/>
      <c r="I5" s="406"/>
      <c r="J5" s="406"/>
      <c r="K5" s="406"/>
      <c r="L5" s="406"/>
      <c r="M5" s="406"/>
      <c r="N5" s="16"/>
      <c r="O5" s="98"/>
      <c r="P5" s="98"/>
    </row>
    <row r="6" spans="1:18" ht="2.1" customHeight="1" x14ac:dyDescent="0.2">
      <c r="D6" s="96"/>
      <c r="F6" s="7"/>
      <c r="G6" s="7"/>
      <c r="H6" s="7"/>
      <c r="I6" s="7"/>
      <c r="J6" s="8"/>
      <c r="L6" s="8"/>
      <c r="O6" s="1"/>
      <c r="P6" s="1"/>
    </row>
    <row r="7" spans="1:18" x14ac:dyDescent="0.2">
      <c r="B7" s="3" t="s">
        <v>63</v>
      </c>
      <c r="D7" s="407" t="str">
        <f>IF(ISTEXT(Bauvorhaben),Bauvorhaben,"")</f>
        <v/>
      </c>
      <c r="E7" s="407"/>
      <c r="F7" s="407"/>
      <c r="G7" s="407"/>
      <c r="H7" s="407"/>
      <c r="I7" s="407"/>
      <c r="J7" s="407"/>
      <c r="K7" s="407"/>
      <c r="L7" s="407"/>
      <c r="M7" s="407"/>
      <c r="N7" s="16"/>
      <c r="O7" s="98"/>
      <c r="P7" s="98"/>
    </row>
    <row r="8" spans="1:18" ht="2.1" customHeight="1" x14ac:dyDescent="0.2">
      <c r="F8" s="7"/>
      <c r="G8" s="7"/>
      <c r="H8" s="7"/>
      <c r="I8" s="7"/>
      <c r="J8" s="8"/>
      <c r="L8" s="8"/>
    </row>
    <row r="9" spans="1:18" x14ac:dyDescent="0.2">
      <c r="B9" s="38" t="s">
        <v>64</v>
      </c>
      <c r="C9" s="38"/>
      <c r="D9" s="218" t="s">
        <v>491</v>
      </c>
      <c r="E9" s="198"/>
      <c r="F9" s="198"/>
      <c r="G9" s="198"/>
      <c r="H9" s="198"/>
      <c r="I9" s="198"/>
      <c r="J9" s="198"/>
      <c r="K9" s="198"/>
      <c r="L9" s="198"/>
      <c r="M9" s="198"/>
      <c r="N9" s="198"/>
      <c r="O9" s="198"/>
      <c r="P9" s="198"/>
    </row>
    <row r="10" spans="1:18" ht="2.1" customHeight="1" x14ac:dyDescent="0.2">
      <c r="F10" s="7"/>
      <c r="G10" s="7"/>
      <c r="H10" s="7"/>
      <c r="I10" s="7"/>
      <c r="J10" s="8"/>
      <c r="L10" s="8"/>
    </row>
    <row r="11" spans="1:18" x14ac:dyDescent="0.2">
      <c r="B11" s="3" t="s">
        <v>65</v>
      </c>
      <c r="D11" s="407" t="str">
        <f>IF(ISTEXT(Kontrollbeauftragter),Kontrollbeauftragter,"")</f>
        <v/>
      </c>
      <c r="E11" s="407"/>
      <c r="F11" s="407"/>
      <c r="G11" s="407"/>
      <c r="H11" s="407"/>
      <c r="I11" s="407"/>
      <c r="J11" s="407"/>
      <c r="K11" s="407"/>
      <c r="L11" s="407"/>
      <c r="M11" s="407"/>
      <c r="N11" s="16"/>
      <c r="O11" s="98"/>
      <c r="P11" s="98"/>
    </row>
    <row r="13" spans="1:18" ht="63.95" customHeight="1" x14ac:dyDescent="0.2">
      <c r="A13" s="2" t="s">
        <v>464</v>
      </c>
      <c r="B13" s="2"/>
      <c r="P13" s="3" t="s">
        <v>16</v>
      </c>
    </row>
    <row r="14" spans="1:18" ht="2.1" customHeight="1" x14ac:dyDescent="0.2">
      <c r="A14" s="2"/>
      <c r="B14" s="2"/>
      <c r="H14" s="7"/>
      <c r="I14" s="7"/>
      <c r="J14" s="7"/>
      <c r="K14" s="7"/>
      <c r="L14" s="8"/>
      <c r="N14" s="8"/>
    </row>
    <row r="15" spans="1:18" x14ac:dyDescent="0.2">
      <c r="B15" s="38" t="s">
        <v>465</v>
      </c>
      <c r="H15" s="30" t="s">
        <v>43</v>
      </c>
      <c r="J15" s="92" t="str">
        <f>IF(COUNTIF($H$15:$H$22,"x")&gt;0,"-","x")</f>
        <v>x</v>
      </c>
      <c r="L15" s="7"/>
      <c r="N15" s="7"/>
      <c r="O15" s="51" t="str">
        <f>IF(COUNTIF(H15:H21,"x")&gt;1,"Nur eine Option wählen.",IF(COUNTIF(H15:H21,"x")=0,"Art des Nachweis oder Befreiung muss gewählt werden.",""))</f>
        <v>Art des Nachweis oder Befreiung muss gewählt werden.</v>
      </c>
      <c r="P15" s="103"/>
    </row>
    <row r="16" spans="1:18" ht="2.1" customHeight="1" x14ac:dyDescent="0.2">
      <c r="A16" s="2"/>
      <c r="B16" s="2"/>
      <c r="H16" s="7"/>
      <c r="I16" s="7"/>
      <c r="J16" s="41"/>
      <c r="K16" s="7"/>
      <c r="L16" s="7"/>
      <c r="N16" s="8"/>
    </row>
    <row r="17" spans="1:16" x14ac:dyDescent="0.2">
      <c r="B17" s="3" t="s">
        <v>312</v>
      </c>
      <c r="F17" s="4"/>
      <c r="G17" s="4"/>
      <c r="H17" s="30" t="s">
        <v>43</v>
      </c>
      <c r="J17" s="92" t="str">
        <f>IF(COUNTIF($H$15:$H$22,"x")&gt;0,"-","x")</f>
        <v>x</v>
      </c>
      <c r="L17" s="7"/>
      <c r="N17" s="7"/>
      <c r="P17" s="103"/>
    </row>
    <row r="18" spans="1:16" ht="2.1" customHeight="1" x14ac:dyDescent="0.2">
      <c r="H18" s="7"/>
      <c r="J18" s="41"/>
      <c r="L18" s="7"/>
      <c r="N18" s="7"/>
      <c r="P18" s="38"/>
    </row>
    <row r="19" spans="1:16" x14ac:dyDescent="0.2">
      <c r="B19" s="3" t="s">
        <v>886</v>
      </c>
      <c r="H19" s="30" t="s">
        <v>43</v>
      </c>
      <c r="J19" s="92" t="str">
        <f>IF(COUNTIF($H$15:$H$22,"x")&gt;0,"-","x")</f>
        <v>x</v>
      </c>
      <c r="L19" s="7"/>
      <c r="N19" s="7"/>
      <c r="O19" s="51"/>
      <c r="P19" s="103"/>
    </row>
    <row r="20" spans="1:16" ht="2.1" customHeight="1" x14ac:dyDescent="0.2">
      <c r="H20" s="7"/>
      <c r="J20" s="41"/>
      <c r="L20" s="7"/>
      <c r="N20" s="7"/>
    </row>
    <row r="21" spans="1:16" ht="13.9" customHeight="1" x14ac:dyDescent="0.2">
      <c r="B21" s="38" t="s">
        <v>857</v>
      </c>
      <c r="C21" s="38"/>
      <c r="H21" s="30" t="s">
        <v>43</v>
      </c>
      <c r="J21" s="92" t="str">
        <f>IF(COUNTIF($H$15:$H$22,"x")&gt;0,"-","x")</f>
        <v>x</v>
      </c>
      <c r="L21" s="7"/>
      <c r="N21" s="7"/>
      <c r="P21" s="25"/>
    </row>
    <row r="22" spans="1:16" ht="2.1" customHeight="1" x14ac:dyDescent="0.2">
      <c r="B22" s="38"/>
      <c r="C22" s="38"/>
      <c r="H22" s="27"/>
      <c r="J22" s="14"/>
      <c r="L22" s="7"/>
      <c r="N22" s="7"/>
      <c r="P22" s="26"/>
    </row>
    <row r="23" spans="1:16" ht="13.5" customHeight="1" x14ac:dyDescent="0.2">
      <c r="B23" s="263" t="str">
        <f>IF(ISNA(MATCH(C23,A179:A190,0)),"-",MATCH(C23,A179:A190,0))</f>
        <v>-</v>
      </c>
      <c r="C23" s="379" t="s">
        <v>474</v>
      </c>
      <c r="D23" s="379"/>
      <c r="E23" s="379"/>
      <c r="H23" s="27"/>
      <c r="J23" s="14"/>
      <c r="L23" s="7"/>
      <c r="N23" s="7"/>
      <c r="O23" s="51" t="str">
        <f>IF(AND(H21="-",ISNUMBER(SL)),"Auswahl zurücksetzen.",IF(C23=A192,"Bezugsvereinbarung gem. KEnV §24 einzureichen.",""))</f>
        <v/>
      </c>
      <c r="P23" s="25"/>
    </row>
    <row r="24" spans="1:16" ht="2.1" customHeight="1" x14ac:dyDescent="0.2">
      <c r="B24" s="38"/>
      <c r="C24" s="38"/>
      <c r="H24" s="27"/>
      <c r="J24" s="14"/>
      <c r="L24" s="7"/>
      <c r="N24" s="7"/>
      <c r="P24" s="26"/>
    </row>
    <row r="25" spans="1:16" ht="67.5" customHeight="1" x14ac:dyDescent="0.2">
      <c r="A25" s="2" t="s">
        <v>444</v>
      </c>
      <c r="B25" s="38"/>
      <c r="C25" s="38"/>
      <c r="H25" s="7" t="s">
        <v>20</v>
      </c>
      <c r="I25" s="7"/>
      <c r="J25" s="7" t="s">
        <v>21</v>
      </c>
      <c r="K25" s="7"/>
      <c r="L25" s="8" t="s">
        <v>19</v>
      </c>
      <c r="N25" s="8" t="s">
        <v>27</v>
      </c>
      <c r="P25" s="26"/>
    </row>
    <row r="26" spans="1:16" ht="2.1" customHeight="1" x14ac:dyDescent="0.2">
      <c r="B26" s="38"/>
      <c r="C26" s="38"/>
      <c r="H26" s="27"/>
      <c r="J26" s="14"/>
      <c r="L26" s="7"/>
      <c r="N26" s="7"/>
      <c r="P26" s="26"/>
    </row>
    <row r="27" spans="1:16" ht="13.5" customHeight="1" x14ac:dyDescent="0.2">
      <c r="B27" s="3" t="s">
        <v>469</v>
      </c>
      <c r="H27" s="30" t="s">
        <v>43</v>
      </c>
      <c r="J27" s="12" t="str">
        <f>IF(OR(H$15="x",L27="x"),"-",IF(H27="x","-","x"))</f>
        <v>-</v>
      </c>
      <c r="L27" s="12" t="str">
        <f>IF(OR(SL=2,SL=3,SL=4,SL=5,SL=6,SL=7,SL=10),"-","x")</f>
        <v>x</v>
      </c>
      <c r="N27" s="7"/>
      <c r="P27" s="25"/>
    </row>
    <row r="28" spans="1:16" ht="1.5" customHeight="1" x14ac:dyDescent="0.2">
      <c r="H28" s="7" t="s">
        <v>43</v>
      </c>
      <c r="J28" s="7"/>
      <c r="L28" s="7"/>
      <c r="N28" s="7"/>
      <c r="P28" s="26"/>
    </row>
    <row r="29" spans="1:16" ht="13.5" customHeight="1" x14ac:dyDescent="0.2">
      <c r="B29" s="3" t="s">
        <v>468</v>
      </c>
      <c r="H29" s="30" t="s">
        <v>43</v>
      </c>
      <c r="J29" s="12" t="str">
        <f>IF(OR(L29="x"),"-",IF(H29="x","-","x"))</f>
        <v>-</v>
      </c>
      <c r="L29" s="12" t="str">
        <f>IF(OR(SL=1,SL=9,H15="x"),"-","x")</f>
        <v>x</v>
      </c>
      <c r="N29" s="7"/>
      <c r="P29" s="25"/>
    </row>
    <row r="30" spans="1:16" ht="1.5" customHeight="1" x14ac:dyDescent="0.2">
      <c r="H30" s="7"/>
      <c r="J30" s="7"/>
      <c r="L30" s="7"/>
      <c r="N30" s="7"/>
      <c r="P30" s="26"/>
    </row>
    <row r="31" spans="1:16" ht="13.5" customHeight="1" x14ac:dyDescent="0.2">
      <c r="B31" s="3" t="s">
        <v>470</v>
      </c>
      <c r="H31" s="30" t="s">
        <v>43</v>
      </c>
      <c r="J31" s="12" t="str">
        <f>IF(OR(H$15="x",L31="x"),"-",IF(H31="x","-","x"))</f>
        <v>-</v>
      </c>
      <c r="L31" s="12" t="str">
        <f>IF(OR(SL=1,SL=7),"-","x")</f>
        <v>x</v>
      </c>
      <c r="N31" s="7"/>
      <c r="P31" s="25"/>
    </row>
    <row r="32" spans="1:16" ht="1.5" customHeight="1" x14ac:dyDescent="0.2">
      <c r="H32" s="7"/>
      <c r="J32" s="7"/>
      <c r="L32" s="7"/>
      <c r="N32" s="7"/>
      <c r="P32" s="26"/>
    </row>
    <row r="33" spans="1:16" ht="13.5" customHeight="1" x14ac:dyDescent="0.2">
      <c r="B33" s="3" t="s">
        <v>471</v>
      </c>
      <c r="H33" s="30" t="s">
        <v>43</v>
      </c>
      <c r="J33" s="12" t="str">
        <f>IF(OR(H$15="x",L33="x"),"-",IF(H33="x","-","x"))</f>
        <v>-</v>
      </c>
      <c r="L33" s="12" t="str">
        <f>IF(OR(SL=8),"-","x")</f>
        <v>x</v>
      </c>
      <c r="N33" s="7"/>
      <c r="P33" s="25"/>
    </row>
    <row r="34" spans="1:16" ht="1.5" customHeight="1" x14ac:dyDescent="0.2">
      <c r="H34" s="27"/>
      <c r="J34" s="14"/>
      <c r="L34" s="14"/>
      <c r="N34" s="7"/>
      <c r="P34" s="26"/>
    </row>
    <row r="35" spans="1:16" ht="13.5" customHeight="1" x14ac:dyDescent="0.2">
      <c r="B35" s="3" t="s">
        <v>472</v>
      </c>
      <c r="H35" s="30" t="s">
        <v>43</v>
      </c>
      <c r="J35" s="12" t="str">
        <f>IF(OR(H$15="x",L35="x"),"-",IF(H35="x","-","x"))</f>
        <v>-</v>
      </c>
      <c r="L35" s="12" t="str">
        <f>IF(OR(SL=9),"-","x")</f>
        <v>x</v>
      </c>
      <c r="N35" s="7"/>
      <c r="P35" s="25"/>
    </row>
    <row r="36" spans="1:16" ht="1.5" customHeight="1" x14ac:dyDescent="0.2">
      <c r="H36" s="27"/>
      <c r="J36" s="14"/>
      <c r="L36" s="14"/>
      <c r="N36" s="7"/>
      <c r="P36" s="26"/>
    </row>
    <row r="37" spans="1:16" ht="13.5" customHeight="1" x14ac:dyDescent="0.2">
      <c r="B37" s="3" t="s">
        <v>473</v>
      </c>
      <c r="H37" s="30" t="s">
        <v>43</v>
      </c>
      <c r="J37" s="12" t="str">
        <f>IF(OR(H$15="x",L37="x"),"-",IF(H37="x","-","x"))</f>
        <v>-</v>
      </c>
      <c r="L37" s="12" t="str">
        <f>IF(OR(SL=11),"-","x")</f>
        <v>x</v>
      </c>
      <c r="N37" s="7"/>
      <c r="P37" s="25"/>
    </row>
    <row r="38" spans="1:16" ht="1.5" customHeight="1" x14ac:dyDescent="0.2">
      <c r="H38" s="27"/>
      <c r="J38" s="14"/>
      <c r="L38" s="14"/>
      <c r="N38" s="7"/>
      <c r="P38" s="26"/>
    </row>
    <row r="39" spans="1:16" ht="13.5" customHeight="1" x14ac:dyDescent="0.2">
      <c r="B39" s="3" t="s">
        <v>76</v>
      </c>
      <c r="H39" s="30" t="s">
        <v>43</v>
      </c>
      <c r="J39" s="12" t="str">
        <f>IF(OR(H$15="x",L39="x"),"-",IF(H39="x","-","x"))</f>
        <v>-</v>
      </c>
      <c r="L39" s="12" t="str">
        <f>IF(NOT($H$17="x"),"x","-")</f>
        <v>x</v>
      </c>
      <c r="N39" s="7"/>
      <c r="P39" s="25"/>
    </row>
    <row r="40" spans="1:16" ht="1.5" customHeight="1" x14ac:dyDescent="0.2">
      <c r="H40" s="27"/>
      <c r="J40" s="14"/>
      <c r="L40" s="14"/>
      <c r="N40" s="7"/>
      <c r="P40" s="26"/>
    </row>
    <row r="41" spans="1:16" ht="13.5" customHeight="1" x14ac:dyDescent="0.2">
      <c r="B41" s="3" t="s">
        <v>887</v>
      </c>
      <c r="H41" s="30" t="s">
        <v>43</v>
      </c>
      <c r="J41" s="12" t="str">
        <f>IF(OR(H$15="x",L41="x"),"-",IF(H41="x","-","x"))</f>
        <v>-</v>
      </c>
      <c r="L41" s="12" t="str">
        <f>IF(NOT($H$19="x"),"x","-")</f>
        <v>x</v>
      </c>
      <c r="N41" s="7"/>
      <c r="O41" s="38" t="str">
        <f>IF(AND(Kanton="Nidwalden",H41="-"),"Kt. NW: Min. provisorisches Zertifikat ist vorzulegen.","")</f>
        <v/>
      </c>
      <c r="P41" s="25"/>
    </row>
    <row r="42" spans="1:16" ht="63" customHeight="1" x14ac:dyDescent="0.2">
      <c r="F42" s="7" t="s">
        <v>315</v>
      </c>
      <c r="H42" s="36" t="s">
        <v>42</v>
      </c>
    </row>
    <row r="43" spans="1:16" x14ac:dyDescent="0.2">
      <c r="A43" s="2" t="s">
        <v>313</v>
      </c>
      <c r="B43" s="2"/>
      <c r="F43" s="12" t="str">
        <f>IF(SL=1,"x","-")</f>
        <v>-</v>
      </c>
    </row>
    <row r="44" spans="1:16" ht="2.1" customHeight="1" x14ac:dyDescent="0.2">
      <c r="A44" s="2"/>
      <c r="B44" s="2"/>
      <c r="H44" s="7"/>
      <c r="J44" s="7"/>
    </row>
    <row r="45" spans="1:16" x14ac:dyDescent="0.2">
      <c r="B45" s="3" t="s">
        <v>314</v>
      </c>
      <c r="G45" s="4"/>
      <c r="H45" s="30" t="s">
        <v>43</v>
      </c>
      <c r="J45" s="12" t="str">
        <f>IF(OR(H$15="x",L45="x"),"-",IF(H45="x","-","x"))</f>
        <v>-</v>
      </c>
      <c r="L45" s="12" t="str">
        <f>IF(F43="x","-","x")</f>
        <v>x</v>
      </c>
      <c r="N45" s="7"/>
      <c r="P45" s="25" t="s">
        <v>320</v>
      </c>
    </row>
    <row r="46" spans="1:16" ht="2.1" customHeight="1" x14ac:dyDescent="0.2">
      <c r="H46" s="7"/>
      <c r="J46" s="7"/>
      <c r="L46" s="7"/>
      <c r="N46" s="7"/>
      <c r="P46" s="26"/>
    </row>
    <row r="47" spans="1:16" x14ac:dyDescent="0.2">
      <c r="B47" s="3" t="s">
        <v>460</v>
      </c>
      <c r="H47" s="30" t="s">
        <v>43</v>
      </c>
      <c r="J47" s="12" t="str">
        <f>IF(OR(H$15="x",L47="x"),"-",IF(H47="x","-","x"))</f>
        <v>-</v>
      </c>
      <c r="L47" s="12" t="str">
        <f>IF(F43="x","-","x")</f>
        <v>x</v>
      </c>
      <c r="N47" s="7"/>
      <c r="P47" s="50"/>
    </row>
    <row r="48" spans="1:16" ht="20.100000000000001" customHeight="1" x14ac:dyDescent="0.2"/>
    <row r="49" spans="1:16" x14ac:dyDescent="0.2">
      <c r="A49" s="2" t="s">
        <v>316</v>
      </c>
      <c r="B49" s="2"/>
      <c r="F49" s="12" t="str">
        <f>IF(SL=2,"x","-")</f>
        <v>-</v>
      </c>
    </row>
    <row r="50" spans="1:16" ht="2.1" customHeight="1" x14ac:dyDescent="0.2">
      <c r="A50" s="2"/>
      <c r="B50" s="2"/>
      <c r="H50" s="7"/>
      <c r="J50" s="7"/>
    </row>
    <row r="51" spans="1:16" x14ac:dyDescent="0.2">
      <c r="B51" s="3" t="s">
        <v>317</v>
      </c>
      <c r="G51" s="4"/>
      <c r="H51" s="30" t="s">
        <v>43</v>
      </c>
      <c r="J51" s="12" t="str">
        <f>IF(OR(H$15="x",L51="x"),"-",IF(H51="x","-","x"))</f>
        <v>-</v>
      </c>
      <c r="L51" s="12" t="str">
        <f>IF(F49="x","-","x")</f>
        <v>x</v>
      </c>
      <c r="N51" s="7"/>
      <c r="P51" s="25" t="s">
        <v>320</v>
      </c>
    </row>
    <row r="52" spans="1:16" ht="2.1" customHeight="1" x14ac:dyDescent="0.2">
      <c r="H52" s="7"/>
      <c r="J52" s="7"/>
      <c r="L52" s="7"/>
      <c r="N52" s="7"/>
    </row>
    <row r="53" spans="1:16" x14ac:dyDescent="0.2">
      <c r="B53" s="3" t="s">
        <v>381</v>
      </c>
      <c r="H53" s="30" t="s">
        <v>43</v>
      </c>
      <c r="J53" s="12" t="str">
        <f>IF(OR(H$15="x",L53="x"),"-",IF(H53="x","-","x"))</f>
        <v>-</v>
      </c>
      <c r="L53" s="12" t="str">
        <f>IF(F49="x","-","x")</f>
        <v>x</v>
      </c>
      <c r="N53" s="7"/>
      <c r="P53" s="25"/>
    </row>
    <row r="54" spans="1:16" ht="2.1" customHeight="1" x14ac:dyDescent="0.2">
      <c r="H54" s="7"/>
      <c r="J54" s="7"/>
      <c r="L54" s="7"/>
      <c r="N54" s="7"/>
    </row>
    <row r="55" spans="1:16" x14ac:dyDescent="0.2">
      <c r="B55" s="3" t="s">
        <v>319</v>
      </c>
      <c r="H55" s="30" t="s">
        <v>43</v>
      </c>
      <c r="J55" s="12" t="str">
        <f>IF(OR(H$15="x",L55="x"),"-",IF(H55="x","-","x"))</f>
        <v>-</v>
      </c>
      <c r="L55" s="12" t="str">
        <f>IF(F49="x","-","x")</f>
        <v>x</v>
      </c>
      <c r="N55" s="7"/>
      <c r="P55" s="25"/>
    </row>
    <row r="56" spans="1:16" ht="20.100000000000001" customHeight="1" x14ac:dyDescent="0.2">
      <c r="C56" s="4"/>
      <c r="D56" s="4"/>
      <c r="F56" s="4"/>
      <c r="G56" s="4"/>
    </row>
    <row r="57" spans="1:16" x14ac:dyDescent="0.2">
      <c r="A57" s="2" t="s">
        <v>321</v>
      </c>
      <c r="B57" s="2"/>
      <c r="F57" s="12" t="str">
        <f>IF(SL=3,"x","-")</f>
        <v>-</v>
      </c>
    </row>
    <row r="58" spans="1:16" ht="2.1" customHeight="1" x14ac:dyDescent="0.2">
      <c r="A58" s="2"/>
      <c r="B58" s="2"/>
      <c r="H58" s="7"/>
      <c r="J58" s="7"/>
    </row>
    <row r="59" spans="1:16" x14ac:dyDescent="0.2">
      <c r="B59" s="3" t="s">
        <v>382</v>
      </c>
      <c r="G59" s="4"/>
      <c r="H59" s="30" t="s">
        <v>43</v>
      </c>
      <c r="J59" s="12" t="str">
        <f>IF(OR(H$15="x",L59="x"),"-",IF(H59="x","-","x"))</f>
        <v>-</v>
      </c>
      <c r="L59" s="12" t="str">
        <f>IF(F57="x","-","x")</f>
        <v>x</v>
      </c>
      <c r="N59" s="7"/>
      <c r="P59" s="25" t="s">
        <v>320</v>
      </c>
    </row>
    <row r="60" spans="1:16" ht="2.1" customHeight="1" x14ac:dyDescent="0.2">
      <c r="H60" s="7"/>
      <c r="J60" s="7"/>
      <c r="L60" s="7"/>
      <c r="N60" s="7"/>
    </row>
    <row r="61" spans="1:16" x14ac:dyDescent="0.2">
      <c r="B61" s="3" t="s">
        <v>318</v>
      </c>
      <c r="H61" s="30" t="s">
        <v>43</v>
      </c>
      <c r="J61" s="12" t="str">
        <f>IF(OR(H$15="x",L61="x"),"-",IF(H61="x","-","x"))</f>
        <v>-</v>
      </c>
      <c r="L61" s="12" t="str">
        <f>IF(F57="x","-","x")</f>
        <v>x</v>
      </c>
      <c r="N61" s="7"/>
      <c r="P61" s="25"/>
    </row>
    <row r="62" spans="1:16" ht="2.1" customHeight="1" x14ac:dyDescent="0.2">
      <c r="H62" s="7"/>
      <c r="J62" s="7"/>
      <c r="L62" s="7"/>
      <c r="N62" s="7"/>
    </row>
    <row r="63" spans="1:16" x14ac:dyDescent="0.2">
      <c r="B63" s="3" t="s">
        <v>319</v>
      </c>
      <c r="H63" s="30" t="s">
        <v>43</v>
      </c>
      <c r="J63" s="12" t="str">
        <f>IF(OR(H$15="x",L63="x"),"-",IF(H63="x","-","x"))</f>
        <v>-</v>
      </c>
      <c r="L63" s="12" t="str">
        <f>IF(F57="x","-","x")</f>
        <v>x</v>
      </c>
      <c r="N63" s="7"/>
      <c r="P63" s="25"/>
    </row>
    <row r="64" spans="1:16" ht="20.100000000000001" customHeight="1" x14ac:dyDescent="0.2">
      <c r="C64" s="4"/>
      <c r="D64" s="4"/>
      <c r="F64" s="4"/>
      <c r="G64" s="4"/>
    </row>
    <row r="65" spans="1:16" x14ac:dyDescent="0.2">
      <c r="A65" s="2" t="s">
        <v>322</v>
      </c>
      <c r="B65" s="2"/>
      <c r="F65" s="12" t="str">
        <f>IF(SL=4,"x","-")</f>
        <v>-</v>
      </c>
    </row>
    <row r="66" spans="1:16" ht="2.1" customHeight="1" x14ac:dyDescent="0.2">
      <c r="A66" s="2"/>
      <c r="B66" s="2"/>
      <c r="H66" s="7"/>
      <c r="J66" s="7"/>
    </row>
    <row r="67" spans="1:16" x14ac:dyDescent="0.2">
      <c r="B67" s="3" t="s">
        <v>383</v>
      </c>
      <c r="G67" s="4"/>
      <c r="H67" s="30" t="s">
        <v>43</v>
      </c>
      <c r="J67" s="12" t="str">
        <f>IF(OR(H$15="x",L67="x"),"-",IF(H67="x","-","x"))</f>
        <v>-</v>
      </c>
      <c r="L67" s="12" t="str">
        <f>IF(F65="x","-","x")</f>
        <v>x</v>
      </c>
      <c r="N67" s="7"/>
      <c r="P67" s="25" t="s">
        <v>320</v>
      </c>
    </row>
    <row r="68" spans="1:16" ht="2.1" customHeight="1" x14ac:dyDescent="0.2">
      <c r="H68" s="7"/>
      <c r="J68" s="7"/>
      <c r="L68" s="7"/>
      <c r="N68" s="7"/>
      <c r="P68" s="26"/>
    </row>
    <row r="69" spans="1:16" x14ac:dyDescent="0.2">
      <c r="B69" s="3" t="s">
        <v>384</v>
      </c>
      <c r="H69" s="30" t="s">
        <v>43</v>
      </c>
      <c r="J69" s="12" t="str">
        <f>IF(OR(H$15="x",L69="x"),"-",IF(H69="x","-","x"))</f>
        <v>-</v>
      </c>
      <c r="L69" s="12" t="str">
        <f>IF(F65="x","-","x")</f>
        <v>x</v>
      </c>
      <c r="N69" s="7"/>
      <c r="P69" s="25"/>
    </row>
    <row r="70" spans="1:16" ht="20.100000000000001" customHeight="1" x14ac:dyDescent="0.2">
      <c r="C70" s="4"/>
      <c r="D70" s="4"/>
      <c r="F70" s="4"/>
      <c r="G70" s="4"/>
    </row>
    <row r="71" spans="1:16" x14ac:dyDescent="0.2">
      <c r="A71" s="2" t="s">
        <v>323</v>
      </c>
      <c r="B71" s="2"/>
      <c r="F71" s="12" t="str">
        <f>IF(SL=5,"x","-")</f>
        <v>-</v>
      </c>
    </row>
    <row r="72" spans="1:16" ht="2.1" customHeight="1" x14ac:dyDescent="0.2">
      <c r="A72" s="2"/>
      <c r="B72" s="2"/>
      <c r="H72" s="7"/>
      <c r="J72" s="7"/>
    </row>
    <row r="73" spans="1:16" x14ac:dyDescent="0.2">
      <c r="B73" s="3" t="s">
        <v>324</v>
      </c>
      <c r="G73" s="4"/>
      <c r="H73" s="30" t="s">
        <v>43</v>
      </c>
      <c r="J73" s="12" t="str">
        <f>IF(OR(H$15="x",L73="x"),"-",IF(H73="x","-","x"))</f>
        <v>-</v>
      </c>
      <c r="L73" s="12" t="str">
        <f>IF(F71="x","-","x")</f>
        <v>x</v>
      </c>
      <c r="N73" s="7"/>
      <c r="P73" s="25" t="s">
        <v>325</v>
      </c>
    </row>
    <row r="74" spans="1:16" ht="2.1" customHeight="1" x14ac:dyDescent="0.2">
      <c r="H74" s="7"/>
      <c r="J74" s="7"/>
      <c r="L74" s="7"/>
      <c r="N74" s="7"/>
    </row>
    <row r="75" spans="1:16" x14ac:dyDescent="0.2">
      <c r="B75" s="3" t="s">
        <v>318</v>
      </c>
      <c r="H75" s="30" t="s">
        <v>43</v>
      </c>
      <c r="J75" s="12" t="str">
        <f>IF(OR(H$15="x",L75="x"),"-",IF(H75="x","-","x"))</f>
        <v>-</v>
      </c>
      <c r="L75" s="12" t="str">
        <f>IF(F71="x","-","x")</f>
        <v>x</v>
      </c>
      <c r="N75" s="7"/>
      <c r="P75" s="25"/>
    </row>
    <row r="76" spans="1:16" ht="20.100000000000001" customHeight="1" x14ac:dyDescent="0.2">
      <c r="C76" s="4"/>
      <c r="D76" s="4"/>
      <c r="F76" s="4"/>
      <c r="G76" s="4"/>
    </row>
    <row r="77" spans="1:16" x14ac:dyDescent="0.2">
      <c r="A77" s="2" t="s">
        <v>326</v>
      </c>
      <c r="B77" s="2"/>
      <c r="F77" s="12" t="str">
        <f>IF(SL=6,"x","-")</f>
        <v>-</v>
      </c>
    </row>
    <row r="78" spans="1:16" ht="2.1" customHeight="1" x14ac:dyDescent="0.2">
      <c r="A78" s="2"/>
      <c r="B78" s="2"/>
      <c r="H78" s="7"/>
      <c r="J78" s="7"/>
    </row>
    <row r="79" spans="1:16" x14ac:dyDescent="0.2">
      <c r="B79" s="3" t="s">
        <v>385</v>
      </c>
      <c r="G79" s="4"/>
      <c r="H79" s="30" t="s">
        <v>43</v>
      </c>
      <c r="J79" s="12" t="str">
        <f>IF(OR(H$15="x",L79="x"),"-",IF(H79="x","-","x"))</f>
        <v>-</v>
      </c>
      <c r="L79" s="12" t="str">
        <f>IF(F77="x","-","x")</f>
        <v>x</v>
      </c>
      <c r="N79" s="7"/>
      <c r="P79" s="25" t="s">
        <v>320</v>
      </c>
    </row>
    <row r="80" spans="1:16" ht="2.1" customHeight="1" x14ac:dyDescent="0.2">
      <c r="H80" s="7"/>
      <c r="J80" s="7"/>
      <c r="L80" s="7"/>
      <c r="N80" s="7"/>
    </row>
    <row r="81" spans="1:16" x14ac:dyDescent="0.2">
      <c r="B81" s="3" t="s">
        <v>386</v>
      </c>
      <c r="H81" s="30" t="s">
        <v>43</v>
      </c>
      <c r="J81" s="12" t="str">
        <f>IF(OR(H$15="x",L81="x"),"-",IF(H81="x","-","x"))</f>
        <v>-</v>
      </c>
      <c r="L81" s="12" t="str">
        <f>IF(F77="x","-","x")</f>
        <v>x</v>
      </c>
      <c r="N81" s="7"/>
      <c r="P81" s="25"/>
    </row>
    <row r="82" spans="1:16" ht="54.75" customHeight="1" x14ac:dyDescent="0.2">
      <c r="C82" s="4"/>
      <c r="D82" s="4"/>
      <c r="F82" s="4"/>
      <c r="G82" s="4"/>
    </row>
    <row r="83" spans="1:16" x14ac:dyDescent="0.2">
      <c r="A83" s="2" t="s">
        <v>327</v>
      </c>
      <c r="B83" s="2"/>
      <c r="F83" s="12" t="str">
        <f>IF(SL=7,"x","-")</f>
        <v>-</v>
      </c>
    </row>
    <row r="84" spans="1:16" ht="2.1" customHeight="1" x14ac:dyDescent="0.2">
      <c r="A84" s="2"/>
      <c r="B84" s="2"/>
      <c r="H84" s="7"/>
      <c r="J84" s="7"/>
    </row>
    <row r="85" spans="1:16" x14ac:dyDescent="0.2">
      <c r="B85" s="3" t="s">
        <v>461</v>
      </c>
      <c r="G85" s="4"/>
      <c r="H85" s="30" t="s">
        <v>43</v>
      </c>
      <c r="J85" s="12" t="str">
        <f>IF(OR(H$15="x",L85="x"),"-",IF(H85="x","-","x"))</f>
        <v>-</v>
      </c>
      <c r="L85" s="12" t="str">
        <f>IF(F83="x","-","x")</f>
        <v>x</v>
      </c>
      <c r="N85" s="7"/>
      <c r="P85" s="25" t="s">
        <v>320</v>
      </c>
    </row>
    <row r="86" spans="1:16" ht="2.1" customHeight="1" x14ac:dyDescent="0.2">
      <c r="G86" s="4"/>
      <c r="H86" s="42"/>
      <c r="J86" s="14"/>
      <c r="L86" s="14"/>
      <c r="N86" s="7"/>
      <c r="P86" s="26"/>
    </row>
    <row r="87" spans="1:16" x14ac:dyDescent="0.2">
      <c r="B87" s="3" t="s">
        <v>398</v>
      </c>
      <c r="G87" s="4"/>
      <c r="H87" s="30" t="s">
        <v>43</v>
      </c>
      <c r="J87" s="12" t="str">
        <f>IF(OR(H$15="x",L87="x"),"-",IF(H87="x","-","x"))</f>
        <v>-</v>
      </c>
      <c r="L87" s="12" t="str">
        <f>IF(F83="x","-","x")</f>
        <v>x</v>
      </c>
      <c r="N87" s="7"/>
      <c r="P87" s="25"/>
    </row>
    <row r="88" spans="1:16" ht="20.100000000000001" customHeight="1" x14ac:dyDescent="0.2">
      <c r="C88" s="4"/>
      <c r="D88" s="4"/>
      <c r="F88" s="4"/>
      <c r="G88" s="4"/>
    </row>
    <row r="89" spans="1:16" x14ac:dyDescent="0.2">
      <c r="A89" s="2" t="s">
        <v>389</v>
      </c>
      <c r="B89" s="2"/>
      <c r="F89" s="12" t="str">
        <f>IF(SL=8,"x","-")</f>
        <v>-</v>
      </c>
    </row>
    <row r="90" spans="1:16" ht="2.1" customHeight="1" x14ac:dyDescent="0.2">
      <c r="A90" s="2"/>
      <c r="B90" s="2"/>
      <c r="H90" s="7"/>
      <c r="J90" s="7"/>
    </row>
    <row r="91" spans="1:16" x14ac:dyDescent="0.2">
      <c r="B91" s="3" t="s">
        <v>387</v>
      </c>
      <c r="G91" s="4"/>
      <c r="H91" s="30" t="s">
        <v>43</v>
      </c>
      <c r="J91" s="12" t="str">
        <f>IF(OR(H$15="x",L91="x"),"-",IF(H91="x","-","x"))</f>
        <v>-</v>
      </c>
      <c r="L91" s="12" t="str">
        <f>IF(F89="x","-","x")</f>
        <v>x</v>
      </c>
      <c r="N91" s="7"/>
      <c r="P91" s="25" t="s">
        <v>320</v>
      </c>
    </row>
    <row r="92" spans="1:16" ht="2.1" customHeight="1" x14ac:dyDescent="0.2">
      <c r="H92" s="7"/>
      <c r="J92" s="7"/>
      <c r="L92" s="7"/>
      <c r="N92" s="7"/>
    </row>
    <row r="93" spans="1:16" ht="16.5" x14ac:dyDescent="0.2">
      <c r="B93" s="3" t="s">
        <v>390</v>
      </c>
      <c r="H93" s="30" t="s">
        <v>43</v>
      </c>
      <c r="J93" s="12" t="str">
        <f>IF(OR(H$15="x",L93="x"),"-",IF(H93="x","-","x"))</f>
        <v>-</v>
      </c>
      <c r="L93" s="12" t="str">
        <f>IF(F89="x","-","x")</f>
        <v>x</v>
      </c>
      <c r="N93" s="7"/>
      <c r="P93" s="25"/>
    </row>
    <row r="94" spans="1:16" ht="2.1" customHeight="1" x14ac:dyDescent="0.2">
      <c r="H94" s="7"/>
      <c r="J94" s="7"/>
      <c r="L94" s="7"/>
      <c r="N94" s="7"/>
    </row>
    <row r="95" spans="1:16" ht="16.5" x14ac:dyDescent="0.2">
      <c r="B95" s="3" t="s">
        <v>388</v>
      </c>
      <c r="H95" s="30" t="s">
        <v>43</v>
      </c>
      <c r="J95" s="12" t="str">
        <f>IF(OR(H$15="x",L95="x"),"-",IF(H95="x","-","x"))</f>
        <v>-</v>
      </c>
      <c r="L95" s="12" t="str">
        <f>IF(F89="x","-","x")</f>
        <v>x</v>
      </c>
      <c r="N95" s="7"/>
      <c r="P95" s="25"/>
    </row>
    <row r="96" spans="1:16" ht="14.25" customHeight="1" x14ac:dyDescent="0.2">
      <c r="C96" s="4"/>
      <c r="D96" s="4"/>
      <c r="F96" s="4"/>
      <c r="G96" s="4"/>
    </row>
    <row r="97" spans="1:16" x14ac:dyDescent="0.2">
      <c r="A97" s="2" t="s">
        <v>328</v>
      </c>
      <c r="B97" s="2"/>
      <c r="F97" s="12" t="str">
        <f>IF(SL=9,"x","-")</f>
        <v>-</v>
      </c>
    </row>
    <row r="98" spans="1:16" ht="2.1" customHeight="1" x14ac:dyDescent="0.2">
      <c r="A98" s="2"/>
      <c r="B98" s="2"/>
      <c r="H98" s="7"/>
      <c r="J98" s="7"/>
    </row>
    <row r="99" spans="1:16" x14ac:dyDescent="0.2">
      <c r="B99" s="3" t="s">
        <v>392</v>
      </c>
      <c r="G99" s="4"/>
      <c r="H99" s="30" t="s">
        <v>43</v>
      </c>
      <c r="J99" s="12" t="str">
        <f>IF(OR(H$15="x",L99="x"),"-",IF(H99="x","-","x"))</f>
        <v>-</v>
      </c>
      <c r="L99" s="12" t="str">
        <f>IF(F97="x","-","x")</f>
        <v>x</v>
      </c>
      <c r="N99" s="7"/>
      <c r="P99" s="25" t="s">
        <v>320</v>
      </c>
    </row>
    <row r="100" spans="1:16" ht="2.1" customHeight="1" x14ac:dyDescent="0.2">
      <c r="H100" s="7"/>
      <c r="J100" s="7"/>
      <c r="L100" s="7"/>
      <c r="N100" s="7"/>
    </row>
    <row r="101" spans="1:16" ht="16.5" x14ac:dyDescent="0.2">
      <c r="B101" s="3" t="s">
        <v>391</v>
      </c>
      <c r="H101" s="30" t="s">
        <v>43</v>
      </c>
      <c r="J101" s="12" t="str">
        <f>IF(OR(H$15="x",L101="x"),"-",IF(H101="x","-","x"))</f>
        <v>-</v>
      </c>
      <c r="L101" s="12" t="str">
        <f>IF(F97="x","-","x")</f>
        <v>x</v>
      </c>
      <c r="N101" s="7"/>
      <c r="P101" s="25"/>
    </row>
    <row r="102" spans="1:16" ht="2.1" customHeight="1" x14ac:dyDescent="0.2">
      <c r="H102" s="7"/>
      <c r="J102" s="7"/>
      <c r="L102" s="7"/>
      <c r="N102" s="7"/>
    </row>
    <row r="103" spans="1:16" ht="16.5" x14ac:dyDescent="0.2">
      <c r="B103" s="3" t="s">
        <v>393</v>
      </c>
      <c r="H103" s="30" t="s">
        <v>43</v>
      </c>
      <c r="J103" s="12" t="str">
        <f>IF(OR(H$15="x",L103="x"),"-",IF(H103="x","-","x"))</f>
        <v>-</v>
      </c>
      <c r="L103" s="12" t="str">
        <f>IF(F97="x","-","x")</f>
        <v>x</v>
      </c>
      <c r="N103" s="7"/>
      <c r="P103" s="25"/>
    </row>
    <row r="104" spans="1:16" ht="12" customHeight="1" x14ac:dyDescent="0.2">
      <c r="C104" s="4"/>
      <c r="D104" s="4"/>
      <c r="F104" s="4"/>
      <c r="G104" s="4"/>
    </row>
    <row r="105" spans="1:16" x14ac:dyDescent="0.2">
      <c r="A105" s="2" t="s">
        <v>329</v>
      </c>
      <c r="B105" s="2"/>
      <c r="F105" s="12" t="str">
        <f>IF(SL=10,"x","-")</f>
        <v>-</v>
      </c>
    </row>
    <row r="106" spans="1:16" ht="2.1" customHeight="1" x14ac:dyDescent="0.2">
      <c r="A106" s="2"/>
      <c r="B106" s="2"/>
      <c r="H106" s="7"/>
      <c r="J106" s="7"/>
    </row>
    <row r="107" spans="1:16" x14ac:dyDescent="0.2">
      <c r="B107" s="3" t="s">
        <v>330</v>
      </c>
      <c r="G107" s="4"/>
      <c r="H107" s="30" t="s">
        <v>43</v>
      </c>
      <c r="J107" s="12" t="str">
        <f>IF(OR(H$15="x",L107="x"),"-",IF(H107="x","-","x"))</f>
        <v>-</v>
      </c>
      <c r="L107" s="12" t="str">
        <f>IF(F105="x","-","x")</f>
        <v>x</v>
      </c>
      <c r="N107" s="7"/>
      <c r="P107" s="25" t="s">
        <v>320</v>
      </c>
    </row>
    <row r="108" spans="1:16" ht="2.1" customHeight="1" x14ac:dyDescent="0.2">
      <c r="H108" s="7"/>
      <c r="J108" s="7"/>
      <c r="L108" s="7"/>
      <c r="N108" s="7"/>
    </row>
    <row r="109" spans="1:16" x14ac:dyDescent="0.2">
      <c r="B109" s="3" t="s">
        <v>394</v>
      </c>
      <c r="H109" s="30" t="s">
        <v>43</v>
      </c>
      <c r="J109" s="12" t="str">
        <f>IF(OR(H$15="x",L109="x"),"-",IF(H109="x","-","x"))</f>
        <v>-</v>
      </c>
      <c r="L109" s="12" t="str">
        <f>IF(F105="x","-","x")</f>
        <v>x</v>
      </c>
      <c r="N109" s="7"/>
      <c r="P109" s="25"/>
    </row>
    <row r="110" spans="1:16" ht="20.100000000000001" customHeight="1" x14ac:dyDescent="0.2">
      <c r="C110" s="4"/>
      <c r="D110" s="4"/>
      <c r="F110" s="4"/>
      <c r="G110" s="4"/>
    </row>
    <row r="111" spans="1:16" x14ac:dyDescent="0.2">
      <c r="A111" s="2" t="s">
        <v>396</v>
      </c>
      <c r="B111" s="2"/>
      <c r="F111" s="12" t="str">
        <f>IF(SL=11,"x","-")</f>
        <v>-</v>
      </c>
    </row>
    <row r="112" spans="1:16" ht="2.1" customHeight="1" x14ac:dyDescent="0.2">
      <c r="A112" s="2"/>
      <c r="B112" s="2"/>
      <c r="H112" s="7"/>
      <c r="J112" s="7"/>
    </row>
    <row r="113" spans="1:17" x14ac:dyDescent="0.2">
      <c r="B113" s="3" t="s">
        <v>395</v>
      </c>
      <c r="G113" s="4"/>
      <c r="H113" s="30" t="s">
        <v>43</v>
      </c>
      <c r="J113" s="12" t="str">
        <f>IF(OR(H$15="x",L113="x"),"-",IF(H113="x","-","x"))</f>
        <v>-</v>
      </c>
      <c r="L113" s="12" t="str">
        <f>IF(F111="x","-","x")</f>
        <v>x</v>
      </c>
      <c r="N113" s="7"/>
      <c r="P113" s="25" t="s">
        <v>320</v>
      </c>
    </row>
    <row r="114" spans="1:17" ht="2.1" customHeight="1" x14ac:dyDescent="0.2">
      <c r="H114" s="7"/>
      <c r="J114" s="7"/>
      <c r="L114" s="7"/>
      <c r="N114" s="7"/>
    </row>
    <row r="115" spans="1:17" x14ac:dyDescent="0.2">
      <c r="B115" s="3" t="s">
        <v>397</v>
      </c>
      <c r="H115" s="30" t="s">
        <v>43</v>
      </c>
      <c r="J115" s="12" t="str">
        <f>IF(OR(H$15="x",L115="x"),"-",IF(H115="x","-","x"))</f>
        <v>-</v>
      </c>
      <c r="L115" s="12" t="str">
        <f>IF(F111="x","-","x")</f>
        <v>x</v>
      </c>
      <c r="N115" s="7"/>
      <c r="P115" s="25"/>
    </row>
    <row r="116" spans="1:17" ht="2.1" customHeight="1" x14ac:dyDescent="0.2"/>
    <row r="117" spans="1:17" ht="2.1" customHeight="1" x14ac:dyDescent="0.2"/>
    <row r="118" spans="1:17" ht="2.1" customHeight="1" x14ac:dyDescent="0.2"/>
    <row r="119" spans="1:17" ht="63" customHeight="1" x14ac:dyDescent="0.2"/>
    <row r="120" spans="1:17" ht="58.5" customHeight="1" x14ac:dyDescent="0.2"/>
    <row r="121" spans="1:17" ht="50.25" customHeight="1" x14ac:dyDescent="0.2"/>
    <row r="122" spans="1:17" ht="54.6" customHeight="1" x14ac:dyDescent="0.2"/>
    <row r="123" spans="1:17" ht="41.1" customHeight="1" x14ac:dyDescent="0.2"/>
    <row r="124" spans="1:17" ht="48" customHeight="1" x14ac:dyDescent="0.2"/>
    <row r="125" spans="1:17" ht="49.5" customHeight="1" x14ac:dyDescent="0.2">
      <c r="Q125" s="51"/>
    </row>
    <row r="126" spans="1:17" s="39" customFormat="1" ht="39.950000000000003" customHeight="1" x14ac:dyDescent="0.2">
      <c r="A126" s="2" t="s">
        <v>542</v>
      </c>
      <c r="B126" s="34"/>
      <c r="C126" s="35"/>
      <c r="D126" s="35"/>
      <c r="E126" s="35"/>
      <c r="F126" s="34"/>
      <c r="G126" s="34"/>
      <c r="H126" s="36"/>
      <c r="I126" s="34"/>
      <c r="J126" s="34"/>
      <c r="K126" s="34"/>
      <c r="L126" s="34"/>
      <c r="M126" s="34"/>
      <c r="N126" s="34"/>
    </row>
    <row r="127" spans="1:17" s="39" customFormat="1" ht="1.5" customHeight="1" x14ac:dyDescent="0.2">
      <c r="A127" s="34"/>
      <c r="B127" s="34"/>
      <c r="C127" s="35"/>
      <c r="D127" s="35"/>
      <c r="E127" s="35"/>
      <c r="F127" s="34"/>
      <c r="G127" s="34"/>
      <c r="H127" s="36"/>
      <c r="I127" s="34"/>
      <c r="J127" s="34"/>
      <c r="K127" s="34"/>
      <c r="L127" s="34"/>
      <c r="M127" s="34"/>
      <c r="N127" s="34"/>
    </row>
    <row r="128" spans="1:17" s="39" customFormat="1" ht="70.5" customHeight="1" x14ac:dyDescent="0.2">
      <c r="A128" s="52"/>
      <c r="B128" s="404"/>
      <c r="C128" s="404"/>
      <c r="D128" s="404"/>
      <c r="E128" s="404"/>
      <c r="F128" s="404"/>
      <c r="G128" s="404"/>
      <c r="H128" s="404"/>
      <c r="I128" s="404"/>
      <c r="J128" s="404"/>
      <c r="K128" s="404"/>
      <c r="L128" s="404"/>
      <c r="M128" s="404"/>
      <c r="N128" s="404"/>
      <c r="O128" s="404"/>
      <c r="P128" s="404"/>
    </row>
    <row r="129" spans="1:16" s="34" customFormat="1" ht="20.100000000000001" customHeight="1" x14ac:dyDescent="0.2">
      <c r="C129" s="35"/>
      <c r="D129" s="35"/>
      <c r="E129" s="35"/>
      <c r="H129" s="36"/>
    </row>
    <row r="130" spans="1:16" x14ac:dyDescent="0.2">
      <c r="A130" s="2" t="s">
        <v>38</v>
      </c>
      <c r="D130" s="34" t="b">
        <f>ISTEXT(B128)</f>
        <v>0</v>
      </c>
    </row>
    <row r="131" spans="1:16" ht="1.5" customHeight="1" x14ac:dyDescent="0.2">
      <c r="A131" s="2"/>
    </row>
    <row r="132" spans="1:16" ht="14.25" x14ac:dyDescent="0.2">
      <c r="A132" s="2"/>
      <c r="B132" s="3" t="s">
        <v>448</v>
      </c>
      <c r="D132" s="388" t="str">
        <f>IF(OR(H132="x",AND(COUNTIF(J27:J41,"x")=0,COUNTIF(H15:H21,"x")&gt;0)),"erfüllt","nicht erfüllt")</f>
        <v>nicht erfüllt</v>
      </c>
      <c r="E132" s="388"/>
      <c r="F132" s="388"/>
      <c r="H132" s="30" t="s">
        <v>43</v>
      </c>
      <c r="J132" s="3" t="s">
        <v>451</v>
      </c>
    </row>
    <row r="133" spans="1:16" ht="1.5" customHeight="1" x14ac:dyDescent="0.2">
      <c r="A133" s="2"/>
    </row>
    <row r="134" spans="1:16" ht="14.25" x14ac:dyDescent="0.2">
      <c r="B134" s="3" t="s">
        <v>251</v>
      </c>
      <c r="D134" s="388" t="str">
        <f>IF(OR(COUNTIF(J45:J115,"x")=0,COUNTIF(H134,"x")&gt;0),"erfüllt", "nicht erfüllt")</f>
        <v>erfüllt</v>
      </c>
      <c r="E134" s="388"/>
      <c r="F134" s="388"/>
      <c r="H134" s="30" t="s">
        <v>43</v>
      </c>
      <c r="J134" s="3" t="s">
        <v>449</v>
      </c>
    </row>
    <row r="135" spans="1:16" ht="1.5" customHeight="1" x14ac:dyDescent="0.2">
      <c r="D135" s="89"/>
    </row>
    <row r="137" spans="1:16" ht="13.5" customHeight="1" x14ac:dyDescent="0.2">
      <c r="A137" s="34"/>
      <c r="B137" s="3" t="s">
        <v>39</v>
      </c>
      <c r="D137" s="3" t="str">
        <f>IF(ISTEXT(Name_Kontr),Name_Kontr,"")</f>
        <v/>
      </c>
      <c r="H137" s="328" t="str">
        <f>IF(AND(NOT(D130),COUNTIF(H132:H134,"x")&gt;0),"Begründung und Empfehlung des weiteren Vorgehens erforderlich.","")</f>
        <v/>
      </c>
      <c r="I137" s="328"/>
      <c r="J137" s="328"/>
      <c r="K137" s="328"/>
      <c r="L137" s="328"/>
      <c r="M137" s="328"/>
      <c r="N137" s="328"/>
      <c r="O137" s="328"/>
      <c r="P137" s="328"/>
    </row>
    <row r="138" spans="1:16" ht="2.1" customHeight="1" x14ac:dyDescent="0.2">
      <c r="A138" s="34" t="s">
        <v>42</v>
      </c>
      <c r="H138" s="78"/>
      <c r="I138" s="78"/>
      <c r="J138" s="78"/>
      <c r="K138" s="78"/>
      <c r="L138" s="78"/>
      <c r="M138" s="78"/>
      <c r="N138" s="78"/>
      <c r="O138" s="78"/>
      <c r="P138" s="78"/>
    </row>
    <row r="139" spans="1:16" x14ac:dyDescent="0.2">
      <c r="A139" s="34" t="s">
        <v>43</v>
      </c>
      <c r="B139" s="3" t="s">
        <v>40</v>
      </c>
      <c r="D139" s="47">
        <f ca="1">Datum</f>
        <v>45866</v>
      </c>
      <c r="H139" s="78"/>
      <c r="I139" s="78"/>
      <c r="J139" s="78"/>
      <c r="K139" s="78"/>
      <c r="L139" s="78"/>
      <c r="M139" s="78"/>
      <c r="N139" s="78"/>
      <c r="O139" s="78"/>
      <c r="P139" s="78"/>
    </row>
    <row r="169" spans="1:1" ht="14.25" thickBot="1" x14ac:dyDescent="0.25"/>
    <row r="170" spans="1:1" s="287" customFormat="1" x14ac:dyDescent="0.2">
      <c r="A170" s="287" t="s">
        <v>42</v>
      </c>
    </row>
    <row r="171" spans="1:1" x14ac:dyDescent="0.2">
      <c r="A171" s="3" t="s">
        <v>43</v>
      </c>
    </row>
    <row r="177" spans="1:4" x14ac:dyDescent="0.2">
      <c r="A177" s="3" t="s">
        <v>474</v>
      </c>
    </row>
    <row r="179" spans="1:4" x14ac:dyDescent="0.2">
      <c r="A179" s="3" t="s">
        <v>475</v>
      </c>
    </row>
    <row r="180" spans="1:4" x14ac:dyDescent="0.2">
      <c r="A180" s="3" t="s">
        <v>476</v>
      </c>
    </row>
    <row r="181" spans="1:4" x14ac:dyDescent="0.2">
      <c r="A181" s="3" t="s">
        <v>477</v>
      </c>
    </row>
    <row r="182" spans="1:4" x14ac:dyDescent="0.2">
      <c r="A182" s="3" t="s">
        <v>478</v>
      </c>
    </row>
    <row r="183" spans="1:4" x14ac:dyDescent="0.2">
      <c r="A183" s="3" t="s">
        <v>479</v>
      </c>
    </row>
    <row r="184" spans="1:4" x14ac:dyDescent="0.2">
      <c r="A184" s="3" t="s">
        <v>480</v>
      </c>
    </row>
    <row r="185" spans="1:4" x14ac:dyDescent="0.2">
      <c r="A185" s="3" t="s">
        <v>481</v>
      </c>
    </row>
    <row r="186" spans="1:4" x14ac:dyDescent="0.2">
      <c r="A186" s="3" t="s">
        <v>482</v>
      </c>
    </row>
    <row r="187" spans="1:4" x14ac:dyDescent="0.2">
      <c r="A187" s="3" t="s">
        <v>483</v>
      </c>
    </row>
    <row r="188" spans="1:4" x14ac:dyDescent="0.2">
      <c r="A188" s="3" t="s">
        <v>853</v>
      </c>
      <c r="B188" s="38"/>
      <c r="C188" s="38"/>
      <c r="D188" s="38"/>
    </row>
    <row r="189" spans="1:4" x14ac:dyDescent="0.2">
      <c r="A189" s="3" t="s">
        <v>854</v>
      </c>
      <c r="B189" s="38"/>
      <c r="C189" s="38"/>
      <c r="D189" s="38"/>
    </row>
    <row r="190" spans="1:4" x14ac:dyDescent="0.2">
      <c r="A190" s="288" t="str">
        <f>IF(Kanton="Schwyz",A192,"")</f>
        <v/>
      </c>
      <c r="B190" s="288"/>
      <c r="C190" s="288"/>
    </row>
    <row r="191" spans="1:4" x14ac:dyDescent="0.2">
      <c r="A191" s="38"/>
    </row>
    <row r="192" spans="1:4" s="292" customFormat="1" ht="14.25" thickBot="1" x14ac:dyDescent="0.25">
      <c r="A192" s="289" t="s">
        <v>852</v>
      </c>
      <c r="B192" s="290"/>
      <c r="C192" s="290"/>
      <c r="D192" s="291" t="b">
        <f>C23=A192</f>
        <v>0</v>
      </c>
    </row>
  </sheetData>
  <sheetProtection algorithmName="SHA-512" hashValue="cEZnPb+USrNrWflgWkOvPz43FiBfnGFJ0V14kgv+X30yjiN/zTnZiYoXrRl0P04RnEM0fnO30wHiRg6UpPcpyA==" saltValue="8p8mSFnyXS8jsj/EUYb+nQ==" spinCount="100000" sheet="1" formatRows="0"/>
  <mergeCells count="8">
    <mergeCell ref="D134:F134"/>
    <mergeCell ref="H137:P137"/>
    <mergeCell ref="B128:P128"/>
    <mergeCell ref="C23:E23"/>
    <mergeCell ref="D5:M5"/>
    <mergeCell ref="D7:M7"/>
    <mergeCell ref="D11:M11"/>
    <mergeCell ref="D132:F132"/>
  </mergeCells>
  <phoneticPr fontId="7" type="noConversion"/>
  <conditionalFormatting sqref="C23">
    <cfRule type="expression" dxfId="74" priority="4">
      <formula>$H$47="x"</formula>
    </cfRule>
  </conditionalFormatting>
  <conditionalFormatting sqref="D132">
    <cfRule type="beginsWith" dxfId="73" priority="6" operator="beginsWith" text="erfüllt">
      <formula>LEFT(D132,LEN("erfüllt"))="erfüllt"</formula>
    </cfRule>
    <cfRule type="containsText" dxfId="72" priority="7" operator="containsText" text="nicht erfüllt">
      <formula>NOT(ISERROR(SEARCH("nicht erfüllt",D132)))</formula>
    </cfRule>
  </conditionalFormatting>
  <conditionalFormatting sqref="D134:D135 D132">
    <cfRule type="containsText" dxfId="71" priority="10" operator="containsText" text="nicht">
      <formula>NOT(ISERROR(SEARCH("nicht",B112)))</formula>
    </cfRule>
  </conditionalFormatting>
  <conditionalFormatting sqref="D134:D135">
    <cfRule type="beginsWith" dxfId="70" priority="8" operator="beginsWith" text="erfüllt">
      <formula>LEFT(D134,LEN("erfüllt"))="erfüllt"</formula>
    </cfRule>
    <cfRule type="containsText" dxfId="69" priority="9" operator="containsText" text="nicht erfüllt">
      <formula>NOT(ISERROR(SEARCH("nicht erfüllt",D134)))</formula>
    </cfRule>
  </conditionalFormatting>
  <conditionalFormatting sqref="J27:J124">
    <cfRule type="cellIs" dxfId="68" priority="1" operator="equal">
      <formula>"x"</formula>
    </cfRule>
  </conditionalFormatting>
  <dataValidations disablePrompts="1" count="3">
    <dataValidation type="list" allowBlank="1" showInputMessage="1" showErrorMessage="1" sqref="H86 H26 H22:H24 H34" xr:uid="{00000000-0002-0000-0C00-000000000000}">
      <formula1>$A$130:$A$131</formula1>
    </dataValidation>
    <dataValidation type="list" allowBlank="1" showInputMessage="1" showErrorMessage="1" sqref="H15 H99 H101 H79 H35:H41 H81 H33 H29 H31 H27 H75 H103 H113 H73 H85 H21 H17 H19 H107 H45 H47 H87:H88 H109 H51 H53:H55 H115 H61 H91 H59 H93 H67 H69 H95 H63" xr:uid="{00000000-0002-0000-0C00-000001000000}">
      <formula1>$A$170:$A$171</formula1>
    </dataValidation>
    <dataValidation type="list" allowBlank="1" showInputMessage="1" showErrorMessage="1" sqref="C23:E23" xr:uid="{00000000-0002-0000-0C00-000002000000}">
      <formula1>$A$177:$A$190</formula1>
    </dataValidation>
  </dataValidations>
  <hyperlinks>
    <hyperlink ref="P1" r:id="rId1" xr:uid="{A15E2F71-B20C-4AF3-9233-C2F8C6E4797F}"/>
    <hyperlink ref="P2" location="'EN-Kt.'!A1" display="Zurück zm EN-Kt. " xr:uid="{434F62C6-8332-461F-952C-73F8A38A9065}"/>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C00-000003000000}">
          <x14:formula1>
            <xm:f>'EN-Kt.'!$A$207:$A$208</xm:f>
          </x14:formula1>
          <xm:sqref>H134 H132</xm:sqref>
        </x14:dataValidation>
        <x14:dataValidation type="list" allowBlank="1" showInputMessage="1" showErrorMessage="1" xr:uid="{00000000-0002-0000-0C00-000004000000}">
          <x14:formula1>
            <xm:f>'EN-Kt.'!$C$304:$C$307</xm:f>
          </x14:formula1>
          <xm:sqref>D9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A65B-A45E-48FD-87D7-28B8AD1AEA16}">
  <sheetPr codeName="Tabelle25">
    <tabColor theme="0"/>
  </sheetPr>
  <dimension ref="A1:R211"/>
  <sheetViews>
    <sheetView showGridLines="0" zoomScaleNormal="100" zoomScalePageLayoutView="55" workbookViewId="0"/>
  </sheetViews>
  <sheetFormatPr baseColWidth="10" defaultColWidth="10.875" defaultRowHeight="13.5" x14ac:dyDescent="0.2"/>
  <cols>
    <col min="1" max="2" width="4.375" style="3" customWidth="1"/>
    <col min="3" max="3" width="20" style="3" customWidth="1"/>
    <col min="4" max="4" width="24.8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2.875" style="3" customWidth="1"/>
    <col min="15" max="15" width="0.375" style="3" customWidth="1"/>
    <col min="16" max="16" width="50" style="3" customWidth="1"/>
    <col min="17" max="16384" width="10.875" style="3"/>
  </cols>
  <sheetData>
    <row r="1" spans="1:18" ht="18" x14ac:dyDescent="0.25">
      <c r="A1" s="6" t="s">
        <v>1002</v>
      </c>
      <c r="B1" s="6"/>
      <c r="D1" s="51"/>
      <c r="P1" s="117" t="s">
        <v>503</v>
      </c>
      <c r="R1"/>
    </row>
    <row r="2" spans="1:18" ht="18" x14ac:dyDescent="0.25">
      <c r="A2" s="6" t="s">
        <v>331</v>
      </c>
      <c r="B2" s="6"/>
      <c r="P2" s="117" t="s">
        <v>734</v>
      </c>
    </row>
    <row r="3" spans="1:18" ht="57" customHeight="1" x14ac:dyDescent="0.2">
      <c r="A3" s="2" t="s">
        <v>61</v>
      </c>
      <c r="F3" s="1"/>
      <c r="H3" s="7"/>
      <c r="I3" s="7"/>
      <c r="J3" s="7"/>
      <c r="K3" s="7"/>
      <c r="L3" s="8"/>
      <c r="N3" s="8"/>
    </row>
    <row r="4" spans="1:18" ht="2.1" customHeight="1" x14ac:dyDescent="0.2">
      <c r="A4" s="2"/>
      <c r="F4" s="1"/>
      <c r="H4" s="7"/>
      <c r="I4" s="7"/>
      <c r="J4" s="7"/>
      <c r="K4" s="7"/>
      <c r="L4" s="8"/>
      <c r="N4" s="8"/>
    </row>
    <row r="5" spans="1:18" x14ac:dyDescent="0.2">
      <c r="B5" s="3" t="s">
        <v>62</v>
      </c>
      <c r="D5" s="406" t="str">
        <f>IF(ISTEXT(Gemeinde),Gemeinde,"")</f>
        <v/>
      </c>
      <c r="E5" s="406"/>
      <c r="F5" s="406"/>
      <c r="G5" s="406"/>
      <c r="H5" s="406"/>
      <c r="I5" s="406"/>
      <c r="J5" s="406"/>
      <c r="K5" s="406"/>
      <c r="L5" s="406"/>
      <c r="M5" s="406"/>
      <c r="N5" s="16"/>
      <c r="O5" s="98"/>
      <c r="P5" s="98"/>
    </row>
    <row r="6" spans="1:18" ht="2.1" customHeight="1" x14ac:dyDescent="0.2">
      <c r="D6" s="96"/>
      <c r="F6" s="7"/>
      <c r="G6" s="7"/>
      <c r="H6" s="7"/>
      <c r="I6" s="7"/>
      <c r="J6" s="8"/>
      <c r="L6" s="8"/>
      <c r="O6" s="1"/>
      <c r="P6" s="1"/>
    </row>
    <row r="7" spans="1:18" x14ac:dyDescent="0.2">
      <c r="B7" s="3" t="s">
        <v>63</v>
      </c>
      <c r="D7" s="407" t="str">
        <f>IF(ISTEXT(Bauvorhaben),Bauvorhaben,"")</f>
        <v/>
      </c>
      <c r="E7" s="407"/>
      <c r="F7" s="407"/>
      <c r="G7" s="407"/>
      <c r="H7" s="407"/>
      <c r="I7" s="407"/>
      <c r="J7" s="407"/>
      <c r="K7" s="407"/>
      <c r="L7" s="407"/>
      <c r="M7" s="407"/>
      <c r="N7" s="16"/>
      <c r="O7" s="98"/>
      <c r="P7" s="98"/>
    </row>
    <row r="8" spans="1:18" ht="2.1" customHeight="1" x14ac:dyDescent="0.2">
      <c r="F8" s="7"/>
      <c r="G8" s="7"/>
      <c r="H8" s="7"/>
      <c r="I8" s="7"/>
      <c r="J8" s="8"/>
      <c r="L8" s="8"/>
    </row>
    <row r="9" spans="1:18" x14ac:dyDescent="0.2">
      <c r="B9" s="38" t="s">
        <v>64</v>
      </c>
      <c r="C9" s="38"/>
      <c r="D9" s="218" t="s">
        <v>491</v>
      </c>
      <c r="E9" s="198"/>
      <c r="F9" s="198"/>
      <c r="G9" s="198"/>
      <c r="H9" s="198"/>
      <c r="I9" s="198"/>
      <c r="J9" s="198"/>
      <c r="K9" s="198"/>
      <c r="L9" s="198"/>
      <c r="M9" s="198"/>
      <c r="N9" s="198"/>
      <c r="O9" s="198"/>
      <c r="P9" s="198"/>
    </row>
    <row r="10" spans="1:18" ht="2.1" customHeight="1" x14ac:dyDescent="0.2">
      <c r="F10" s="7"/>
      <c r="G10" s="7"/>
      <c r="H10" s="7"/>
      <c r="I10" s="7"/>
      <c r="J10" s="8"/>
      <c r="L10" s="8"/>
    </row>
    <row r="11" spans="1:18" x14ac:dyDescent="0.2">
      <c r="B11" s="3" t="s">
        <v>65</v>
      </c>
      <c r="D11" s="407" t="str">
        <f>IF(ISTEXT(Kontrollbeauftragter),Kontrollbeauftragter,"")</f>
        <v/>
      </c>
      <c r="E11" s="407"/>
      <c r="F11" s="407"/>
      <c r="G11" s="407"/>
      <c r="H11" s="407"/>
      <c r="I11" s="407"/>
      <c r="J11" s="407"/>
      <c r="K11" s="407"/>
      <c r="L11" s="407"/>
      <c r="M11" s="407"/>
      <c r="N11" s="16"/>
      <c r="O11" s="98"/>
      <c r="P11" s="98"/>
    </row>
    <row r="13" spans="1:18" ht="63.95" customHeight="1" x14ac:dyDescent="0.2">
      <c r="A13" s="2" t="s">
        <v>970</v>
      </c>
      <c r="B13" s="2"/>
      <c r="P13" s="3" t="s">
        <v>16</v>
      </c>
    </row>
    <row r="14" spans="1:18" ht="2.1" customHeight="1" x14ac:dyDescent="0.2">
      <c r="A14" s="2"/>
      <c r="B14" s="2"/>
      <c r="H14" s="7"/>
      <c r="I14" s="7"/>
      <c r="J14" s="7"/>
      <c r="K14" s="7"/>
      <c r="L14" s="8"/>
      <c r="N14" s="8"/>
    </row>
    <row r="15" spans="1:18" x14ac:dyDescent="0.2">
      <c r="B15" s="38" t="s">
        <v>963</v>
      </c>
      <c r="H15" s="30" t="s">
        <v>43</v>
      </c>
      <c r="J15" s="92" t="str">
        <f>IF(COUNTIF($H$15:$H$26,"x")&gt;0,"-","x")</f>
        <v>x</v>
      </c>
      <c r="L15" s="7"/>
      <c r="N15" s="7"/>
      <c r="O15" s="51" t="str">
        <f>IF(COUNTIF(H15:H26,"x")&gt;1,"Nur eine Option wählen.",IF(COUNTIF(H15:H26,"x")=0,"Art des Nachweis muss gewählt werden.",""))</f>
        <v>Art des Nachweis muss gewählt werden.</v>
      </c>
      <c r="P15" s="103"/>
    </row>
    <row r="16" spans="1:18" ht="2.1" customHeight="1" x14ac:dyDescent="0.2">
      <c r="A16" s="2"/>
      <c r="B16" s="2"/>
      <c r="H16" s="7"/>
      <c r="I16" s="7"/>
      <c r="J16" s="41"/>
      <c r="K16" s="7"/>
      <c r="L16" s="7"/>
      <c r="N16" s="8"/>
    </row>
    <row r="17" spans="1:16" ht="13.5" customHeight="1" x14ac:dyDescent="0.2">
      <c r="A17" s="2"/>
      <c r="B17" s="297">
        <f>IF(OR(C17="Erneuerbares Wärmeerzeugungssystem",C17=""),0,VLOOKUP(C17,A136:D141,4))</f>
        <v>0</v>
      </c>
      <c r="C17" s="379" t="s">
        <v>969</v>
      </c>
      <c r="D17" s="379"/>
      <c r="E17" s="379"/>
      <c r="H17" s="7"/>
      <c r="I17" s="7"/>
      <c r="J17" s="41"/>
      <c r="K17" s="7"/>
      <c r="L17" s="7"/>
      <c r="N17" s="8"/>
      <c r="O17" s="51" t="str">
        <f>IF(AND(H15="x",B17=0),"Erneuerbares Wärmeezeugersystem wählen","")</f>
        <v/>
      </c>
    </row>
    <row r="18" spans="1:16" ht="2.1" customHeight="1" x14ac:dyDescent="0.2">
      <c r="H18" s="7"/>
      <c r="J18" s="41"/>
      <c r="L18" s="7"/>
      <c r="N18" s="7"/>
    </row>
    <row r="19" spans="1:16" ht="13.5" customHeight="1" x14ac:dyDescent="0.2">
      <c r="A19" s="2"/>
      <c r="B19" s="3" t="s">
        <v>971</v>
      </c>
      <c r="H19" s="30" t="s">
        <v>43</v>
      </c>
      <c r="I19" s="7"/>
      <c r="J19" s="92" t="str">
        <f>IF(COUNTIF($H$15:$H$26,"x")&gt;0,"-","x")</f>
        <v>x</v>
      </c>
      <c r="K19" s="7"/>
      <c r="L19" s="7"/>
      <c r="N19" s="8"/>
    </row>
    <row r="20" spans="1:16" ht="2.1" customHeight="1" x14ac:dyDescent="0.2">
      <c r="A20" s="2"/>
      <c r="B20" s="2"/>
      <c r="H20" s="7"/>
      <c r="I20" s="7"/>
      <c r="J20" s="41"/>
      <c r="K20" s="7"/>
      <c r="L20" s="7"/>
      <c r="N20" s="8"/>
    </row>
    <row r="21" spans="1:16" ht="13.5" customHeight="1" x14ac:dyDescent="0.2">
      <c r="B21" s="3" t="s">
        <v>312</v>
      </c>
      <c r="F21" s="4"/>
      <c r="G21" s="4"/>
      <c r="H21" s="30" t="s">
        <v>43</v>
      </c>
      <c r="J21" s="92" t="str">
        <f>IF(COUNTIF($H$15:$H$26,"x")&gt;0,"-","x")</f>
        <v>x</v>
      </c>
      <c r="L21" s="7"/>
      <c r="N21" s="7"/>
      <c r="P21" s="103"/>
    </row>
    <row r="22" spans="1:16" ht="2.1" customHeight="1" x14ac:dyDescent="0.2">
      <c r="H22" s="7"/>
      <c r="J22" s="41"/>
      <c r="L22" s="7"/>
      <c r="N22" s="7"/>
      <c r="P22" s="38"/>
    </row>
    <row r="23" spans="1:16" x14ac:dyDescent="0.2">
      <c r="B23" s="3" t="s">
        <v>999</v>
      </c>
      <c r="H23" s="30" t="s">
        <v>43</v>
      </c>
      <c r="J23" s="92" t="str">
        <f>IF(COUNTIF($H$15:$H$26,"x")&gt;0,"-","x")</f>
        <v>x</v>
      </c>
      <c r="L23" s="7"/>
      <c r="N23" s="7"/>
      <c r="O23" s="51"/>
      <c r="P23" s="103"/>
    </row>
    <row r="24" spans="1:16" ht="2.1" customHeight="1" x14ac:dyDescent="0.2">
      <c r="H24" s="7"/>
      <c r="J24" s="41"/>
      <c r="L24" s="7"/>
      <c r="N24" s="7"/>
    </row>
    <row r="25" spans="1:16" ht="13.5" customHeight="1" x14ac:dyDescent="0.2">
      <c r="B25" s="3" t="s">
        <v>973</v>
      </c>
      <c r="H25" s="30" t="s">
        <v>43</v>
      </c>
      <c r="J25" s="92" t="str">
        <f>IF(COUNTIF($H$15:$H$26,"x")&gt;0,"-","x")</f>
        <v>x</v>
      </c>
      <c r="L25" s="7"/>
      <c r="N25" s="7"/>
    </row>
    <row r="26" spans="1:16" ht="2.1" customHeight="1" x14ac:dyDescent="0.2">
      <c r="H26" s="7"/>
      <c r="J26" s="41"/>
      <c r="L26" s="7"/>
      <c r="N26" s="7"/>
    </row>
    <row r="27" spans="1:16" ht="67.5" customHeight="1" x14ac:dyDescent="0.2">
      <c r="A27" s="2" t="s">
        <v>444</v>
      </c>
      <c r="B27" s="38"/>
      <c r="C27" s="38"/>
      <c r="H27" s="7" t="s">
        <v>20</v>
      </c>
      <c r="I27" s="7"/>
      <c r="J27" s="7" t="s">
        <v>21</v>
      </c>
      <c r="K27" s="7"/>
      <c r="L27" s="8" t="s">
        <v>19</v>
      </c>
      <c r="N27" s="8" t="s">
        <v>27</v>
      </c>
      <c r="P27" s="26"/>
    </row>
    <row r="28" spans="1:16" ht="2.1" customHeight="1" x14ac:dyDescent="0.2">
      <c r="B28" s="38"/>
      <c r="C28" s="38"/>
      <c r="H28" s="27"/>
      <c r="J28" s="14"/>
      <c r="L28" s="7"/>
      <c r="N28" s="7"/>
      <c r="P28" s="26"/>
    </row>
    <row r="29" spans="1:16" ht="13.5" customHeight="1" x14ac:dyDescent="0.2">
      <c r="B29" s="3" t="s">
        <v>469</v>
      </c>
      <c r="H29" s="30" t="s">
        <v>43</v>
      </c>
      <c r="J29" s="12" t="str">
        <f>IF(OR(H29="x",L29="x"),"-",IF(H29="x","-","x"))</f>
        <v>-</v>
      </c>
      <c r="L29" s="12" t="str">
        <f>IF(OR(H15="x",H19="x"),"-","x")</f>
        <v>x</v>
      </c>
      <c r="N29" s="7"/>
      <c r="P29" s="25"/>
    </row>
    <row r="30" spans="1:16" ht="1.5" customHeight="1" x14ac:dyDescent="0.2">
      <c r="H30" s="7"/>
      <c r="J30" s="7"/>
      <c r="L30" s="7"/>
      <c r="N30" s="7"/>
      <c r="P30" s="26"/>
    </row>
    <row r="31" spans="1:16" ht="13.5" customHeight="1" x14ac:dyDescent="0.2">
      <c r="B31" s="3" t="s">
        <v>470</v>
      </c>
      <c r="H31" s="30" t="s">
        <v>43</v>
      </c>
      <c r="J31" s="12" t="str">
        <f>IF(OR(H31="x",L31="x"),"-",IF(H31="x","-","x"))</f>
        <v>-</v>
      </c>
      <c r="L31" s="12" t="str">
        <f>IF(AND(H15="x",B17=4),"-",IF(AND(H19="x",OR(B67=5,B69=5,B75=5,B77=5,B83=5,B85=5)),"-","x"))</f>
        <v>x</v>
      </c>
      <c r="N31" s="7"/>
      <c r="P31" s="25"/>
    </row>
    <row r="32" spans="1:16" ht="1.5" customHeight="1" x14ac:dyDescent="0.2">
      <c r="H32" s="7"/>
      <c r="J32" s="7"/>
      <c r="L32" s="7"/>
      <c r="N32" s="7"/>
      <c r="P32" s="26"/>
    </row>
    <row r="33" spans="1:16" ht="13.5" customHeight="1" x14ac:dyDescent="0.2">
      <c r="B33" s="3" t="s">
        <v>972</v>
      </c>
      <c r="H33" s="30" t="s">
        <v>43</v>
      </c>
      <c r="J33" s="12" t="str">
        <f>IF(OR(H33="x",L33="x"),"-",IF(H33="x","-","x"))</f>
        <v>-</v>
      </c>
      <c r="L33" s="12" t="str">
        <f>IF(AND(H19="x",OR(B67=6,B69=6,B75=6,B77=6,B83=6,B85=6)),"-","x")</f>
        <v>x</v>
      </c>
      <c r="N33" s="7"/>
      <c r="P33" s="25"/>
    </row>
    <row r="34" spans="1:16" ht="1.5" customHeight="1" x14ac:dyDescent="0.2">
      <c r="H34" s="27"/>
      <c r="J34" s="14"/>
      <c r="L34" s="14"/>
      <c r="N34" s="7"/>
      <c r="P34" s="26"/>
    </row>
    <row r="35" spans="1:16" ht="13.5" customHeight="1" x14ac:dyDescent="0.2">
      <c r="B35" s="3" t="s">
        <v>471</v>
      </c>
      <c r="H35" s="30" t="s">
        <v>43</v>
      </c>
      <c r="J35" s="12" t="str">
        <f>IF(OR(H35="x",L35="x"),"-",IF(H35="x","-","x"))</f>
        <v>-</v>
      </c>
      <c r="L35" s="12" t="str">
        <f>IF(AND(H19="x",OR(B67=1,B69=1,B75=1,B77=1,B83=1,B85=1)),"-","x")</f>
        <v>x</v>
      </c>
      <c r="N35" s="7"/>
      <c r="P35" s="25"/>
    </row>
    <row r="36" spans="1:16" ht="1.5" customHeight="1" x14ac:dyDescent="0.2">
      <c r="H36" s="27"/>
      <c r="J36" s="14"/>
      <c r="L36" s="14"/>
      <c r="N36" s="7"/>
      <c r="P36" s="26"/>
    </row>
    <row r="37" spans="1:16" ht="13.5" customHeight="1" x14ac:dyDescent="0.2">
      <c r="B37" s="3" t="s">
        <v>472</v>
      </c>
      <c r="H37" s="30" t="s">
        <v>43</v>
      </c>
      <c r="J37" s="12" t="str">
        <f>IF(OR(H37="x",L37="x"),"-",IF(H37="x","-","x"))</f>
        <v>-</v>
      </c>
      <c r="L37" s="12" t="str">
        <f>IF(AND(H19="x",OR(B67=2,B69=2,B75=2,B77=2,B83=2,B85=2,B67=3,B69=3,B75=3,B77=3,B83=3,B85=3)),"-","x")</f>
        <v>x</v>
      </c>
      <c r="N37" s="7"/>
      <c r="P37" s="25"/>
    </row>
    <row r="38" spans="1:16" ht="1.5" customHeight="1" x14ac:dyDescent="0.2">
      <c r="H38" s="27"/>
      <c r="J38" s="14"/>
      <c r="L38" s="14"/>
      <c r="N38" s="7"/>
      <c r="P38" s="26"/>
    </row>
    <row r="39" spans="1:16" ht="13.5" customHeight="1" x14ac:dyDescent="0.2">
      <c r="B39" s="3" t="s">
        <v>473</v>
      </c>
      <c r="H39" s="30" t="s">
        <v>43</v>
      </c>
      <c r="J39" s="12" t="str">
        <f>IF(OR(H39="x",L39="x"),"-",IF(H39="x","-","x"))</f>
        <v>-</v>
      </c>
      <c r="L39" s="12" t="str">
        <f>IF(AND(H19="x",OR(B67=4,B69=4,B75=4,B77=4,B83=4,B85=4)),"-","x")</f>
        <v>x</v>
      </c>
      <c r="N39" s="7"/>
      <c r="P39" s="25"/>
    </row>
    <row r="40" spans="1:16" ht="1.5" customHeight="1" x14ac:dyDescent="0.2">
      <c r="H40" s="27"/>
      <c r="J40" s="14"/>
      <c r="L40" s="14"/>
      <c r="N40" s="7"/>
      <c r="P40" s="26"/>
    </row>
    <row r="41" spans="1:16" ht="13.5" customHeight="1" x14ac:dyDescent="0.2">
      <c r="B41" s="3" t="s">
        <v>76</v>
      </c>
      <c r="H41" s="30" t="s">
        <v>43</v>
      </c>
      <c r="J41" s="12" t="str">
        <f>IF(OR(H41="x",L41="x"),"-",IF(H41="x","-","x"))</f>
        <v>-</v>
      </c>
      <c r="L41" s="12" t="str">
        <f>IF(NOT($H$21="x"),"x","-")</f>
        <v>x</v>
      </c>
      <c r="N41" s="7"/>
      <c r="P41" s="25"/>
    </row>
    <row r="42" spans="1:16" s="46" customFormat="1" ht="13.5" customHeight="1" x14ac:dyDescent="0.2">
      <c r="B42" s="296" t="s">
        <v>1000</v>
      </c>
      <c r="C42" s="296"/>
      <c r="H42" s="294"/>
      <c r="J42" s="294"/>
      <c r="L42" s="294"/>
      <c r="N42" s="294"/>
      <c r="P42" s="295"/>
    </row>
    <row r="43" spans="1:16" ht="1.5" customHeight="1" x14ac:dyDescent="0.2">
      <c r="H43" s="27"/>
      <c r="J43" s="14"/>
      <c r="L43" s="14"/>
      <c r="N43" s="7"/>
      <c r="P43" s="26"/>
    </row>
    <row r="44" spans="1:16" ht="13.5" customHeight="1" x14ac:dyDescent="0.2">
      <c r="B44" s="3" t="s">
        <v>999</v>
      </c>
      <c r="H44" s="30" t="s">
        <v>43</v>
      </c>
      <c r="J44" s="12" t="str">
        <f>IF(OR(H44="x",L44="x"),"-",IF(H44="x","-","x"))</f>
        <v>-</v>
      </c>
      <c r="L44" s="12" t="str">
        <f>IF(NOT($H$23="x"),"x","-")</f>
        <v>x</v>
      </c>
      <c r="N44" s="7"/>
      <c r="O44" s="38" t="str">
        <f>IF(AND(Kanton="Nidwalden",H44="-"),"Kt. NW: Min. provisorisches Zertifikat ist vorzulegen.","")</f>
        <v/>
      </c>
      <c r="P44" s="25"/>
    </row>
    <row r="45" spans="1:16" ht="1.5" customHeight="1" x14ac:dyDescent="0.2">
      <c r="H45" s="27"/>
      <c r="J45" s="14"/>
      <c r="L45" s="14"/>
      <c r="N45" s="7"/>
      <c r="P45" s="26"/>
    </row>
    <row r="46" spans="1:16" ht="13.5" customHeight="1" x14ac:dyDescent="0.2">
      <c r="B46" s="3" t="s">
        <v>973</v>
      </c>
      <c r="H46" s="30" t="s">
        <v>43</v>
      </c>
      <c r="J46" s="12" t="str">
        <f>IF(OR(H46="x",L46="x"),"-",IF(H46="x","-","x"))</f>
        <v>-</v>
      </c>
      <c r="L46" s="12" t="str">
        <f>IF(NOT($H$25="x"),"x","-")</f>
        <v>x</v>
      </c>
      <c r="N46" s="7"/>
      <c r="O46" s="38" t="str">
        <f>IF(AND(Kanton="Nidwalden",H46="-"),"Kt. NW: Min. provisorisches Zertifikat ist vorzulegen.","")</f>
        <v/>
      </c>
      <c r="P46" s="25"/>
    </row>
    <row r="47" spans="1:16" ht="67.5" customHeight="1" x14ac:dyDescent="0.2">
      <c r="F47" s="7" t="s">
        <v>315</v>
      </c>
      <c r="H47" s="36" t="s">
        <v>42</v>
      </c>
    </row>
    <row r="48" spans="1:16" ht="13.5" customHeight="1" x14ac:dyDescent="0.2">
      <c r="A48" s="2" t="s">
        <v>1001</v>
      </c>
      <c r="B48" s="2"/>
      <c r="F48" s="12" t="str">
        <f>IF(H15="x","x","-")</f>
        <v>-</v>
      </c>
    </row>
    <row r="49" spans="1:16" ht="13.5" customHeight="1" x14ac:dyDescent="0.2">
      <c r="A49" s="298" t="s">
        <v>235</v>
      </c>
      <c r="B49" s="2"/>
      <c r="F49" s="14"/>
    </row>
    <row r="50" spans="1:16" ht="2.1" customHeight="1" x14ac:dyDescent="0.2">
      <c r="A50" s="2"/>
      <c r="B50" s="2"/>
      <c r="H50" s="7"/>
      <c r="J50" s="7"/>
    </row>
    <row r="51" spans="1:16" x14ac:dyDescent="0.2">
      <c r="B51" s="3" t="s">
        <v>985</v>
      </c>
      <c r="G51" s="4"/>
      <c r="H51" s="30" t="s">
        <v>43</v>
      </c>
      <c r="J51" s="12" t="str">
        <f>IF(OR(H51="x",L51="x"),"-",IF(H51="x","-","x"))</f>
        <v>-</v>
      </c>
      <c r="L51" s="299" t="str">
        <f>IF(F48="x","-","x")</f>
        <v>x</v>
      </c>
      <c r="N51" s="7"/>
      <c r="P51" s="25"/>
    </row>
    <row r="52" spans="1:16" ht="2.1" customHeight="1" x14ac:dyDescent="0.2">
      <c r="H52" s="7"/>
      <c r="J52" s="7"/>
      <c r="L52" s="7"/>
      <c r="N52" s="7"/>
      <c r="P52" s="26"/>
    </row>
    <row r="53" spans="1:16" x14ac:dyDescent="0.2">
      <c r="B53" s="51"/>
      <c r="C53" s="16" t="str">
        <f>IF(AND(H15="x",B17=0),"Wärmeerzeugungssystem wählen",IF(F48="-","",IF(AND(F48="x",B17&gt;0),C17)))</f>
        <v/>
      </c>
      <c r="D53" s="16"/>
      <c r="N53" s="7"/>
      <c r="P53" s="50"/>
    </row>
    <row r="54" spans="1:16" ht="2.1" customHeight="1" x14ac:dyDescent="0.2">
      <c r="H54" s="7"/>
      <c r="J54" s="7"/>
      <c r="L54" s="7"/>
      <c r="N54" s="7"/>
      <c r="P54" s="26"/>
    </row>
    <row r="55" spans="1:16" x14ac:dyDescent="0.2">
      <c r="C55" s="3" t="str">
        <f>IF(OR($B$17=0,H15&lt;&gt;"x"),"",VLOOKUP($B$17,$A$145:$E$150,3))</f>
        <v/>
      </c>
      <c r="H55" s="30" t="s">
        <v>43</v>
      </c>
      <c r="J55" s="12" t="str">
        <f>IF(OR(H55="x",L55="x"),"-",IF(H55="x","-","x"))</f>
        <v>-</v>
      </c>
      <c r="L55" s="12" t="str">
        <f>IF(AND($F$48="x",C55&lt;&gt;""),"-","x")</f>
        <v>x</v>
      </c>
      <c r="N55" s="7"/>
      <c r="P55" s="50"/>
    </row>
    <row r="56" spans="1:16" ht="2.1" customHeight="1" x14ac:dyDescent="0.2">
      <c r="H56" s="7"/>
      <c r="J56" s="7"/>
      <c r="L56" s="7"/>
      <c r="N56" s="7"/>
      <c r="P56" s="26"/>
    </row>
    <row r="57" spans="1:16" x14ac:dyDescent="0.2">
      <c r="C57" s="3" t="str">
        <f>IF(OR($B$17=0,H15&lt;&gt;"x"),"",VLOOKUP($B$17,$A$145:$E$150,4))</f>
        <v/>
      </c>
      <c r="H57" s="30" t="s">
        <v>43</v>
      </c>
      <c r="J57" s="12" t="str">
        <f>IF(OR(H57="x",L57="x"),"-",IF(H57="x","-","x"))</f>
        <v>-</v>
      </c>
      <c r="L57" s="12" t="str">
        <f>IF(AND($F$48="x",C57&lt;&gt;""),"-","x")</f>
        <v>x</v>
      </c>
      <c r="N57" s="7"/>
      <c r="P57" s="50"/>
    </row>
    <row r="58" spans="1:16" ht="2.1" customHeight="1" x14ac:dyDescent="0.2">
      <c r="H58" s="27"/>
      <c r="J58" s="14"/>
      <c r="L58" s="7"/>
      <c r="N58" s="7"/>
      <c r="P58" s="93"/>
    </row>
    <row r="59" spans="1:16" x14ac:dyDescent="0.2">
      <c r="C59" s="3" t="str">
        <f>IF(OR($B$17=0,H15&lt;&gt;"x"),"",VLOOKUP($B$17,$A$145:$E$150,5))</f>
        <v/>
      </c>
      <c r="H59" s="30" t="s">
        <v>43</v>
      </c>
      <c r="J59" s="12" t="str">
        <f>IF(OR(H59="x",L59="x"),"-",IF(H59="x","-","x"))</f>
        <v>-</v>
      </c>
      <c r="L59" s="12" t="str">
        <f>IF(AND($F$48="x",C59&lt;&gt;""),"-","x")</f>
        <v>x</v>
      </c>
      <c r="N59" s="7"/>
      <c r="P59" s="50"/>
    </row>
    <row r="60" spans="1:16" ht="20.100000000000001" customHeight="1" x14ac:dyDescent="0.2"/>
    <row r="61" spans="1:16" x14ac:dyDescent="0.2">
      <c r="A61" s="2" t="s">
        <v>971</v>
      </c>
      <c r="B61" s="2"/>
      <c r="F61" s="12" t="str">
        <f>H19</f>
        <v>-</v>
      </c>
    </row>
    <row r="62" spans="1:16" ht="2.1" customHeight="1" x14ac:dyDescent="0.2">
      <c r="A62" s="2"/>
      <c r="B62" s="2"/>
      <c r="H62" s="7"/>
      <c r="J62" s="7"/>
    </row>
    <row r="63" spans="1:16" ht="13.5" customHeight="1" x14ac:dyDescent="0.2">
      <c r="B63" s="3" t="s">
        <v>987</v>
      </c>
      <c r="L63" s="7"/>
      <c r="N63" s="7"/>
      <c r="P63" s="25"/>
    </row>
    <row r="64" spans="1:16" ht="2.1" customHeight="1" x14ac:dyDescent="0.2">
      <c r="D64" s="1"/>
      <c r="F64" s="7"/>
      <c r="H64" s="7"/>
      <c r="J64" s="7"/>
      <c r="L64" s="7"/>
      <c r="N64" s="7"/>
      <c r="P64" s="26"/>
    </row>
    <row r="65" spans="1:16" ht="13.5" customHeight="1" x14ac:dyDescent="0.2">
      <c r="B65" s="92" t="e">
        <f>IF(KatI="",0,_xlfn.XLOOKUP(D65,A153:A165,D153:D165))</f>
        <v>#N/A</v>
      </c>
      <c r="C65" s="3" t="s">
        <v>102</v>
      </c>
      <c r="D65" s="16" t="str">
        <f>KatI</f>
        <v>Gebäudekategorie wählen</v>
      </c>
      <c r="H65" s="30" t="s">
        <v>43</v>
      </c>
      <c r="J65" s="12" t="str">
        <f>IF(OR(H65="x",L65="x"),"-",IF(H65="x","-","x"))</f>
        <v>-</v>
      </c>
      <c r="L65" s="12" t="str">
        <f>IF($F$61="-","x","-")</f>
        <v>x</v>
      </c>
      <c r="N65" s="7"/>
      <c r="O65" s="51" t="str">
        <f>IF(F61="-","",IF(B65=0,"Gebäudekategorie auswählen (Mappe ''EN-Kt.'')",IF(OR(B67=0,B69=0),"Zwei Massnahmen wählen.",IF(OR(AND(B67=5,B69=6),AND(B67=6,B69=5)),"Diese Kombination ist nicht zulässig",IF(AND((B67+B69)&gt;0,B67=B69),"Zwei unterschiedliche Massnahmen wählen","")))))</f>
        <v/>
      </c>
      <c r="P65" s="25"/>
    </row>
    <row r="66" spans="1:16" ht="2.1" customHeight="1" x14ac:dyDescent="0.2">
      <c r="B66" s="34"/>
      <c r="D66" s="1"/>
      <c r="H66" s="7"/>
      <c r="J66" s="7"/>
      <c r="L66" s="7"/>
      <c r="N66" s="7"/>
      <c r="P66" s="26"/>
    </row>
    <row r="67" spans="1:16" ht="13.5" customHeight="1" x14ac:dyDescent="0.2">
      <c r="B67" s="92">
        <f>_xlfn.XLOOKUP(D67,$B$169:$B$177,$A$169:$A$177)</f>
        <v>0</v>
      </c>
      <c r="C67" s="3" t="s">
        <v>988</v>
      </c>
      <c r="D67" s="293"/>
      <c r="H67" s="30" t="s">
        <v>43</v>
      </c>
      <c r="J67" s="12" t="str">
        <f>IF(OR(H67="x",L67="x"),"-",IF(H67="x","-","x"))</f>
        <v>-</v>
      </c>
      <c r="L67" s="12" t="str">
        <f>IF($F$61="-","x","-")</f>
        <v>x</v>
      </c>
      <c r="N67" s="7"/>
      <c r="P67" s="25"/>
    </row>
    <row r="68" spans="1:16" ht="2.1" customHeight="1" x14ac:dyDescent="0.2">
      <c r="B68" s="34"/>
      <c r="D68" s="1"/>
      <c r="H68" s="7"/>
      <c r="J68" s="7"/>
      <c r="L68" s="7"/>
      <c r="N68" s="7"/>
      <c r="P68" s="26"/>
    </row>
    <row r="69" spans="1:16" ht="13.5" customHeight="1" x14ac:dyDescent="0.2">
      <c r="B69" s="92">
        <f>_xlfn.XLOOKUP(D69,$B$169:$B$177,$A$169:$A$177)</f>
        <v>0</v>
      </c>
      <c r="C69" s="3" t="s">
        <v>996</v>
      </c>
      <c r="D69" s="293"/>
      <c r="H69" s="30" t="s">
        <v>43</v>
      </c>
      <c r="J69" s="12" t="str">
        <f>IF(OR(H69="x",L69="x"),"-",IF(H69="x","-","x"))</f>
        <v>-</v>
      </c>
      <c r="L69" s="12" t="str">
        <f>IF($F$61="-","x","-")</f>
        <v>x</v>
      </c>
      <c r="N69" s="7"/>
      <c r="P69" s="25"/>
    </row>
    <row r="70" spans="1:16" ht="20.100000000000001" customHeight="1" x14ac:dyDescent="0.2">
      <c r="A70" s="2"/>
      <c r="B70" s="2"/>
      <c r="H70" s="7"/>
      <c r="J70" s="7"/>
    </row>
    <row r="71" spans="1:16" ht="13.5" customHeight="1" x14ac:dyDescent="0.2">
      <c r="B71" s="3" t="s">
        <v>994</v>
      </c>
      <c r="L71" s="7"/>
      <c r="N71" s="7"/>
      <c r="P71" s="25"/>
    </row>
    <row r="72" spans="1:16" ht="2.1" customHeight="1" x14ac:dyDescent="0.2">
      <c r="D72" s="1"/>
      <c r="F72" s="7"/>
      <c r="H72" s="7"/>
      <c r="J72" s="7"/>
      <c r="L72" s="7"/>
      <c r="N72" s="7"/>
      <c r="P72" s="26"/>
    </row>
    <row r="73" spans="1:16" ht="13.5" customHeight="1" x14ac:dyDescent="0.2">
      <c r="B73" s="301">
        <f>IF(OR(D73=0,D73="Gebäudekategorie wählen"),0,_xlfn.XLOOKUP(D73,A154:A165,D154:D165))</f>
        <v>0</v>
      </c>
      <c r="C73" s="3" t="s">
        <v>102</v>
      </c>
      <c r="D73" s="16">
        <f>KatII</f>
        <v>0</v>
      </c>
      <c r="H73" s="30" t="s">
        <v>43</v>
      </c>
      <c r="J73" s="12" t="str">
        <f>IF(OR(H73="x",L73="x"),"-",IF(H73="x","-","x"))</f>
        <v>-</v>
      </c>
      <c r="L73" s="12" t="str">
        <f>IF(OR($F$61="-",B73=0),"x","-")</f>
        <v>x</v>
      </c>
      <c r="N73" s="7"/>
      <c r="O73" s="51" t="str">
        <f>IF(F61="-","",IF(B73=0,"",IF(OR(B75=0,B77=0),"Zwei Massnahmen wählen.",IF(OR(AND(B75=5,B77=6),AND(B75=6,B77=5)),"Diese Kombination ist nicht zulässig",IF(AND((B75+B77)&gt;0,B75=B77),"Zwei unterschiedliche Massnahmen wählen","")))))</f>
        <v/>
      </c>
      <c r="P73" s="25"/>
    </row>
    <row r="74" spans="1:16" ht="2.1" customHeight="1" x14ac:dyDescent="0.2">
      <c r="B74" s="62"/>
      <c r="D74" s="1"/>
      <c r="H74" s="7"/>
      <c r="J74" s="7"/>
      <c r="L74" s="7"/>
      <c r="N74" s="7"/>
      <c r="P74" s="26"/>
    </row>
    <row r="75" spans="1:16" ht="13.5" customHeight="1" x14ac:dyDescent="0.2">
      <c r="B75" s="301">
        <f>_xlfn.XLOOKUP(D75,$B$169:$B$177,$A$169:$A$177)</f>
        <v>0</v>
      </c>
      <c r="C75" s="3" t="s">
        <v>988</v>
      </c>
      <c r="D75" s="293" t="s">
        <v>997</v>
      </c>
      <c r="H75" s="30" t="s">
        <v>43</v>
      </c>
      <c r="J75" s="12" t="str">
        <f>IF(OR(H75="x",L75="x"),"-",IF(H75="x","-","x"))</f>
        <v>-</v>
      </c>
      <c r="L75" s="12" t="str">
        <f>IF(AND(J73="-",OR($F$61="-",B75=0)),"x","-")</f>
        <v>x</v>
      </c>
      <c r="N75" s="7"/>
      <c r="P75" s="25"/>
    </row>
    <row r="76" spans="1:16" ht="2.1" customHeight="1" x14ac:dyDescent="0.2">
      <c r="B76" s="62"/>
      <c r="D76" s="1"/>
      <c r="H76" s="7"/>
      <c r="J76" s="7"/>
      <c r="L76" s="7"/>
      <c r="N76" s="7"/>
      <c r="P76" s="26"/>
    </row>
    <row r="77" spans="1:16" ht="13.5" customHeight="1" x14ac:dyDescent="0.2">
      <c r="B77" s="301">
        <f>_xlfn.XLOOKUP(D77,$B$169:$B$177,$A$169:$A$177)</f>
        <v>0</v>
      </c>
      <c r="C77" s="3" t="s">
        <v>996</v>
      </c>
      <c r="D77" s="293" t="s">
        <v>998</v>
      </c>
      <c r="H77" s="30" t="s">
        <v>43</v>
      </c>
      <c r="J77" s="12" t="str">
        <f>IF(OR(H77="x",L77="x"),"-",IF(H77="x","-","x"))</f>
        <v>-</v>
      </c>
      <c r="L77" s="12" t="str">
        <f>IF(AND(J73="-",OR($F$61="-",B77=0)),"x","-")</f>
        <v>x</v>
      </c>
      <c r="N77" s="7"/>
      <c r="P77" s="25"/>
    </row>
    <row r="78" spans="1:16" ht="20.100000000000001" customHeight="1" x14ac:dyDescent="0.2">
      <c r="A78" s="2"/>
      <c r="B78" s="2"/>
      <c r="H78" s="7"/>
      <c r="J78" s="7"/>
    </row>
    <row r="79" spans="1:16" ht="13.5" customHeight="1" x14ac:dyDescent="0.2">
      <c r="B79" s="3" t="s">
        <v>995</v>
      </c>
      <c r="L79" s="7"/>
      <c r="N79" s="7"/>
      <c r="P79" s="25"/>
    </row>
    <row r="80" spans="1:16" ht="2.1" customHeight="1" x14ac:dyDescent="0.2">
      <c r="D80" s="1"/>
      <c r="F80" s="7"/>
      <c r="H80" s="7"/>
      <c r="J80" s="7"/>
      <c r="L80" s="7"/>
      <c r="N80" s="7"/>
      <c r="P80" s="26"/>
    </row>
    <row r="81" spans="1:16" ht="13.5" customHeight="1" x14ac:dyDescent="0.2">
      <c r="B81" s="92">
        <f>IF(OR(D81=0,D81="Gebäudekategorie wählen"),0,_xlfn.XLOOKUP(D81,A154:A166,D154:D166))</f>
        <v>0</v>
      </c>
      <c r="C81" s="3" t="s">
        <v>102</v>
      </c>
      <c r="D81" s="16">
        <f>KatIII</f>
        <v>0</v>
      </c>
      <c r="H81" s="30" t="s">
        <v>43</v>
      </c>
      <c r="J81" s="12" t="str">
        <f>IF(OR(H81="x",L81="x"),"-",IF(H81="x","-","x"))</f>
        <v>-</v>
      </c>
      <c r="L81" s="12" t="str">
        <f>IF(OR($F$61="-",B81=0),"x","-")</f>
        <v>x</v>
      </c>
      <c r="N81" s="7"/>
      <c r="O81" s="51" t="str">
        <f>IF(F61="-","",IF(B81=0,"",IF(OR(B83=0,B85=0),"Zwei Massnahmen wählen.",IF(OR(AND(B83=5,B85=6),AND(B83=6,B85=5)),"Diese Kombination ist nicht zulässig",IF(AND((B83+B85)&gt;0,B83=B85),"Zwei unterschiedliche Massnahmen wählen","")))))</f>
        <v/>
      </c>
      <c r="P81" s="25"/>
    </row>
    <row r="82" spans="1:16" ht="2.1" customHeight="1" x14ac:dyDescent="0.2">
      <c r="D82" s="1"/>
      <c r="H82" s="7"/>
      <c r="J82" s="7"/>
      <c r="L82" s="7"/>
      <c r="N82" s="7"/>
      <c r="P82" s="26"/>
    </row>
    <row r="83" spans="1:16" ht="13.5" customHeight="1" x14ac:dyDescent="0.2">
      <c r="B83" s="92">
        <f>_xlfn.XLOOKUP(D83,$B$169:$B$177,$A$169:$A$177)</f>
        <v>0</v>
      </c>
      <c r="C83" s="3" t="s">
        <v>988</v>
      </c>
      <c r="D83" s="293" t="s">
        <v>997</v>
      </c>
      <c r="H83" s="30" t="s">
        <v>43</v>
      </c>
      <c r="J83" s="12" t="str">
        <f>IF(OR(H83="x",L83="x"),"-",IF(H83="x","-","x"))</f>
        <v>-</v>
      </c>
      <c r="L83" s="12" t="str">
        <f>IF(AND(J81="-",OR($F$61="-",B83=0)),"x","-")</f>
        <v>x</v>
      </c>
      <c r="N83" s="7"/>
      <c r="P83" s="25"/>
    </row>
    <row r="84" spans="1:16" ht="2.1" customHeight="1" x14ac:dyDescent="0.2">
      <c r="D84" s="1"/>
      <c r="H84" s="7"/>
      <c r="J84" s="7"/>
      <c r="L84" s="7"/>
      <c r="N84" s="7"/>
      <c r="P84" s="26"/>
    </row>
    <row r="85" spans="1:16" ht="13.5" customHeight="1" x14ac:dyDescent="0.2">
      <c r="B85" s="92">
        <f>_xlfn.XLOOKUP(D85,$B$169:$B$177,$A$169:$A$177)</f>
        <v>0</v>
      </c>
      <c r="C85" s="3" t="s">
        <v>996</v>
      </c>
      <c r="D85" s="293" t="s">
        <v>998</v>
      </c>
      <c r="H85" s="30" t="s">
        <v>43</v>
      </c>
      <c r="J85" s="12" t="str">
        <f>IF(OR(H85="x",L85="x"),"-",IF(H85="x","-","x"))</f>
        <v>-</v>
      </c>
      <c r="L85" s="12" t="str">
        <f>IF(AND(J81="-",OR($F$61="-",B85=0)),"x","-")</f>
        <v>x</v>
      </c>
      <c r="N85" s="7"/>
      <c r="P85" s="25"/>
    </row>
    <row r="86" spans="1:16" s="39" customFormat="1" ht="60" customHeight="1" x14ac:dyDescent="0.2">
      <c r="A86" s="2" t="s">
        <v>542</v>
      </c>
      <c r="B86" s="34"/>
      <c r="C86" s="35"/>
      <c r="D86" s="35"/>
      <c r="E86" s="35"/>
      <c r="F86" s="34"/>
      <c r="G86" s="34"/>
      <c r="H86" s="36"/>
      <c r="I86" s="34"/>
      <c r="J86" s="34"/>
      <c r="K86" s="34"/>
      <c r="L86" s="34"/>
      <c r="M86" s="34"/>
      <c r="N86" s="34"/>
    </row>
    <row r="87" spans="1:16" s="39" customFormat="1" ht="1.5" customHeight="1" x14ac:dyDescent="0.2">
      <c r="A87" s="34"/>
      <c r="B87" s="34"/>
      <c r="C87" s="35"/>
      <c r="D87" s="35"/>
      <c r="E87" s="35"/>
      <c r="F87" s="34"/>
      <c r="G87" s="34"/>
      <c r="H87" s="36"/>
      <c r="I87" s="34"/>
      <c r="J87" s="34"/>
      <c r="K87" s="34"/>
      <c r="L87" s="34"/>
      <c r="M87" s="34"/>
      <c r="N87" s="34"/>
    </row>
    <row r="88" spans="1:16" s="39" customFormat="1" ht="70.5" customHeight="1" x14ac:dyDescent="0.2">
      <c r="A88" s="52"/>
      <c r="B88" s="404"/>
      <c r="C88" s="404"/>
      <c r="D88" s="404"/>
      <c r="E88" s="404"/>
      <c r="F88" s="404"/>
      <c r="G88" s="404"/>
      <c r="H88" s="404"/>
      <c r="I88" s="404"/>
      <c r="J88" s="404"/>
      <c r="K88" s="404"/>
      <c r="L88" s="404"/>
      <c r="M88" s="404"/>
      <c r="N88" s="404"/>
      <c r="O88" s="404"/>
      <c r="P88" s="404"/>
    </row>
    <row r="89" spans="1:16" s="34" customFormat="1" ht="20.100000000000001" customHeight="1" x14ac:dyDescent="0.2">
      <c r="C89" s="35"/>
      <c r="D89" s="35"/>
      <c r="E89" s="35"/>
      <c r="H89" s="36"/>
    </row>
    <row r="90" spans="1:16" x14ac:dyDescent="0.2">
      <c r="A90" s="2" t="s">
        <v>38</v>
      </c>
      <c r="D90" s="34" t="b">
        <f>ISTEXT(B88)</f>
        <v>0</v>
      </c>
    </row>
    <row r="91" spans="1:16" ht="1.5" customHeight="1" x14ac:dyDescent="0.2">
      <c r="A91" s="2"/>
    </row>
    <row r="92" spans="1:16" ht="14.25" x14ac:dyDescent="0.2">
      <c r="A92" s="2"/>
      <c r="B92" s="3" t="s">
        <v>448</v>
      </c>
      <c r="D92" s="388" t="str">
        <f>IF(OR(H92="x",AND(COUNTIF(J29:J46,"x")=0,COUNTIF(H15:H25,"x")&gt;0)),"erfüllt","nicht erfüllt")</f>
        <v>nicht erfüllt</v>
      </c>
      <c r="E92" s="388"/>
      <c r="F92" s="388"/>
      <c r="H92" s="30" t="s">
        <v>43</v>
      </c>
      <c r="J92" s="3" t="s">
        <v>451</v>
      </c>
    </row>
    <row r="93" spans="1:16" ht="1.5" customHeight="1" x14ac:dyDescent="0.2">
      <c r="A93" s="2"/>
    </row>
    <row r="94" spans="1:16" ht="14.25" x14ac:dyDescent="0.2">
      <c r="B94" s="3" t="s">
        <v>251</v>
      </c>
      <c r="D94" s="388" t="str">
        <f>IF(OR(COUNTIF(J51:J85,"x")=0,COUNTIF(H94,"x")&gt;0),"erfüllt", "nicht erfüllt")</f>
        <v>erfüllt</v>
      </c>
      <c r="E94" s="388"/>
      <c r="F94" s="388"/>
      <c r="H94" s="30" t="s">
        <v>43</v>
      </c>
      <c r="J94" s="3" t="s">
        <v>449</v>
      </c>
    </row>
    <row r="95" spans="1:16" ht="1.5" customHeight="1" x14ac:dyDescent="0.2">
      <c r="D95" s="89"/>
    </row>
    <row r="97" spans="1:16" ht="13.5" customHeight="1" x14ac:dyDescent="0.2">
      <c r="A97" s="34"/>
      <c r="B97" s="3" t="s">
        <v>39</v>
      </c>
      <c r="D97" s="3" t="str">
        <f>IF(ISTEXT(Name_Kontr),Name_Kontr,"")</f>
        <v/>
      </c>
      <c r="H97" s="328" t="str">
        <f>IF(AND(NOT(D90),COUNTIF(H92:H94,"x")&gt;0),"Begründung und Empfehlung des weiteren Vorgehens erforderlich.","")</f>
        <v/>
      </c>
      <c r="I97" s="328"/>
      <c r="J97" s="328"/>
      <c r="K97" s="328"/>
      <c r="L97" s="328"/>
      <c r="M97" s="328"/>
      <c r="N97" s="328"/>
      <c r="O97" s="328"/>
      <c r="P97" s="328"/>
    </row>
    <row r="98" spans="1:16" ht="2.1" customHeight="1" x14ac:dyDescent="0.2">
      <c r="A98" s="34" t="s">
        <v>42</v>
      </c>
      <c r="H98" s="78"/>
      <c r="I98" s="78"/>
      <c r="J98" s="78"/>
      <c r="K98" s="78"/>
      <c r="L98" s="78"/>
      <c r="M98" s="78"/>
      <c r="N98" s="78"/>
      <c r="O98" s="78"/>
      <c r="P98" s="78"/>
    </row>
    <row r="99" spans="1:16" x14ac:dyDescent="0.2">
      <c r="A99" s="34" t="s">
        <v>43</v>
      </c>
      <c r="B99" s="3" t="s">
        <v>40</v>
      </c>
      <c r="D99" s="47">
        <f ca="1">Datum</f>
        <v>45866</v>
      </c>
      <c r="H99" s="78"/>
      <c r="I99" s="78"/>
      <c r="J99" s="78"/>
      <c r="K99" s="78"/>
      <c r="L99" s="78"/>
      <c r="M99" s="78"/>
      <c r="N99" s="78"/>
      <c r="O99" s="78"/>
      <c r="P99" s="78"/>
    </row>
    <row r="128" s="3" customFormat="1" hidden="1" x14ac:dyDescent="0.2"/>
    <row r="129" spans="1:4" hidden="1" x14ac:dyDescent="0.2"/>
    <row r="130" spans="1:4" hidden="1" x14ac:dyDescent="0.2">
      <c r="A130" s="3" t="s">
        <v>42</v>
      </c>
    </row>
    <row r="131" spans="1:4" hidden="1" x14ac:dyDescent="0.2">
      <c r="A131" s="3" t="s">
        <v>43</v>
      </c>
    </row>
    <row r="132" spans="1:4" hidden="1" x14ac:dyDescent="0.2"/>
    <row r="133" spans="1:4" hidden="1" x14ac:dyDescent="0.2"/>
    <row r="134" spans="1:4" hidden="1" x14ac:dyDescent="0.2">
      <c r="A134" s="3" t="s">
        <v>969</v>
      </c>
      <c r="D134" s="3">
        <v>0</v>
      </c>
    </row>
    <row r="135" spans="1:4" hidden="1" x14ac:dyDescent="0.2">
      <c r="D135" s="3">
        <v>0</v>
      </c>
    </row>
    <row r="136" spans="1:4" hidden="1" x14ac:dyDescent="0.2">
      <c r="A136" s="3" t="s">
        <v>964</v>
      </c>
      <c r="D136" s="3">
        <v>1</v>
      </c>
    </row>
    <row r="137" spans="1:4" hidden="1" x14ac:dyDescent="0.2">
      <c r="A137" s="3" t="s">
        <v>965</v>
      </c>
      <c r="B137" s="38"/>
      <c r="C137" s="38"/>
      <c r="D137" s="38">
        <v>2</v>
      </c>
    </row>
    <row r="138" spans="1:4" hidden="1" x14ac:dyDescent="0.2">
      <c r="A138" s="3" t="s">
        <v>966</v>
      </c>
      <c r="B138" s="38"/>
      <c r="C138" s="38"/>
      <c r="D138" s="38">
        <v>3</v>
      </c>
    </row>
    <row r="139" spans="1:4" hidden="1" x14ac:dyDescent="0.2">
      <c r="A139" s="3" t="s">
        <v>986</v>
      </c>
      <c r="D139" s="3">
        <v>4</v>
      </c>
    </row>
    <row r="140" spans="1:4" hidden="1" x14ac:dyDescent="0.2">
      <c r="A140" s="3" t="s">
        <v>967</v>
      </c>
      <c r="D140" s="3">
        <v>5</v>
      </c>
    </row>
    <row r="141" spans="1:4" hidden="1" x14ac:dyDescent="0.2">
      <c r="A141" s="3" t="s">
        <v>968</v>
      </c>
      <c r="D141" s="3">
        <v>6</v>
      </c>
    </row>
    <row r="142" spans="1:4" hidden="1" x14ac:dyDescent="0.2"/>
    <row r="143" spans="1:4" hidden="1" x14ac:dyDescent="0.2"/>
    <row r="144" spans="1:4" hidden="1" x14ac:dyDescent="0.2"/>
    <row r="145" spans="1:5" hidden="1" x14ac:dyDescent="0.2">
      <c r="A145" s="3">
        <v>1</v>
      </c>
      <c r="B145" s="3" t="s">
        <v>974</v>
      </c>
      <c r="C145" s="3" t="s">
        <v>320</v>
      </c>
      <c r="D145" s="3" t="s">
        <v>975</v>
      </c>
      <c r="E145" s="300" t="s">
        <v>984</v>
      </c>
    </row>
    <row r="146" spans="1:5" hidden="1" x14ac:dyDescent="0.2">
      <c r="A146" s="3">
        <v>2</v>
      </c>
      <c r="B146" s="3" t="s">
        <v>976</v>
      </c>
      <c r="C146" s="3" t="s">
        <v>320</v>
      </c>
      <c r="D146" s="300" t="s">
        <v>984</v>
      </c>
      <c r="E146" s="300" t="s">
        <v>984</v>
      </c>
    </row>
    <row r="147" spans="1:5" hidden="1" x14ac:dyDescent="0.2">
      <c r="A147" s="3">
        <v>3</v>
      </c>
      <c r="B147" s="3" t="s">
        <v>983</v>
      </c>
      <c r="C147" s="3" t="s">
        <v>977</v>
      </c>
      <c r="D147" s="3" t="s">
        <v>978</v>
      </c>
      <c r="E147" s="3" t="s">
        <v>1009</v>
      </c>
    </row>
    <row r="148" spans="1:5" hidden="1" x14ac:dyDescent="0.2">
      <c r="A148" s="3">
        <v>4</v>
      </c>
      <c r="B148" s="3" t="s">
        <v>979</v>
      </c>
      <c r="C148" s="300" t="s">
        <v>984</v>
      </c>
      <c r="D148" s="300" t="s">
        <v>984</v>
      </c>
      <c r="E148" s="300" t="s">
        <v>984</v>
      </c>
    </row>
    <row r="149" spans="1:5" hidden="1" x14ac:dyDescent="0.2">
      <c r="A149" s="3">
        <v>5</v>
      </c>
      <c r="B149" s="3" t="s">
        <v>980</v>
      </c>
      <c r="C149" s="3" t="s">
        <v>981</v>
      </c>
      <c r="D149" s="300" t="s">
        <v>984</v>
      </c>
      <c r="E149" s="300" t="s">
        <v>984</v>
      </c>
    </row>
    <row r="150" spans="1:5" hidden="1" x14ac:dyDescent="0.2">
      <c r="A150" s="3">
        <v>6</v>
      </c>
      <c r="B150" s="3" t="s">
        <v>982</v>
      </c>
      <c r="C150" s="300" t="s">
        <v>984</v>
      </c>
      <c r="D150" s="300" t="s">
        <v>984</v>
      </c>
      <c r="E150" s="300" t="s">
        <v>984</v>
      </c>
    </row>
    <row r="151" spans="1:5" hidden="1" x14ac:dyDescent="0.2"/>
    <row r="152" spans="1:5" hidden="1" x14ac:dyDescent="0.2"/>
    <row r="153" spans="1:5" hidden="1" x14ac:dyDescent="0.2">
      <c r="D153" s="3">
        <v>0</v>
      </c>
    </row>
    <row r="154" spans="1:5" hidden="1" x14ac:dyDescent="0.2">
      <c r="A154" s="94" t="s">
        <v>281</v>
      </c>
      <c r="D154" s="3">
        <v>1</v>
      </c>
      <c r="E154" s="3" t="s">
        <v>42</v>
      </c>
    </row>
    <row r="155" spans="1:5" hidden="1" x14ac:dyDescent="0.2">
      <c r="A155" s="94" t="s">
        <v>280</v>
      </c>
      <c r="D155" s="3">
        <v>2</v>
      </c>
      <c r="E155" s="3" t="s">
        <v>42</v>
      </c>
    </row>
    <row r="156" spans="1:5" hidden="1" x14ac:dyDescent="0.2">
      <c r="A156" s="94" t="s">
        <v>51</v>
      </c>
      <c r="D156" s="300">
        <v>3</v>
      </c>
    </row>
    <row r="157" spans="1:5" hidden="1" x14ac:dyDescent="0.2">
      <c r="A157" s="94" t="s">
        <v>52</v>
      </c>
      <c r="D157" s="3">
        <v>4</v>
      </c>
      <c r="E157" s="3" t="s">
        <v>42</v>
      </c>
    </row>
    <row r="158" spans="1:5" hidden="1" x14ac:dyDescent="0.2">
      <c r="A158" s="94" t="s">
        <v>53</v>
      </c>
      <c r="D158" s="300">
        <v>5</v>
      </c>
    </row>
    <row r="159" spans="1:5" hidden="1" x14ac:dyDescent="0.2">
      <c r="A159" s="94" t="s">
        <v>54</v>
      </c>
      <c r="D159" s="3">
        <v>6</v>
      </c>
      <c r="E159" s="3" t="s">
        <v>42</v>
      </c>
    </row>
    <row r="160" spans="1:5" hidden="1" x14ac:dyDescent="0.2">
      <c r="A160" s="94" t="s">
        <v>55</v>
      </c>
      <c r="D160" s="300">
        <v>7</v>
      </c>
    </row>
    <row r="161" spans="1:5" hidden="1" x14ac:dyDescent="0.2">
      <c r="A161" s="94" t="s">
        <v>56</v>
      </c>
      <c r="D161" s="3">
        <v>8</v>
      </c>
      <c r="E161" s="3" t="s">
        <v>42</v>
      </c>
    </row>
    <row r="162" spans="1:5" hidden="1" x14ac:dyDescent="0.2">
      <c r="A162" s="94" t="s">
        <v>57</v>
      </c>
      <c r="D162" s="300">
        <v>9</v>
      </c>
    </row>
    <row r="163" spans="1:5" hidden="1" x14ac:dyDescent="0.2">
      <c r="A163" s="94" t="s">
        <v>58</v>
      </c>
      <c r="D163" s="300">
        <v>10</v>
      </c>
    </row>
    <row r="164" spans="1:5" hidden="1" x14ac:dyDescent="0.2">
      <c r="A164" s="94" t="s">
        <v>59</v>
      </c>
      <c r="D164" s="3">
        <v>11</v>
      </c>
      <c r="E164" s="3" t="s">
        <v>42</v>
      </c>
    </row>
    <row r="165" spans="1:5" hidden="1" x14ac:dyDescent="0.2">
      <c r="A165" s="94" t="s">
        <v>60</v>
      </c>
      <c r="D165" s="3">
        <v>12</v>
      </c>
      <c r="E165" s="3" t="s">
        <v>42</v>
      </c>
    </row>
    <row r="166" spans="1:5" hidden="1" x14ac:dyDescent="0.2"/>
    <row r="167" spans="1:5" hidden="1" x14ac:dyDescent="0.2"/>
    <row r="168" spans="1:5" hidden="1" x14ac:dyDescent="0.2"/>
    <row r="169" spans="1:5" hidden="1" x14ac:dyDescent="0.2">
      <c r="A169" s="3">
        <v>0</v>
      </c>
      <c r="B169" s="3" t="s">
        <v>997</v>
      </c>
    </row>
    <row r="170" spans="1:5" hidden="1" x14ac:dyDescent="0.2">
      <c r="A170" s="3">
        <v>0</v>
      </c>
      <c r="B170" s="3" t="s">
        <v>998</v>
      </c>
    </row>
    <row r="171" spans="1:5" hidden="1" x14ac:dyDescent="0.2">
      <c r="A171" s="3">
        <v>0</v>
      </c>
    </row>
    <row r="172" spans="1:5" hidden="1" x14ac:dyDescent="0.2">
      <c r="A172" s="3">
        <v>1</v>
      </c>
      <c r="B172" s="3" t="s">
        <v>989</v>
      </c>
    </row>
    <row r="173" spans="1:5" hidden="1" x14ac:dyDescent="0.2">
      <c r="A173" s="3">
        <v>2</v>
      </c>
      <c r="B173" s="3" t="s">
        <v>990</v>
      </c>
    </row>
    <row r="174" spans="1:5" hidden="1" x14ac:dyDescent="0.2">
      <c r="A174" s="3">
        <v>3</v>
      </c>
      <c r="B174" s="3" t="s">
        <v>991</v>
      </c>
    </row>
    <row r="175" spans="1:5" hidden="1" x14ac:dyDescent="0.2">
      <c r="A175" s="3">
        <v>4</v>
      </c>
      <c r="B175" s="3" t="s">
        <v>992</v>
      </c>
    </row>
    <row r="176" spans="1:5" hidden="1" x14ac:dyDescent="0.2">
      <c r="A176" s="3">
        <v>5</v>
      </c>
      <c r="B176" s="3" t="s">
        <v>558</v>
      </c>
    </row>
    <row r="177" spans="1:5" hidden="1" x14ac:dyDescent="0.2">
      <c r="A177" s="3">
        <v>6</v>
      </c>
      <c r="B177" s="3" t="s">
        <v>993</v>
      </c>
    </row>
    <row r="178" spans="1:5" hidden="1" x14ac:dyDescent="0.2"/>
    <row r="179" spans="1:5" hidden="1" x14ac:dyDescent="0.2"/>
    <row r="180" spans="1:5" hidden="1" x14ac:dyDescent="0.2"/>
    <row r="181" spans="1:5" hidden="1" x14ac:dyDescent="0.2">
      <c r="A181" s="3" t="s">
        <v>987</v>
      </c>
      <c r="D181" s="3" t="s">
        <v>997</v>
      </c>
      <c r="E181" s="3" t="s">
        <v>998</v>
      </c>
    </row>
    <row r="182" spans="1:5" hidden="1" x14ac:dyDescent="0.2"/>
    <row r="183" spans="1:5" hidden="1" x14ac:dyDescent="0.2">
      <c r="A183" s="3" t="s">
        <v>989</v>
      </c>
      <c r="D183" s="38" t="str">
        <f>$A$183</f>
        <v>Kompletter Fensterersatz</v>
      </c>
      <c r="E183" s="38" t="str">
        <f>$A$183</f>
        <v>Kompletter Fensterersatz</v>
      </c>
    </row>
    <row r="184" spans="1:5" hidden="1" x14ac:dyDescent="0.2">
      <c r="A184" s="3" t="s">
        <v>990</v>
      </c>
      <c r="D184" s="38" t="str">
        <f>$A$184</f>
        <v>Wärmedämmung des Dachs</v>
      </c>
      <c r="E184" s="38" t="str">
        <f>$A$184</f>
        <v>Wärmedämmung des Dachs</v>
      </c>
    </row>
    <row r="185" spans="1:5" hidden="1" x14ac:dyDescent="0.2">
      <c r="A185" s="3" t="s">
        <v>991</v>
      </c>
      <c r="D185" s="38" t="str">
        <f>$A$185</f>
        <v>Wärmedämmung der Fassade</v>
      </c>
      <c r="E185" s="38" t="str">
        <f>$A$185</f>
        <v>Wärmedämmung der Fassade</v>
      </c>
    </row>
    <row r="186" spans="1:5" hidden="1" x14ac:dyDescent="0.2">
      <c r="A186" s="3" t="s">
        <v>992</v>
      </c>
      <c r="D186" s="38" t="str">
        <f>$A$186</f>
        <v>Kontrollierte Lüftung</v>
      </c>
      <c r="E186" s="38" t="str">
        <f>$A$186</f>
        <v>Kontrollierte Lüftung</v>
      </c>
    </row>
    <row r="187" spans="1:5" hidden="1" x14ac:dyDescent="0.2">
      <c r="A187" s="3" t="s">
        <v>558</v>
      </c>
      <c r="D187" s="38" t="e">
        <f>IF(OR($B$65=1,$B$65=2,$B$65=4,$B$65=6,$B$65=8,$B$65=11,$B$65=12),$A$187,"")</f>
        <v>#N/A</v>
      </c>
      <c r="E187" s="38" t="e">
        <f>IF(OR($B$65=1,$B$65=2,$B$65=4,$B$65=6,$B$65=8,$B$65=11,$B$65=12),$A$187,"")</f>
        <v>#N/A</v>
      </c>
    </row>
    <row r="188" spans="1:5" hidden="1" x14ac:dyDescent="0.2">
      <c r="A188" s="3" t="s">
        <v>993</v>
      </c>
      <c r="D188" s="38" t="e">
        <f>IF(OR($B$65=1,$B$65=2,$B$65=4,$B$65=6,$B$65=8,$B$65=11,$B$65=12),$A$188,"")</f>
        <v>#N/A</v>
      </c>
      <c r="E188" s="38" t="e">
        <f>IF(OR($B$65=1,$B$65=2,$B$65=4,$B$65=6,$B$65=8,$B$65=11,$B$65=12),$A$188,"")</f>
        <v>#N/A</v>
      </c>
    </row>
    <row r="189" spans="1:5" hidden="1" x14ac:dyDescent="0.2"/>
    <row r="190" spans="1:5" hidden="1" x14ac:dyDescent="0.2"/>
    <row r="191" spans="1:5" hidden="1" x14ac:dyDescent="0.2"/>
    <row r="192" spans="1:5" hidden="1" x14ac:dyDescent="0.2">
      <c r="A192" s="3" t="s">
        <v>994</v>
      </c>
      <c r="D192" s="3" t="s">
        <v>997</v>
      </c>
      <c r="E192" s="3" t="s">
        <v>998</v>
      </c>
    </row>
    <row r="193" spans="1:5" hidden="1" x14ac:dyDescent="0.2"/>
    <row r="194" spans="1:5" hidden="1" x14ac:dyDescent="0.2">
      <c r="A194" s="3" t="s">
        <v>989</v>
      </c>
      <c r="D194" s="38" t="str">
        <f>$A$194</f>
        <v>Kompletter Fensterersatz</v>
      </c>
      <c r="E194" s="38" t="str">
        <f>$A$194</f>
        <v>Kompletter Fensterersatz</v>
      </c>
    </row>
    <row r="195" spans="1:5" hidden="1" x14ac:dyDescent="0.2">
      <c r="A195" s="3" t="s">
        <v>990</v>
      </c>
      <c r="D195" s="38" t="str">
        <f>$A$195</f>
        <v>Wärmedämmung des Dachs</v>
      </c>
      <c r="E195" s="38" t="str">
        <f>$A$195</f>
        <v>Wärmedämmung des Dachs</v>
      </c>
    </row>
    <row r="196" spans="1:5" hidden="1" x14ac:dyDescent="0.2">
      <c r="A196" s="3" t="s">
        <v>991</v>
      </c>
      <c r="D196" s="38" t="str">
        <f>$A$196</f>
        <v>Wärmedämmung der Fassade</v>
      </c>
      <c r="E196" s="38" t="str">
        <f>$A$196</f>
        <v>Wärmedämmung der Fassade</v>
      </c>
    </row>
    <row r="197" spans="1:5" hidden="1" x14ac:dyDescent="0.2">
      <c r="A197" s="3" t="s">
        <v>992</v>
      </c>
      <c r="D197" s="38" t="str">
        <f>$A$197</f>
        <v>Kontrollierte Lüftung</v>
      </c>
      <c r="E197" s="38" t="str">
        <f>$A$197</f>
        <v>Kontrollierte Lüftung</v>
      </c>
    </row>
    <row r="198" spans="1:5" hidden="1" x14ac:dyDescent="0.2">
      <c r="A198" s="3" t="s">
        <v>558</v>
      </c>
      <c r="D198" s="38" t="str">
        <f>IF(OR($B$73=1,$B$73=2,$B$73=4,$B$73=6,$B$73=8,$B$73=11,$B$73=12),$A$198,"")</f>
        <v/>
      </c>
      <c r="E198" s="38" t="str">
        <f>IF(OR($B$73=1,$B$73=2,$B$73=4,$B$73=6,$B$73=8,$B$73=11,$B$73=12),$A$198,"")</f>
        <v/>
      </c>
    </row>
    <row r="199" spans="1:5" hidden="1" x14ac:dyDescent="0.2">
      <c r="A199" s="3" t="s">
        <v>993</v>
      </c>
      <c r="D199" s="38" t="str">
        <f>IF(OR($B$73=1,$B$73=2,$B$73=4,$B$73=6,$B$73=8,$B$73=11,$B$73=12),$A$199,"")</f>
        <v/>
      </c>
      <c r="E199" s="38" t="str">
        <f>IF(OR($B$73=1,$B$73=2,$B$73=4,$B$73=6,$B$73=8,$B$73=11,$B$73=12),$A$199,"")</f>
        <v/>
      </c>
    </row>
    <row r="200" spans="1:5" hidden="1" x14ac:dyDescent="0.2"/>
    <row r="201" spans="1:5" hidden="1" x14ac:dyDescent="0.2"/>
    <row r="202" spans="1:5" hidden="1" x14ac:dyDescent="0.2"/>
    <row r="203" spans="1:5" hidden="1" x14ac:dyDescent="0.2">
      <c r="A203" s="3" t="s">
        <v>995</v>
      </c>
      <c r="D203" s="3" t="s">
        <v>997</v>
      </c>
      <c r="E203" s="3" t="s">
        <v>998</v>
      </c>
    </row>
    <row r="204" spans="1:5" hidden="1" x14ac:dyDescent="0.2"/>
    <row r="205" spans="1:5" hidden="1" x14ac:dyDescent="0.2">
      <c r="A205" s="3" t="s">
        <v>989</v>
      </c>
      <c r="D205" s="38" t="str">
        <f>$A$205</f>
        <v>Kompletter Fensterersatz</v>
      </c>
      <c r="E205" s="38" t="str">
        <f>$A$205</f>
        <v>Kompletter Fensterersatz</v>
      </c>
    </row>
    <row r="206" spans="1:5" hidden="1" x14ac:dyDescent="0.2">
      <c r="A206" s="3" t="s">
        <v>990</v>
      </c>
      <c r="D206" s="38" t="str">
        <f>$A$206</f>
        <v>Wärmedämmung des Dachs</v>
      </c>
      <c r="E206" s="38" t="str">
        <f>$A$206</f>
        <v>Wärmedämmung des Dachs</v>
      </c>
    </row>
    <row r="207" spans="1:5" hidden="1" x14ac:dyDescent="0.2">
      <c r="A207" s="3" t="s">
        <v>991</v>
      </c>
      <c r="D207" s="38" t="str">
        <f>$A$207</f>
        <v>Wärmedämmung der Fassade</v>
      </c>
      <c r="E207" s="38" t="str">
        <f>$A$207</f>
        <v>Wärmedämmung der Fassade</v>
      </c>
    </row>
    <row r="208" spans="1:5" hidden="1" x14ac:dyDescent="0.2">
      <c r="A208" s="3" t="s">
        <v>992</v>
      </c>
      <c r="D208" s="38" t="str">
        <f>$A$208</f>
        <v>Kontrollierte Lüftung</v>
      </c>
      <c r="E208" s="38" t="str">
        <f>$A$208</f>
        <v>Kontrollierte Lüftung</v>
      </c>
    </row>
    <row r="209" spans="1:5" hidden="1" x14ac:dyDescent="0.2">
      <c r="A209" s="3" t="s">
        <v>558</v>
      </c>
      <c r="D209" s="38" t="str">
        <f>IF(OR($B$81=1,$B$81=2,$B$81=4,$B$81=6,$B$81=8,$B$81=11,$B$81=12),$A$209,"")</f>
        <v/>
      </c>
      <c r="E209" s="38" t="str">
        <f>IF(OR($B$81=1,$B$81=2,$B$81=4,$B$81=6,$B$81=8,$B$81=11,$B$81=12),$A$209,"")</f>
        <v/>
      </c>
    </row>
    <row r="210" spans="1:5" hidden="1" x14ac:dyDescent="0.2">
      <c r="A210" s="3" t="s">
        <v>993</v>
      </c>
      <c r="D210" s="38" t="str">
        <f>IF(OR($B$81=1,$B$81=2,$B$81=4,$B$81=6,$B$81=8,$B$81=11,$B$81=12),$A$210,"")</f>
        <v/>
      </c>
      <c r="E210" s="38" t="str">
        <f>IF(OR($B$81=1,$B$81=2,$B$81=4,$B$81=6,$B$81=8,$B$81=11,$B$81=12),$A$210,"")</f>
        <v/>
      </c>
    </row>
    <row r="211" spans="1:5" hidden="1" x14ac:dyDescent="0.2">
      <c r="A211" s="38"/>
      <c r="D211" s="38"/>
    </row>
  </sheetData>
  <sheetProtection algorithmName="SHA-512" hashValue="0W/AnBAb0t8jST1VBalmlGEEIKHDGfTmo4tF5OyjJuY58jt76Y12RW0VNehXOf1iH1pYvxGLBC8ikSJj8s1l9w==" saltValue="FICR3V8iht15Qj41EQJMgw==" spinCount="100000" sheet="1"/>
  <mergeCells count="8">
    <mergeCell ref="D94:F94"/>
    <mergeCell ref="H97:P97"/>
    <mergeCell ref="D5:M5"/>
    <mergeCell ref="D7:M7"/>
    <mergeCell ref="D11:M11"/>
    <mergeCell ref="B88:P88"/>
    <mergeCell ref="D92:F92"/>
    <mergeCell ref="C17:E17"/>
  </mergeCells>
  <conditionalFormatting sqref="C17">
    <cfRule type="expression" dxfId="67" priority="182">
      <formula>$H$53="x"</formula>
    </cfRule>
  </conditionalFormatting>
  <conditionalFormatting sqref="D65">
    <cfRule type="expression" dxfId="66" priority="17">
      <formula>$F$61="-"</formula>
    </cfRule>
  </conditionalFormatting>
  <conditionalFormatting sqref="D67 D69">
    <cfRule type="expression" dxfId="65" priority="18">
      <formula>$F$61="-"</formula>
    </cfRule>
  </conditionalFormatting>
  <conditionalFormatting sqref="D73 D81">
    <cfRule type="expression" dxfId="64" priority="16">
      <formula>$F$61="-"</formula>
    </cfRule>
  </conditionalFormatting>
  <conditionalFormatting sqref="D73">
    <cfRule type="expression" dxfId="63" priority="21">
      <formula>$D$73=0</formula>
    </cfRule>
  </conditionalFormatting>
  <conditionalFormatting sqref="D75 D77 D83 D85">
    <cfRule type="expression" dxfId="62" priority="15">
      <formula>$F$61="-"</formula>
    </cfRule>
  </conditionalFormatting>
  <conditionalFormatting sqref="D75 D77">
    <cfRule type="expression" dxfId="61" priority="20">
      <formula>$B$73=0</formula>
    </cfRule>
  </conditionalFormatting>
  <conditionalFormatting sqref="D81">
    <cfRule type="expression" dxfId="60" priority="22">
      <formula>$D$81=0</formula>
    </cfRule>
  </conditionalFormatting>
  <conditionalFormatting sqref="D83 D85">
    <cfRule type="expression" dxfId="59" priority="19">
      <formula>$B$81=0</formula>
    </cfRule>
  </conditionalFormatting>
  <conditionalFormatting sqref="D92">
    <cfRule type="containsText" dxfId="58" priority="2" operator="containsText" text="nicht erfüllt">
      <formula>NOT(ISERROR(SEARCH("nicht erfüllt",D92)))</formula>
    </cfRule>
    <cfRule type="containsText" dxfId="57" priority="3" operator="containsText" text="nicht">
      <formula>NOT(ISERROR(SEARCH("nicht",B72)))</formula>
    </cfRule>
    <cfRule type="beginsWith" dxfId="56" priority="1" operator="beginsWith" text="erfüllt">
      <formula>LEFT(D92,LEN("erfüllt"))="erfüllt"</formula>
    </cfRule>
  </conditionalFormatting>
  <conditionalFormatting sqref="D94:D95">
    <cfRule type="beginsWith" dxfId="55" priority="187" operator="beginsWith" text="erfüllt">
      <formula>LEFT(D94,LEN("erfüllt"))="erfüllt"</formula>
    </cfRule>
    <cfRule type="containsText" dxfId="54" priority="188" operator="containsText" text="nicht erfüllt">
      <formula>NOT(ISERROR(SEARCH("nicht erfüllt",D94)))</formula>
    </cfRule>
    <cfRule type="containsText" dxfId="53" priority="189" operator="containsText" text="nicht">
      <formula>NOT(ISERROR(SEARCH("nicht",#REF!)))</formula>
    </cfRule>
  </conditionalFormatting>
  <conditionalFormatting sqref="H55:L55">
    <cfRule type="expression" dxfId="52" priority="4">
      <formula>$C$55=""</formula>
    </cfRule>
  </conditionalFormatting>
  <conditionalFormatting sqref="H57:L57">
    <cfRule type="expression" dxfId="51" priority="5">
      <formula>$C$57=""</formula>
    </cfRule>
  </conditionalFormatting>
  <conditionalFormatting sqref="H59:L59">
    <cfRule type="expression" dxfId="50" priority="6">
      <formula>$C$59=""</formula>
    </cfRule>
  </conditionalFormatting>
  <conditionalFormatting sqref="J29:J41">
    <cfRule type="cellIs" dxfId="49" priority="48" operator="equal">
      <formula>"x"</formula>
    </cfRule>
  </conditionalFormatting>
  <conditionalFormatting sqref="J43:J51">
    <cfRule type="cellIs" dxfId="48" priority="13" operator="equal">
      <formula>"x"</formula>
    </cfRule>
  </conditionalFormatting>
  <conditionalFormatting sqref="J55">
    <cfRule type="cellIs" dxfId="47" priority="14" operator="equal">
      <formula>"x"</formula>
    </cfRule>
  </conditionalFormatting>
  <conditionalFormatting sqref="J57">
    <cfRule type="cellIs" dxfId="46" priority="12" operator="equal">
      <formula>"x"</formula>
    </cfRule>
  </conditionalFormatting>
  <conditionalFormatting sqref="J59">
    <cfRule type="cellIs" dxfId="45" priority="11" operator="equal">
      <formula>"x"</formula>
    </cfRule>
  </conditionalFormatting>
  <conditionalFormatting sqref="J61:J62">
    <cfRule type="cellIs" dxfId="44" priority="180" operator="equal">
      <formula>"x"</formula>
    </cfRule>
  </conditionalFormatting>
  <conditionalFormatting sqref="J65">
    <cfRule type="cellIs" dxfId="43" priority="45" operator="equal">
      <formula>"x"</formula>
    </cfRule>
  </conditionalFormatting>
  <conditionalFormatting sqref="J67">
    <cfRule type="cellIs" dxfId="42" priority="44" operator="equal">
      <formula>"x"</formula>
    </cfRule>
  </conditionalFormatting>
  <conditionalFormatting sqref="J69">
    <cfRule type="cellIs" dxfId="41" priority="43" operator="equal">
      <formula>"x"</formula>
    </cfRule>
  </conditionalFormatting>
  <conditionalFormatting sqref="J73">
    <cfRule type="cellIs" dxfId="40" priority="42" operator="equal">
      <formula>"x"</formula>
    </cfRule>
  </conditionalFormatting>
  <conditionalFormatting sqref="J75">
    <cfRule type="cellIs" dxfId="39" priority="87" operator="equal">
      <formula>"x"</formula>
    </cfRule>
  </conditionalFormatting>
  <conditionalFormatting sqref="J77">
    <cfRule type="cellIs" dxfId="38" priority="82" operator="equal">
      <formula>"x"</formula>
    </cfRule>
  </conditionalFormatting>
  <conditionalFormatting sqref="J81">
    <cfRule type="cellIs" dxfId="37" priority="39" operator="equal">
      <formula>"x"</formula>
    </cfRule>
  </conditionalFormatting>
  <conditionalFormatting sqref="J83">
    <cfRule type="cellIs" dxfId="36" priority="91" operator="equal">
      <formula>"x"</formula>
    </cfRule>
  </conditionalFormatting>
  <conditionalFormatting sqref="J85">
    <cfRule type="cellIs" dxfId="35" priority="81" operator="equal">
      <formula>"x"</formula>
    </cfRule>
  </conditionalFormatting>
  <dataValidations disablePrompts="1" count="10">
    <dataValidation type="list" allowBlank="1" showInputMessage="1" showErrorMessage="1" sqref="H15 H65 H67 H57 H59 H25 H37:H46 H51 H23 H21 H29 H31 H33:H35 H19 H55 H69 H73 H75 H77 H81 H83 H85" xr:uid="{9AE44887-AEBD-4437-B362-40CB59CC8F6C}">
      <formula1>$A$130:$A$131</formula1>
    </dataValidation>
    <dataValidation type="list" allowBlank="1" showInputMessage="1" showErrorMessage="1" sqref="H28 H36" xr:uid="{45A66CE5-9700-4E30-A295-07CE26252A7D}">
      <formula1>$A$90:$A$91</formula1>
    </dataValidation>
    <dataValidation type="list" allowBlank="1" showInputMessage="1" showErrorMessage="1" sqref="C17:E17" xr:uid="{298EB8CC-D543-44CA-BA1B-AD768296FD65}">
      <formula1>$A$134:$A$141</formula1>
    </dataValidation>
    <dataValidation type="list" allowBlank="1" showInputMessage="1" showErrorMessage="1" sqref="D69" xr:uid="{E0FF1774-BFD4-48AD-9A98-F4F859515C58}">
      <formula1>$E$181:$E$188</formula1>
    </dataValidation>
    <dataValidation type="list" allowBlank="1" showInputMessage="1" showErrorMessage="1" sqref="D85" xr:uid="{929E3363-F966-4985-A677-A89127879E3B}">
      <formula1>$E$203:$E$210</formula1>
    </dataValidation>
    <dataValidation type="list" allowBlank="1" showInputMessage="1" showErrorMessage="1" sqref="D67" xr:uid="{68472E9C-58D7-4810-B84D-726EFD2486A0}">
      <formula1>$D$181:$D$188</formula1>
    </dataValidation>
    <dataValidation type="list" allowBlank="1" showInputMessage="1" showErrorMessage="1" sqref="D75" xr:uid="{8B8BAE8B-B13D-4468-BDA8-D4BCD9BDB3A1}">
      <formula1>$D$192:$D$199</formula1>
    </dataValidation>
    <dataValidation type="list" allowBlank="1" showInputMessage="1" showErrorMessage="1" sqref="D77" xr:uid="{44F3F64E-85E9-4BDA-A9FC-B1238E7B4183}">
      <formula1>$E$192:$E$199</formula1>
    </dataValidation>
    <dataValidation type="list" allowBlank="1" showInputMessage="1" showErrorMessage="1" sqref="D83" xr:uid="{F25B7C30-C52A-45FD-A71B-DA4141884AFA}">
      <formula1>$D$203:$D$210</formula1>
    </dataValidation>
    <dataValidation type="list" allowBlank="1" showInputMessage="1" showErrorMessage="1" sqref="H58" xr:uid="{D8F0C1AD-707C-41BB-91F6-6A7DA6EAC2C9}">
      <formula1>#REF!</formula1>
    </dataValidation>
  </dataValidations>
  <hyperlinks>
    <hyperlink ref="P2" location="'EN-Kt.'!A1" display="Zurück zm EN-Kt. " xr:uid="{C2CBFEB8-EB02-473A-A4FE-12CD49B3EDDE}"/>
    <hyperlink ref="P1" r:id="rId1" xr:uid="{9E84379D-EBB2-405B-86A3-73252E2B066C}"/>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E9DAB3F-5645-410D-B32C-236E101E4AAA}">
          <x14:formula1>
            <xm:f>'EN-Kt.'!$C$304:$C$307</xm:f>
          </x14:formula1>
          <xm:sqref>D9</xm:sqref>
        </x14:dataValidation>
        <x14:dataValidation type="list" allowBlank="1" showInputMessage="1" showErrorMessage="1" xr:uid="{94488B14-8286-46A8-BE37-6A02AA3ADEB6}">
          <x14:formula1>
            <xm:f>'EN-Kt.'!$A$207:$A$208</xm:f>
          </x14:formula1>
          <xm:sqref>H94 H92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E83E0-B05A-40E2-A5AE-349A12C1C1BC}">
  <sheetPr codeName="Tabelle21">
    <tabColor theme="0" tint="-0.14999847407452621"/>
  </sheetPr>
  <dimension ref="A1:Y70"/>
  <sheetViews>
    <sheetView showGridLines="0" zoomScaleNormal="100" zoomScalePageLayoutView="70" workbookViewId="0">
      <selection activeCell="Q8" sqref="Q8"/>
    </sheetView>
  </sheetViews>
  <sheetFormatPr baseColWidth="10" defaultColWidth="10.875" defaultRowHeight="13.5" x14ac:dyDescent="0.2"/>
  <cols>
    <col min="1" max="20" width="6.625" style="3" customWidth="1"/>
    <col min="21" max="16384" width="10.875" style="3"/>
  </cols>
  <sheetData>
    <row r="1" spans="1:18" s="22" customFormat="1" ht="20.25" x14ac:dyDescent="0.3">
      <c r="A1" s="145" t="s">
        <v>510</v>
      </c>
      <c r="B1" s="6"/>
    </row>
    <row r="2" spans="1:18" ht="20.100000000000001" customHeight="1" x14ac:dyDescent="0.2">
      <c r="A2" s="330"/>
      <c r="B2" s="330"/>
      <c r="C2" s="330"/>
      <c r="D2" s="330"/>
      <c r="E2" s="330"/>
      <c r="F2" s="330"/>
      <c r="G2" s="330"/>
      <c r="H2" s="330"/>
      <c r="I2" s="330"/>
      <c r="J2" s="330"/>
      <c r="K2" s="330"/>
      <c r="L2" s="330"/>
      <c r="M2" s="330"/>
      <c r="N2" s="330"/>
      <c r="O2" s="330"/>
      <c r="P2" s="330"/>
      <c r="Q2" s="330"/>
      <c r="R2" s="330"/>
    </row>
    <row r="3" spans="1:18" ht="20.100000000000001" customHeight="1" x14ac:dyDescent="0.2">
      <c r="A3" s="2" t="s">
        <v>593</v>
      </c>
      <c r="B3" s="46"/>
      <c r="C3" s="46"/>
      <c r="D3" s="46"/>
      <c r="E3" s="46"/>
      <c r="F3" s="46"/>
      <c r="G3" s="46"/>
      <c r="H3" s="46"/>
      <c r="I3" s="46"/>
      <c r="J3" s="46"/>
      <c r="K3" s="46"/>
      <c r="L3" s="46"/>
      <c r="M3" s="46"/>
      <c r="N3" s="46"/>
      <c r="O3" s="46"/>
      <c r="P3" s="46"/>
      <c r="Q3" s="46"/>
      <c r="R3" s="46"/>
    </row>
    <row r="4" spans="1:18" ht="20.100000000000001" customHeight="1" x14ac:dyDescent="0.2">
      <c r="A4" s="335" t="s">
        <v>589</v>
      </c>
      <c r="B4" s="335"/>
      <c r="C4" s="335"/>
      <c r="D4" s="335"/>
      <c r="E4" s="335"/>
      <c r="F4" s="335"/>
      <c r="G4" s="335"/>
      <c r="H4" s="335"/>
      <c r="I4" s="335"/>
      <c r="J4" s="335"/>
      <c r="K4" s="335"/>
      <c r="L4" s="335"/>
      <c r="M4" s="335"/>
      <c r="N4" s="335"/>
      <c r="O4" s="335"/>
      <c r="P4" s="335"/>
      <c r="Q4" s="335"/>
      <c r="R4" s="335"/>
    </row>
    <row r="5" spans="1:18" ht="20.100000000000001" customHeight="1" x14ac:dyDescent="0.2">
      <c r="A5" s="335"/>
      <c r="B5" s="335"/>
      <c r="C5" s="335"/>
      <c r="D5" s="335"/>
      <c r="E5" s="335"/>
      <c r="F5" s="335"/>
      <c r="G5" s="335"/>
      <c r="H5" s="335"/>
      <c r="I5" s="335"/>
      <c r="J5" s="335"/>
      <c r="K5" s="335"/>
      <c r="L5" s="335"/>
      <c r="M5" s="335"/>
      <c r="N5" s="335"/>
      <c r="O5" s="335"/>
      <c r="P5" s="335"/>
      <c r="Q5" s="335"/>
      <c r="R5" s="335"/>
    </row>
    <row r="6" spans="1:18" ht="20.100000000000001" customHeight="1" x14ac:dyDescent="0.2">
      <c r="A6" s="336" t="s">
        <v>590</v>
      </c>
      <c r="B6" s="336"/>
      <c r="C6" s="336"/>
      <c r="D6" s="336"/>
      <c r="E6" s="336"/>
      <c r="F6" s="336"/>
      <c r="G6" s="81" t="s">
        <v>728</v>
      </c>
      <c r="H6" s="136"/>
      <c r="I6" s="136"/>
      <c r="J6" s="136"/>
      <c r="K6" s="136"/>
      <c r="L6" s="136"/>
      <c r="M6" s="136"/>
      <c r="N6" s="136"/>
      <c r="O6" s="136"/>
      <c r="P6" s="136"/>
      <c r="Q6" s="136"/>
      <c r="R6" s="136"/>
    </row>
    <row r="7" spans="1:18" ht="20.100000000000001" customHeight="1" x14ac:dyDescent="0.2">
      <c r="A7" s="180"/>
      <c r="B7" s="180"/>
      <c r="C7" s="180"/>
      <c r="D7" s="180"/>
      <c r="E7" s="180"/>
      <c r="F7" s="180"/>
      <c r="G7" s="81"/>
      <c r="H7" s="136"/>
      <c r="I7" s="136"/>
      <c r="J7" s="136"/>
      <c r="K7" s="136"/>
      <c r="L7" s="136"/>
      <c r="M7" s="136"/>
      <c r="N7" s="136"/>
      <c r="O7" s="136"/>
      <c r="P7" s="136"/>
      <c r="Q7" s="136"/>
      <c r="R7" s="136"/>
    </row>
    <row r="8" spans="1:18" ht="20.100000000000001" customHeight="1" x14ac:dyDescent="0.2">
      <c r="A8" s="2" t="s">
        <v>772</v>
      </c>
      <c r="B8" s="2"/>
    </row>
    <row r="9" spans="1:18" ht="34.5" customHeight="1" x14ac:dyDescent="0.2">
      <c r="A9" s="338" t="s">
        <v>739</v>
      </c>
      <c r="B9" s="339"/>
      <c r="C9" s="339"/>
      <c r="D9" s="339"/>
      <c r="E9" s="339"/>
      <c r="F9" s="339"/>
      <c r="G9" s="339"/>
      <c r="H9" s="339"/>
      <c r="I9" s="339"/>
      <c r="J9" s="339"/>
      <c r="K9" s="339"/>
      <c r="L9" s="339"/>
      <c r="M9" s="339"/>
      <c r="N9" s="339"/>
      <c r="O9" s="339"/>
      <c r="P9" s="339"/>
      <c r="Q9" s="339"/>
      <c r="R9" s="339"/>
    </row>
    <row r="10" spans="1:18" ht="20.100000000000001" customHeight="1" x14ac:dyDescent="0.2">
      <c r="A10" s="95" t="s">
        <v>740</v>
      </c>
      <c r="B10" s="95"/>
      <c r="C10" s="95"/>
      <c r="D10" s="95" t="s">
        <v>726</v>
      </c>
      <c r="E10" s="95"/>
      <c r="F10" s="177"/>
      <c r="G10" s="177"/>
      <c r="H10" s="177"/>
      <c r="I10" s="177"/>
      <c r="J10" s="177"/>
    </row>
    <row r="11" spans="1:18" ht="20.100000000000001" customHeight="1" x14ac:dyDescent="0.2">
      <c r="A11" s="81" t="s">
        <v>741</v>
      </c>
      <c r="B11" s="81"/>
      <c r="C11" s="81"/>
      <c r="D11" s="81" t="s">
        <v>1052</v>
      </c>
      <c r="E11" s="81"/>
      <c r="F11" s="81"/>
      <c r="G11" s="81"/>
      <c r="H11" s="81"/>
      <c r="I11" s="81"/>
      <c r="J11" s="81"/>
    </row>
    <row r="12" spans="1:18" ht="20.100000000000001" customHeight="1" x14ac:dyDescent="0.2">
      <c r="A12" s="139" t="s">
        <v>742</v>
      </c>
      <c r="B12" s="139"/>
      <c r="C12" s="139"/>
      <c r="D12" s="340" t="s">
        <v>884</v>
      </c>
      <c r="E12" s="340"/>
      <c r="F12" s="340"/>
      <c r="G12" s="340"/>
      <c r="H12" s="340"/>
      <c r="I12" s="81"/>
      <c r="J12" s="81"/>
    </row>
    <row r="13" spans="1:18" ht="20.100000000000001" customHeight="1" x14ac:dyDescent="0.2">
      <c r="A13" s="81" t="s">
        <v>745</v>
      </c>
      <c r="B13" s="81"/>
      <c r="C13" s="81"/>
      <c r="D13" s="340" t="s">
        <v>755</v>
      </c>
      <c r="E13" s="340"/>
      <c r="F13" s="81"/>
      <c r="G13" s="81"/>
      <c r="H13" s="81"/>
      <c r="I13" s="81"/>
      <c r="J13" s="81"/>
    </row>
    <row r="14" spans="1:18" ht="20.100000000000001" customHeight="1" x14ac:dyDescent="0.2">
      <c r="A14" s="81" t="s">
        <v>1004</v>
      </c>
      <c r="B14" s="81"/>
      <c r="C14" s="81"/>
      <c r="D14" s="340" t="s">
        <v>1003</v>
      </c>
      <c r="E14" s="340"/>
      <c r="F14" s="81"/>
      <c r="G14" s="81"/>
      <c r="H14" s="81"/>
      <c r="I14" s="81"/>
      <c r="J14" s="81"/>
    </row>
    <row r="15" spans="1:18" ht="20.100000000000001" customHeight="1" x14ac:dyDescent="0.2">
      <c r="A15" s="81"/>
      <c r="B15" s="81"/>
      <c r="C15" s="81"/>
      <c r="D15" s="81"/>
      <c r="E15" s="81"/>
      <c r="F15" s="81"/>
      <c r="G15" s="81"/>
      <c r="H15" s="81"/>
      <c r="I15" s="81"/>
      <c r="J15" s="81"/>
    </row>
    <row r="16" spans="1:18" ht="20.100000000000001" customHeight="1" x14ac:dyDescent="0.2">
      <c r="A16" s="2" t="s">
        <v>505</v>
      </c>
      <c r="D16" s="96"/>
      <c r="F16" s="7"/>
      <c r="G16" s="7"/>
      <c r="H16" s="7"/>
      <c r="I16" s="7"/>
      <c r="J16" s="8"/>
      <c r="L16" s="8"/>
    </row>
    <row r="17" spans="1:25" ht="19.5" customHeight="1" x14ac:dyDescent="0.2">
      <c r="A17" s="335" t="s">
        <v>591</v>
      </c>
      <c r="B17" s="335"/>
      <c r="C17" s="335"/>
      <c r="D17" s="335"/>
      <c r="E17" s="335"/>
      <c r="F17" s="335"/>
      <c r="G17" s="335"/>
      <c r="H17" s="335"/>
      <c r="I17" s="335"/>
      <c r="J17" s="335"/>
      <c r="K17" s="335"/>
      <c r="L17" s="335"/>
      <c r="M17" s="335"/>
      <c r="N17" s="335"/>
      <c r="O17" s="335"/>
      <c r="P17" s="335"/>
      <c r="Q17" s="335"/>
      <c r="R17" s="335"/>
    </row>
    <row r="18" spans="1:25" ht="5.0999999999999996" customHeight="1" x14ac:dyDescent="0.2"/>
    <row r="19" spans="1:25" ht="20.100000000000001" customHeight="1" x14ac:dyDescent="0.2">
      <c r="A19" s="331" t="s">
        <v>506</v>
      </c>
      <c r="B19" s="331"/>
      <c r="C19" s="331"/>
      <c r="D19" s="331"/>
      <c r="E19" s="331"/>
      <c r="F19" s="7"/>
      <c r="G19" s="7"/>
      <c r="H19" s="7"/>
      <c r="I19" s="7"/>
      <c r="J19" s="8"/>
      <c r="L19" s="8"/>
    </row>
    <row r="20" spans="1:25" ht="20.100000000000001" customHeight="1" x14ac:dyDescent="0.2">
      <c r="A20" s="333" t="s">
        <v>507</v>
      </c>
      <c r="B20" s="333"/>
      <c r="C20" s="333"/>
      <c r="D20" s="333"/>
      <c r="E20" s="333"/>
      <c r="F20" s="120"/>
      <c r="G20" s="120"/>
      <c r="H20" s="120"/>
      <c r="I20" s="120"/>
      <c r="J20" s="120"/>
      <c r="K20" s="120"/>
      <c r="L20" s="120"/>
      <c r="M20" s="120"/>
      <c r="N20" s="120"/>
    </row>
    <row r="21" spans="1:25" ht="20.100000000000001" customHeight="1" x14ac:dyDescent="0.25">
      <c r="A21" s="332" t="s">
        <v>508</v>
      </c>
      <c r="B21" s="332"/>
      <c r="C21" s="332"/>
      <c r="D21" s="332"/>
      <c r="E21" s="332"/>
      <c r="F21" s="7"/>
      <c r="G21" s="7"/>
      <c r="H21" s="7"/>
      <c r="I21" s="7"/>
      <c r="J21" s="8"/>
      <c r="L21" s="8"/>
      <c r="Y21" s="224"/>
    </row>
    <row r="22" spans="1:25" ht="20.100000000000001" customHeight="1" x14ac:dyDescent="0.2">
      <c r="A22" s="337" t="s">
        <v>592</v>
      </c>
      <c r="B22" s="337"/>
      <c r="C22" s="337"/>
      <c r="D22" s="337"/>
      <c r="E22" s="337"/>
    </row>
    <row r="23" spans="1:25" ht="20.100000000000001" customHeight="1" x14ac:dyDescent="0.2"/>
    <row r="24" spans="1:25" ht="20.100000000000001" customHeight="1" x14ac:dyDescent="0.2">
      <c r="A24" s="2" t="s">
        <v>746</v>
      </c>
    </row>
    <row r="25" spans="1:25" ht="15" customHeight="1" x14ac:dyDescent="0.2">
      <c r="A25" s="9" t="s">
        <v>747</v>
      </c>
      <c r="B25" s="9"/>
      <c r="C25" s="9"/>
      <c r="D25" s="9"/>
      <c r="E25" s="223"/>
      <c r="F25" s="278" t="s">
        <v>885</v>
      </c>
      <c r="G25" s="246"/>
      <c r="H25" s="246"/>
      <c r="I25" s="246"/>
      <c r="J25" s="246"/>
      <c r="K25" s="279"/>
      <c r="L25" s="9" t="s">
        <v>748</v>
      </c>
      <c r="M25" s="9"/>
      <c r="N25" s="9"/>
      <c r="O25" s="9"/>
      <c r="P25" s="9"/>
      <c r="Q25" s="9"/>
    </row>
    <row r="26" spans="1:25" ht="20.100000000000001" customHeight="1" x14ac:dyDescent="0.25">
      <c r="A26" s="116" t="s">
        <v>588</v>
      </c>
      <c r="F26" s="341" t="s">
        <v>588</v>
      </c>
      <c r="G26" s="342"/>
      <c r="H26" s="342"/>
      <c r="I26" s="342"/>
      <c r="J26" s="342"/>
      <c r="K26" s="343"/>
      <c r="L26" s="341" t="s">
        <v>588</v>
      </c>
      <c r="M26" s="342"/>
      <c r="N26" s="342"/>
      <c r="O26" s="342"/>
      <c r="P26" s="342"/>
      <c r="Q26" s="343"/>
    </row>
    <row r="27" spans="1:25" ht="20.100000000000001" customHeight="1" x14ac:dyDescent="0.25">
      <c r="A27" s="148" t="s">
        <v>749</v>
      </c>
      <c r="B27" s="179"/>
      <c r="C27" s="179"/>
      <c r="D27" s="179"/>
      <c r="E27" s="307"/>
      <c r="F27" s="344" t="s">
        <v>874</v>
      </c>
      <c r="G27" s="345"/>
      <c r="H27" s="345"/>
      <c r="I27" s="345"/>
      <c r="J27" s="345"/>
      <c r="K27" s="346"/>
      <c r="L27" s="344" t="s">
        <v>874</v>
      </c>
      <c r="M27" s="345"/>
      <c r="N27" s="345"/>
      <c r="O27" s="345"/>
      <c r="P27" s="345"/>
      <c r="Q27" s="346"/>
    </row>
    <row r="28" spans="1:25" ht="20.100000000000001" customHeight="1" x14ac:dyDescent="0.25">
      <c r="A28" s="116" t="s">
        <v>750</v>
      </c>
      <c r="B28"/>
      <c r="C28"/>
      <c r="D28"/>
      <c r="E28"/>
      <c r="F28" s="348"/>
      <c r="G28" s="349"/>
      <c r="H28" s="349"/>
      <c r="I28" s="349"/>
      <c r="J28" s="349"/>
      <c r="K28" s="350"/>
      <c r="L28" s="354"/>
      <c r="M28" s="355"/>
      <c r="N28" s="355"/>
      <c r="O28" s="355"/>
      <c r="P28" s="355"/>
      <c r="Q28" s="356"/>
    </row>
    <row r="29" spans="1:25" ht="20.100000000000001" customHeight="1" x14ac:dyDescent="0.25">
      <c r="A29" s="148" t="s">
        <v>1050</v>
      </c>
      <c r="F29" s="351"/>
      <c r="G29" s="352"/>
      <c r="H29" s="352"/>
      <c r="I29" s="352"/>
      <c r="J29" s="352"/>
      <c r="K29" s="353"/>
      <c r="L29" s="354"/>
      <c r="M29" s="355"/>
      <c r="N29" s="355"/>
      <c r="O29" s="355"/>
      <c r="P29" s="355"/>
      <c r="Q29" s="356"/>
    </row>
    <row r="30" spans="1:25" ht="20.100000000000001" customHeight="1" x14ac:dyDescent="0.25">
      <c r="A30" s="148"/>
    </row>
    <row r="31" spans="1:25" ht="20.100000000000001" customHeight="1" x14ac:dyDescent="0.2">
      <c r="A31" s="2" t="s">
        <v>746</v>
      </c>
    </row>
    <row r="32" spans="1:25" ht="15" customHeight="1" x14ac:dyDescent="0.2">
      <c r="A32" s="9" t="s">
        <v>921</v>
      </c>
      <c r="B32" s="9"/>
      <c r="C32" s="9"/>
      <c r="D32" s="9"/>
      <c r="E32" s="9"/>
      <c r="F32" s="278" t="s">
        <v>1051</v>
      </c>
      <c r="G32" s="246"/>
      <c r="H32" s="246"/>
      <c r="I32" s="246"/>
      <c r="J32" s="246"/>
      <c r="K32" s="279"/>
      <c r="L32" s="94"/>
      <c r="M32" s="94"/>
      <c r="N32" s="94"/>
      <c r="O32" s="94"/>
      <c r="P32" s="94"/>
      <c r="Q32" s="94"/>
    </row>
    <row r="33" spans="1:19" ht="20.100000000000001" customHeight="1" x14ac:dyDescent="0.25">
      <c r="A33" s="341" t="s">
        <v>588</v>
      </c>
      <c r="B33" s="342"/>
      <c r="C33" s="342"/>
      <c r="D33" s="342"/>
      <c r="E33" s="342"/>
      <c r="F33" s="341" t="s">
        <v>588</v>
      </c>
      <c r="G33" s="342"/>
      <c r="H33" s="342"/>
      <c r="I33" s="342"/>
      <c r="J33" s="342"/>
      <c r="K33" s="343"/>
      <c r="L33" s="94"/>
      <c r="M33" s="94"/>
      <c r="N33" s="94"/>
      <c r="O33" s="94"/>
      <c r="P33" s="94"/>
      <c r="Q33" s="94"/>
    </row>
    <row r="34" spans="1:19" ht="20.100000000000001" customHeight="1" x14ac:dyDescent="0.25">
      <c r="A34" s="344" t="s">
        <v>874</v>
      </c>
      <c r="B34" s="345"/>
      <c r="C34" s="345"/>
      <c r="D34" s="345"/>
      <c r="E34" s="345"/>
      <c r="F34" s="344" t="s">
        <v>874</v>
      </c>
      <c r="G34" s="345"/>
      <c r="H34" s="345"/>
      <c r="I34" s="345"/>
      <c r="J34" s="345"/>
      <c r="K34" s="346"/>
      <c r="L34" s="94"/>
      <c r="M34" s="94"/>
      <c r="N34" s="94"/>
      <c r="O34" s="94"/>
      <c r="P34" s="94"/>
      <c r="Q34" s="94"/>
    </row>
    <row r="35" spans="1:19" ht="20.100000000000001" customHeight="1" x14ac:dyDescent="0.25">
      <c r="A35" s="224"/>
      <c r="B35"/>
      <c r="C35"/>
      <c r="D35"/>
      <c r="E35"/>
      <c r="F35" s="348"/>
      <c r="G35" s="349"/>
      <c r="H35" s="349"/>
      <c r="I35" s="349"/>
      <c r="J35" s="349"/>
      <c r="K35" s="350"/>
      <c r="L35" s="94"/>
      <c r="M35" s="94"/>
      <c r="N35" s="94"/>
      <c r="O35" s="94"/>
      <c r="P35" s="94"/>
      <c r="Q35" s="94"/>
    </row>
    <row r="36" spans="1:19" ht="20.100000000000001" customHeight="1" x14ac:dyDescent="0.25">
      <c r="A36" s="148"/>
      <c r="F36" s="351"/>
      <c r="G36" s="352"/>
      <c r="H36" s="352"/>
      <c r="I36" s="352"/>
      <c r="J36" s="352"/>
      <c r="K36" s="353"/>
      <c r="L36" s="94"/>
      <c r="M36" s="94"/>
      <c r="N36" s="94"/>
      <c r="O36" s="94"/>
      <c r="P36" s="94"/>
      <c r="Q36" s="94"/>
    </row>
    <row r="37" spans="1:19" ht="20.100000000000001" customHeight="1" x14ac:dyDescent="0.25">
      <c r="A37" s="148"/>
    </row>
    <row r="38" spans="1:19" ht="20.100000000000001" customHeight="1" x14ac:dyDescent="0.2">
      <c r="A38" s="2" t="s">
        <v>509</v>
      </c>
      <c r="B38" s="2"/>
      <c r="F38" s="7"/>
      <c r="G38" s="7"/>
      <c r="H38" s="7"/>
      <c r="I38" s="7"/>
      <c r="J38" s="8"/>
      <c r="L38" s="8"/>
    </row>
    <row r="39" spans="1:19" ht="52.5" customHeight="1" x14ac:dyDescent="0.2">
      <c r="A39" s="338" t="s">
        <v>743</v>
      </c>
      <c r="B39" s="338"/>
      <c r="C39" s="338"/>
      <c r="D39" s="338"/>
      <c r="E39" s="338"/>
      <c r="F39" s="338"/>
      <c r="G39" s="338"/>
      <c r="H39" s="338"/>
      <c r="I39" s="338"/>
      <c r="J39" s="338"/>
      <c r="K39" s="338"/>
      <c r="L39" s="338"/>
      <c r="M39" s="338"/>
      <c r="N39" s="338"/>
      <c r="O39" s="338"/>
      <c r="P39" s="338"/>
      <c r="Q39" s="338"/>
      <c r="R39" s="338"/>
    </row>
    <row r="40" spans="1:19" ht="20.100000000000001" customHeight="1" x14ac:dyDescent="0.2">
      <c r="F40" s="7"/>
      <c r="H40" s="7"/>
      <c r="J40" s="7"/>
      <c r="L40" s="7"/>
    </row>
    <row r="41" spans="1:19" ht="20.100000000000001" customHeight="1" x14ac:dyDescent="0.2">
      <c r="A41" s="225" t="s">
        <v>744</v>
      </c>
      <c r="B41" s="225"/>
      <c r="C41" s="34"/>
      <c r="D41" s="34"/>
      <c r="E41" s="34"/>
      <c r="F41" s="34"/>
      <c r="G41" s="34"/>
      <c r="H41" s="34"/>
      <c r="I41" s="34"/>
      <c r="J41" s="34"/>
      <c r="K41" s="34"/>
      <c r="L41" s="34"/>
      <c r="M41" s="34"/>
      <c r="N41" s="34"/>
      <c r="O41" s="34"/>
      <c r="P41" s="34"/>
      <c r="Q41" s="34"/>
      <c r="R41" s="34"/>
      <c r="S41" s="34"/>
    </row>
    <row r="42" spans="1:19" ht="20.100000000000001" customHeight="1" x14ac:dyDescent="0.2">
      <c r="A42" s="334" t="s">
        <v>533</v>
      </c>
      <c r="B42" s="334"/>
      <c r="C42" s="334"/>
      <c r="D42" s="334"/>
      <c r="E42" s="334"/>
      <c r="F42" s="334"/>
      <c r="G42" s="334"/>
      <c r="H42" s="334"/>
      <c r="I42" s="334"/>
      <c r="J42" s="334"/>
      <c r="K42" s="334"/>
      <c r="L42" s="334"/>
      <c r="M42" s="334"/>
      <c r="N42" s="334"/>
      <c r="O42" s="334"/>
      <c r="P42" s="334"/>
      <c r="Q42" s="334"/>
      <c r="R42" s="334"/>
      <c r="S42" s="34"/>
    </row>
    <row r="43" spans="1:19" ht="20.100000000000001" customHeight="1" x14ac:dyDescent="0.2">
      <c r="A43" s="334"/>
      <c r="B43" s="334"/>
      <c r="C43" s="334"/>
      <c r="D43" s="334"/>
      <c r="E43" s="334"/>
      <c r="F43" s="334"/>
      <c r="G43" s="334"/>
      <c r="H43" s="334"/>
      <c r="I43" s="334"/>
      <c r="J43" s="334"/>
      <c r="K43" s="334"/>
      <c r="L43" s="334"/>
      <c r="M43" s="334"/>
      <c r="N43" s="334"/>
      <c r="O43" s="334"/>
      <c r="P43" s="334"/>
      <c r="Q43" s="334"/>
      <c r="R43" s="334"/>
      <c r="S43" s="34"/>
    </row>
    <row r="44" spans="1:19" ht="39.75" customHeight="1" x14ac:dyDescent="0.2">
      <c r="A44" s="334"/>
      <c r="B44" s="334"/>
      <c r="C44" s="334"/>
      <c r="D44" s="334"/>
      <c r="E44" s="334"/>
      <c r="F44" s="334"/>
      <c r="G44" s="334"/>
      <c r="H44" s="334"/>
      <c r="I44" s="334"/>
      <c r="J44" s="334"/>
      <c r="K44" s="334"/>
      <c r="L44" s="334"/>
      <c r="M44" s="334"/>
      <c r="N44" s="334"/>
      <c r="O44" s="334"/>
      <c r="P44" s="334"/>
      <c r="Q44" s="334"/>
      <c r="R44" s="334"/>
      <c r="S44" s="34"/>
    </row>
    <row r="45" spans="1:19" ht="20.100000000000001" customHeight="1" x14ac:dyDescent="0.2">
      <c r="A45" s="329" t="s">
        <v>514</v>
      </c>
      <c r="B45" s="329"/>
      <c r="C45" s="329"/>
      <c r="D45" s="329"/>
      <c r="E45" s="329"/>
      <c r="F45" s="329"/>
      <c r="G45" s="329"/>
      <c r="H45" s="329"/>
      <c r="I45" s="329"/>
      <c r="J45" s="230" t="s">
        <v>515</v>
      </c>
      <c r="K45" s="231"/>
      <c r="L45" s="231"/>
      <c r="M45" s="231"/>
      <c r="N45" s="34"/>
      <c r="O45" s="34"/>
      <c r="P45" s="34"/>
      <c r="Q45" s="34"/>
      <c r="R45" s="34"/>
      <c r="S45" s="34"/>
    </row>
    <row r="46" spans="1:19" ht="20.100000000000001" customHeight="1" x14ac:dyDescent="0.2">
      <c r="A46" s="2"/>
      <c r="B46" s="2"/>
    </row>
    <row r="47" spans="1:19" ht="20.100000000000001" customHeight="1" x14ac:dyDescent="0.2">
      <c r="B47" s="26"/>
    </row>
    <row r="48" spans="1:19" ht="20.100000000000001" customHeight="1" x14ac:dyDescent="0.2">
      <c r="A48" s="2"/>
      <c r="B48" s="2"/>
      <c r="F48" s="7"/>
      <c r="G48" s="7"/>
      <c r="H48" s="7"/>
      <c r="I48" s="7"/>
      <c r="J48" s="8"/>
      <c r="L48" s="8"/>
    </row>
    <row r="49" spans="1:16" ht="20.100000000000001" customHeight="1" x14ac:dyDescent="0.2">
      <c r="F49" s="27"/>
      <c r="H49" s="14"/>
    </row>
    <row r="50" spans="1:16" ht="20.100000000000001" customHeight="1" x14ac:dyDescent="0.2">
      <c r="C50" s="4"/>
      <c r="D50" s="4"/>
      <c r="E50" s="4"/>
    </row>
    <row r="51" spans="1:16" ht="20.100000000000001" customHeight="1" x14ac:dyDescent="0.2">
      <c r="A51" s="2"/>
      <c r="B51" s="2"/>
    </row>
    <row r="52" spans="1:16" ht="20.100000000000001" customHeight="1" x14ac:dyDescent="0.2">
      <c r="A52" s="2"/>
      <c r="B52" s="2"/>
    </row>
    <row r="53" spans="1:16" ht="20.100000000000001" customHeight="1" x14ac:dyDescent="0.2">
      <c r="B53" s="26"/>
      <c r="L53" s="27"/>
      <c r="N53" s="26"/>
    </row>
    <row r="54" spans="1:16" ht="20.100000000000001" customHeight="1" x14ac:dyDescent="0.2">
      <c r="A54" s="2"/>
      <c r="L54" s="7"/>
    </row>
    <row r="55" spans="1:16" ht="20.100000000000001" customHeight="1" x14ac:dyDescent="0.2">
      <c r="B55" s="26"/>
      <c r="L55" s="27"/>
      <c r="N55" s="26"/>
    </row>
    <row r="56" spans="1:16" ht="20.100000000000001" customHeight="1" x14ac:dyDescent="0.2"/>
    <row r="57" spans="1:16" s="39" customFormat="1" ht="20.100000000000001" customHeight="1" x14ac:dyDescent="0.2">
      <c r="A57" s="2"/>
      <c r="B57" s="34"/>
      <c r="C57" s="35"/>
      <c r="D57" s="35"/>
      <c r="E57" s="35"/>
      <c r="F57" s="34"/>
      <c r="G57" s="34"/>
      <c r="H57" s="36"/>
      <c r="I57" s="34"/>
      <c r="J57" s="34"/>
      <c r="K57" s="34"/>
      <c r="L57" s="34"/>
      <c r="M57" s="34"/>
      <c r="N57" s="34"/>
    </row>
    <row r="58" spans="1:16" s="39" customFormat="1" ht="20.100000000000001" customHeight="1" x14ac:dyDescent="0.2">
      <c r="A58" s="34"/>
      <c r="B58" s="34"/>
      <c r="C58" s="35"/>
      <c r="D58" s="35"/>
      <c r="E58" s="35"/>
      <c r="F58" s="34"/>
      <c r="G58" s="34"/>
      <c r="H58" s="36"/>
      <c r="I58" s="34"/>
      <c r="J58" s="34"/>
      <c r="K58" s="34"/>
      <c r="L58" s="34"/>
      <c r="M58" s="34"/>
      <c r="N58" s="34"/>
    </row>
    <row r="59" spans="1:16" s="39" customFormat="1" ht="20.100000000000001" customHeight="1" x14ac:dyDescent="0.2">
      <c r="A59" s="52"/>
      <c r="B59" s="347"/>
      <c r="C59" s="347"/>
      <c r="D59" s="347"/>
      <c r="E59" s="347"/>
      <c r="F59" s="347"/>
      <c r="G59" s="347"/>
      <c r="H59" s="347"/>
      <c r="I59" s="347"/>
      <c r="J59" s="347"/>
      <c r="K59" s="347"/>
      <c r="L59" s="347"/>
      <c r="M59" s="347"/>
      <c r="N59" s="347"/>
      <c r="O59" s="52"/>
      <c r="P59" s="52"/>
    </row>
    <row r="60" spans="1:16" s="34" customFormat="1" ht="20.100000000000001" customHeight="1" x14ac:dyDescent="0.2">
      <c r="C60" s="35"/>
      <c r="D60" s="35"/>
      <c r="E60" s="35"/>
      <c r="H60" s="36"/>
    </row>
    <row r="61" spans="1:16" ht="20.100000000000001" customHeight="1" x14ac:dyDescent="0.2">
      <c r="A61" s="2"/>
      <c r="D61" s="34"/>
    </row>
    <row r="62" spans="1:16" ht="20.100000000000001" customHeight="1" x14ac:dyDescent="0.2">
      <c r="A62" s="2"/>
    </row>
    <row r="63" spans="1:16" ht="20.100000000000001" customHeight="1" x14ac:dyDescent="0.2">
      <c r="A63" s="2"/>
      <c r="D63" s="87"/>
      <c r="F63" s="27"/>
      <c r="O63" s="51"/>
    </row>
    <row r="64" spans="1:16" ht="20.100000000000001" customHeight="1" x14ac:dyDescent="0.2">
      <c r="A64" s="2"/>
    </row>
    <row r="65" spans="1:14" ht="20.100000000000001" customHeight="1" x14ac:dyDescent="0.2">
      <c r="D65" s="87"/>
      <c r="F65" s="27"/>
    </row>
    <row r="66" spans="1:14" ht="20.100000000000001" customHeight="1" x14ac:dyDescent="0.2">
      <c r="D66" s="87"/>
    </row>
    <row r="67" spans="1:14" ht="20.100000000000001" customHeight="1" x14ac:dyDescent="0.2"/>
    <row r="68" spans="1:14" ht="20.100000000000001" customHeight="1" x14ac:dyDescent="0.2">
      <c r="A68" s="34"/>
      <c r="F68" s="328"/>
      <c r="G68" s="328"/>
      <c r="H68" s="328"/>
      <c r="I68" s="328"/>
      <c r="J68" s="328"/>
      <c r="K68" s="328"/>
      <c r="L68" s="328"/>
      <c r="M68" s="328"/>
      <c r="N68" s="328"/>
    </row>
    <row r="69" spans="1:14" ht="20.100000000000001" customHeight="1" x14ac:dyDescent="0.2">
      <c r="A69" s="34"/>
      <c r="F69" s="328"/>
      <c r="G69" s="328"/>
      <c r="H69" s="328"/>
      <c r="I69" s="328"/>
      <c r="J69" s="328"/>
      <c r="K69" s="328"/>
      <c r="L69" s="328"/>
      <c r="M69" s="328"/>
      <c r="N69" s="328"/>
    </row>
    <row r="70" spans="1:14" ht="20.100000000000001" customHeight="1" x14ac:dyDescent="0.2">
      <c r="A70" s="34"/>
      <c r="D70" s="47"/>
      <c r="F70" s="328"/>
      <c r="G70" s="328"/>
      <c r="H70" s="328"/>
      <c r="I70" s="328"/>
      <c r="J70" s="328"/>
      <c r="K70" s="328"/>
      <c r="L70" s="328"/>
      <c r="M70" s="328"/>
      <c r="N70" s="328"/>
    </row>
  </sheetData>
  <sheetProtection algorithmName="SHA-512" hashValue="pb418kuY4kpVgcHmn7vtDspndSC5rj6AB5XuBWVrY8cy6V98nfF1cXZM9vJggsHdvv9YmqVckX5ri7nu6muQtw==" saltValue="gRWc3uL534PakxZyE2xcfA==" spinCount="100000" sheet="1" formatRows="0"/>
  <mergeCells count="31">
    <mergeCell ref="D14:E14"/>
    <mergeCell ref="A33:E33"/>
    <mergeCell ref="A34:E34"/>
    <mergeCell ref="D12:H12"/>
    <mergeCell ref="B59:N59"/>
    <mergeCell ref="F28:K28"/>
    <mergeCell ref="F29:K29"/>
    <mergeCell ref="L26:Q26"/>
    <mergeCell ref="L27:Q27"/>
    <mergeCell ref="L28:Q28"/>
    <mergeCell ref="L29:Q29"/>
    <mergeCell ref="F33:K33"/>
    <mergeCell ref="F34:K34"/>
    <mergeCell ref="F35:K35"/>
    <mergeCell ref="F36:K36"/>
    <mergeCell ref="F68:N70"/>
    <mergeCell ref="A45:I45"/>
    <mergeCell ref="A2:R2"/>
    <mergeCell ref="A19:E19"/>
    <mergeCell ref="A21:E21"/>
    <mergeCell ref="A20:E20"/>
    <mergeCell ref="A42:R44"/>
    <mergeCell ref="A4:R5"/>
    <mergeCell ref="A6:F6"/>
    <mergeCell ref="A17:R17"/>
    <mergeCell ref="A22:E22"/>
    <mergeCell ref="A9:R9"/>
    <mergeCell ref="A39:R39"/>
    <mergeCell ref="D13:E13"/>
    <mergeCell ref="F26:K26"/>
    <mergeCell ref="F27:K27"/>
  </mergeCells>
  <conditionalFormatting sqref="D63">
    <cfRule type="beginsWith" dxfId="272" priority="1" operator="beginsWith" text="erfüllt">
      <formula>LEFT(D63,LEN("erfüllt"))="erfüllt"</formula>
    </cfRule>
    <cfRule type="containsText" dxfId="271" priority="2" operator="containsText" text="nicht erfüllt">
      <formula>NOT(ISERROR(SEARCH("nicht erfüllt",D63)))</formula>
    </cfRule>
  </conditionalFormatting>
  <conditionalFormatting sqref="D65:D66 D63">
    <cfRule type="containsText" dxfId="270" priority="5" operator="containsText" text="nicht">
      <formula>NOT(ISERROR(SEARCH("nicht",B51)))</formula>
    </cfRule>
  </conditionalFormatting>
  <conditionalFormatting sqref="D65:D66">
    <cfRule type="beginsWith" dxfId="269" priority="3" operator="beginsWith" text="erfüllt">
      <formula>LEFT(D65,LEN("erfüllt"))="erfüllt"</formula>
    </cfRule>
    <cfRule type="containsText" dxfId="268" priority="4" operator="containsText" text="nicht erfüllt">
      <formula>NOT(ISERROR(SEARCH("nicht erfüllt",D65)))</formula>
    </cfRule>
  </conditionalFormatting>
  <dataValidations disablePrompts="1" count="1">
    <dataValidation type="list" allowBlank="1" showInputMessage="1" showErrorMessage="1" sqref="H49" xr:uid="{8EBDE967-879A-4BF6-BC4E-94989DA3F128}">
      <formula1>$A$181:$A$182</formula1>
    </dataValidation>
  </dataValidations>
  <hyperlinks>
    <hyperlink ref="A45" r:id="rId1" xr:uid="{C6AE48B8-85FD-4EC6-B2F6-308137369F34}"/>
    <hyperlink ref="A26" r:id="rId2" xr:uid="{66BC9CF2-A903-4C13-A01B-9771B354F314}"/>
    <hyperlink ref="A29" r:id="rId3" xr:uid="{7C79E381-D1FA-4C02-AA07-37662DE091C2}"/>
    <hyperlink ref="A6:F6" r:id="rId4" display="Download aktuelle Version EN-Checkliste" xr:uid="{C3B50F7D-AF03-4D23-ACCD-634C32867E93}"/>
    <hyperlink ref="F26:K26" r:id="rId5" display="EN-Formulare und Vollzugshilfen" xr:uid="{69D19E3D-F9F5-4369-A0EC-0003BE7338BA}"/>
    <hyperlink ref="L26:Q26" r:id="rId6" display="EN-Formulare und Vollzugshilfen" xr:uid="{2F394D52-99D9-4EF5-A49E-8B479A685CE9}"/>
    <hyperlink ref="L27:Q27" r:id="rId7" display="Spezifische Vollzugshilfsmittel und Infos" xr:uid="{CFAB8BF5-E34B-4494-8B1B-9756EA898833}"/>
    <hyperlink ref="F27:K27" r:id="rId8" display="Spezifische Vollzugshilfsmittel und Infos" xr:uid="{CE09D458-AA42-45A9-B632-8051F84793D8}"/>
    <hyperlink ref="A34" r:id="rId9" display="Ablaufdiagram Ausnahmegesuche" xr:uid="{CB3227D0-182E-4D67-ADC7-10EAFA7C48A6}"/>
    <hyperlink ref="A33" r:id="rId10" xr:uid="{19644295-5152-4446-9FD9-40EA0BC32917}"/>
    <hyperlink ref="A28" r:id="rId11" xr:uid="{4DD8E57F-C25A-48DB-8ADD-A7FA1822742C}"/>
    <hyperlink ref="A27" r:id="rId12" xr:uid="{C1FC72A1-C1FD-4841-8F61-3DB4183796AD}"/>
    <hyperlink ref="F33:K33" r:id="rId13" display="EN-Formulare und Vollzugshilfen" xr:uid="{202C7CB2-554A-4C56-B337-AE129D0AFC1C}"/>
    <hyperlink ref="F34:K34" r:id="rId14" display="Spezifische Vollzugshilfsmittel und Infos" xr:uid="{0C5F26FB-E2AE-48DD-BBBB-60A1592DCFF7}"/>
  </hyperlinks>
  <pageMargins left="0.59055118110236227" right="0.59055118110236227" top="1.1417322834645669" bottom="1.1417322834645669" header="0.31496062992125984" footer="0.31496062992125984"/>
  <pageSetup paperSize="9" scale="67" fitToHeight="0" orientation="portrait" r:id="rId15"/>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16"/>
  <legacyDrawingHF r:id="rId17"/>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1D1AF2A-D00A-44F9-9082-EED58C5A8D4D}">
          <x14:formula1>
            <xm:f>'EN-Kt.'!$A$207:$A$208</xm:f>
          </x14:formula1>
          <xm:sqref>F63 F49 L55 L53 F65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375" style="3" customWidth="1"/>
    <col min="15" max="16384" width="10.875" style="3"/>
  </cols>
  <sheetData>
    <row r="1" spans="1:16" s="22" customFormat="1" ht="18" x14ac:dyDescent="0.25">
      <c r="A1" s="6" t="s">
        <v>338</v>
      </c>
      <c r="B1" s="6"/>
      <c r="N1" s="117" t="s">
        <v>503</v>
      </c>
      <c r="P1" s="23"/>
    </row>
    <row r="2" spans="1:16" s="22" customFormat="1" ht="18" x14ac:dyDescent="0.25">
      <c r="A2" s="6" t="s">
        <v>339</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7"/>
      <c r="H18" s="7"/>
      <c r="J18" s="7"/>
      <c r="L18" s="7"/>
    </row>
    <row r="19" spans="1:19" x14ac:dyDescent="0.2">
      <c r="B19" s="37"/>
      <c r="C19" s="13"/>
      <c r="D19" s="13"/>
      <c r="F19" s="30" t="s">
        <v>43</v>
      </c>
      <c r="H19" s="12" t="str">
        <f>IF(J19="x","-",IF(F19="x","-","x"))</f>
        <v>x</v>
      </c>
      <c r="J19" s="30" t="s">
        <v>43</v>
      </c>
      <c r="L19" s="7"/>
      <c r="N19" s="25"/>
      <c r="S19" s="3" t="str">
        <f>IF(OR(AND(C31="-", Q19=C151),OR(Q15="III – Verwaltung",Q17="III – Verwaltung")),"nicht zulässig", IF(AND(OR(E15="x",E17="x",E19="x"),Q19=""),"Angabe fehlt",""  ))</f>
        <v/>
      </c>
    </row>
    <row r="20" spans="1:19" ht="2.1" customHeight="1" x14ac:dyDescent="0.2">
      <c r="F20" s="30" t="s">
        <v>43</v>
      </c>
      <c r="H20" s="7"/>
      <c r="J20" s="7"/>
      <c r="L20" s="7"/>
    </row>
    <row r="21" spans="1:19" x14ac:dyDescent="0.2">
      <c r="B21" s="37"/>
      <c r="C21" s="13"/>
      <c r="D21" s="13"/>
      <c r="F21" s="30" t="s">
        <v>43</v>
      </c>
      <c r="H21" s="12" t="str">
        <f>IF(J21="x","-",IF(F21="x","-","x"))</f>
        <v>x</v>
      </c>
      <c r="J21" s="30" t="s">
        <v>43</v>
      </c>
      <c r="L21" s="7"/>
      <c r="N21" s="25"/>
    </row>
    <row r="22" spans="1:19" ht="63.95" customHeight="1" x14ac:dyDescent="0.2">
      <c r="A22" s="2" t="s">
        <v>265</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265</v>
      </c>
      <c r="F40" s="30" t="s">
        <v>43</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43</v>
      </c>
      <c r="N44" s="25"/>
    </row>
    <row r="45" spans="1:14" ht="2.1" customHeight="1" x14ac:dyDescent="0.2">
      <c r="A45" s="2"/>
      <c r="L45" s="7"/>
    </row>
    <row r="46" spans="1:14" x14ac:dyDescent="0.2">
      <c r="B46" s="37"/>
      <c r="C46" s="13"/>
      <c r="D46" s="13"/>
      <c r="L46" s="30" t="s">
        <v>43</v>
      </c>
      <c r="N46" s="25"/>
    </row>
    <row r="47" spans="1:14" ht="18.75" customHeight="1" x14ac:dyDescent="0.2"/>
    <row r="48" spans="1:14" s="39" customFormat="1" ht="222.95" customHeight="1" x14ac:dyDescent="0.2">
      <c r="A48" s="2" t="s">
        <v>542</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2"/>
      <c r="B50" s="404"/>
      <c r="C50" s="404"/>
      <c r="D50" s="404"/>
      <c r="E50" s="404"/>
      <c r="F50" s="404"/>
      <c r="G50" s="404"/>
      <c r="H50" s="404"/>
      <c r="I50" s="404"/>
      <c r="J50" s="404"/>
      <c r="K50" s="404"/>
      <c r="L50" s="404"/>
      <c r="M50" s="404"/>
      <c r="N50" s="404"/>
      <c r="O50" s="52"/>
      <c r="P50" s="52"/>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448</v>
      </c>
      <c r="D54" s="69" t="str">
        <f>IF(OR(COUNTIF(H15:H21,"x")=0,F54="x"),"erfüllt","nicht erfüllt")</f>
        <v>nicht erfüllt</v>
      </c>
      <c r="F54" s="30" t="s">
        <v>43</v>
      </c>
      <c r="H54" s="3" t="s">
        <v>451</v>
      </c>
      <c r="O54" s="51"/>
    </row>
    <row r="55" spans="1:16" ht="1.5" customHeight="1" x14ac:dyDescent="0.2">
      <c r="A55" s="2"/>
    </row>
    <row r="56" spans="1:16" ht="14.25" x14ac:dyDescent="0.2">
      <c r="B56" s="3" t="s">
        <v>251</v>
      </c>
      <c r="D56" s="69" t="str">
        <f>IF(OR(COUNTIF(H15:H40,"x")=0,COUNTIF(F56,"x")&gt;0),"erfüllt", "nicht erfüllt")</f>
        <v>nicht erfüllt</v>
      </c>
      <c r="F56" s="30" t="s">
        <v>43</v>
      </c>
      <c r="H56" s="3" t="s">
        <v>449</v>
      </c>
    </row>
    <row r="57" spans="1:16" ht="1.5" customHeight="1" x14ac:dyDescent="0.2">
      <c r="D57" s="89"/>
    </row>
    <row r="59" spans="1:16" ht="13.5" customHeight="1" x14ac:dyDescent="0.2">
      <c r="A59" s="34"/>
      <c r="B59" s="3" t="s">
        <v>39</v>
      </c>
      <c r="D59" s="3" t="str">
        <f>IF(ISTEXT(Name_Kontr),Name_Kontr,"")</f>
        <v/>
      </c>
      <c r="F59" s="328" t="str">
        <f>IF(AND(NOT(D52),COUNTIF(F54:F56,"x")&gt;0),"Begründung und Empfehlung des weiteren Vorgehens erforderlich.","")</f>
        <v/>
      </c>
      <c r="G59" s="328"/>
      <c r="H59" s="328"/>
      <c r="I59" s="328"/>
      <c r="J59" s="328"/>
      <c r="K59" s="328"/>
      <c r="L59" s="328"/>
      <c r="M59" s="328"/>
      <c r="N59" s="328"/>
    </row>
    <row r="60" spans="1:16" ht="2.1" customHeight="1" x14ac:dyDescent="0.2">
      <c r="A60" s="34" t="s">
        <v>42</v>
      </c>
      <c r="F60" s="328"/>
      <c r="G60" s="328"/>
      <c r="H60" s="328"/>
      <c r="I60" s="328"/>
      <c r="J60" s="328"/>
      <c r="K60" s="328"/>
      <c r="L60" s="328"/>
      <c r="M60" s="328"/>
      <c r="N60" s="328"/>
    </row>
    <row r="61" spans="1:16" x14ac:dyDescent="0.2">
      <c r="A61" s="34" t="s">
        <v>43</v>
      </c>
      <c r="B61" s="3" t="s">
        <v>40</v>
      </c>
      <c r="D61" s="47">
        <f ca="1">Datum</f>
        <v>45866</v>
      </c>
      <c r="F61" s="328"/>
      <c r="G61" s="328"/>
      <c r="H61" s="328"/>
      <c r="I61" s="328"/>
      <c r="J61" s="328"/>
      <c r="K61" s="328"/>
      <c r="L61" s="328"/>
      <c r="M61" s="328"/>
      <c r="N61" s="328"/>
    </row>
  </sheetData>
  <sheetProtection algorithmName="SHA-512" hashValue="kvTW7jw3KUatOcPnMLB1PcrocF3D9mwHOtFj9gG04ZBAcmE68Z3zfmAT8LsNubXiG6uJqPLrOTlFNU1Mt0i7gA==" saltValue="kX1MUkowR9laR5jt06RvFg==" spinCount="100000" sheet="1" formatRows="0"/>
  <mergeCells count="5">
    <mergeCell ref="B50:N50"/>
    <mergeCell ref="F59:N61"/>
    <mergeCell ref="D5:M5"/>
    <mergeCell ref="D7:M7"/>
    <mergeCell ref="D11:M11"/>
  </mergeCells>
  <phoneticPr fontId="7" type="noConversion"/>
  <conditionalFormatting sqref="D54">
    <cfRule type="beginsWith" dxfId="34" priority="1" operator="beginsWith" text="erfüllt">
      <formula>LEFT(D54,LEN("erfüllt"))="erfüllt"</formula>
    </cfRule>
    <cfRule type="containsText" dxfId="33" priority="2" operator="containsText" text="nicht erfüllt">
      <formula>NOT(ISERROR(SEARCH("nicht erfüllt",D54)))</formula>
    </cfRule>
  </conditionalFormatting>
  <conditionalFormatting sqref="D56:D57 D54">
    <cfRule type="containsText" dxfId="32" priority="5" operator="containsText" text="nicht">
      <formula>NOT(ISERROR(SEARCH("nicht",B42)))</formula>
    </cfRule>
  </conditionalFormatting>
  <conditionalFormatting sqref="D56:D57">
    <cfRule type="beginsWith" dxfId="31" priority="3" operator="beginsWith" text="erfüllt">
      <formula>LEFT(D56,LEN("erfüllt"))="erfüllt"</formula>
    </cfRule>
    <cfRule type="containsText" dxfId="30"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0D00-000000000000}">
      <formula1>$A$172:$A$173</formula1>
    </dataValidation>
  </dataValidations>
  <hyperlinks>
    <hyperlink ref="N1" r:id="rId1" xr:uid="{3ADB0477-DCD2-4D58-8845-D781B8C947E9}"/>
    <hyperlink ref="N2" location="'EN-Kt.'!A1" display="Zurück zm EN-Kt. " xr:uid="{16469EA8-2591-46BF-9C0F-DB9B693BFB62}"/>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D00-000001000000}">
          <x14:formula1>
            <xm:f>'EN-Kt.'!$A$207:$A$208</xm:f>
          </x14:formula1>
          <xm:sqref>F15 F17 F19:F21 J17 J19 J21 F40 L44 L46 F56 F54</xm:sqref>
        </x14:dataValidation>
        <x14:dataValidation type="list" allowBlank="1" showInputMessage="1" showErrorMessage="1" xr:uid="{00000000-0002-0000-0D00-000002000000}">
          <x14:formula1>
            <xm:f>'EN-Kt.'!$C$304:$C$307</xm:f>
          </x14:formula1>
          <xm:sqref>D9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25" style="3" customWidth="1"/>
    <col min="15" max="16384" width="10.875" style="3"/>
  </cols>
  <sheetData>
    <row r="1" spans="1:16" s="22" customFormat="1" ht="18" x14ac:dyDescent="0.25">
      <c r="A1" s="6" t="s">
        <v>340</v>
      </c>
      <c r="B1" s="6"/>
      <c r="N1" s="117" t="s">
        <v>503</v>
      </c>
      <c r="P1" s="23"/>
    </row>
    <row r="2" spans="1:16" s="22" customFormat="1" ht="18" x14ac:dyDescent="0.25">
      <c r="A2" s="6" t="s">
        <v>341</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7"/>
      <c r="H18" s="7"/>
      <c r="J18" s="7"/>
      <c r="L18" s="7"/>
    </row>
    <row r="19" spans="1:19" x14ac:dyDescent="0.2">
      <c r="B19" s="37"/>
      <c r="C19" s="13"/>
      <c r="D19" s="13"/>
      <c r="F19" s="30" t="s">
        <v>43</v>
      </c>
      <c r="H19" s="12" t="str">
        <f>IF(J19="x","-",IF(F19="x","-","x"))</f>
        <v>x</v>
      </c>
      <c r="J19" s="30" t="s">
        <v>43</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43</v>
      </c>
      <c r="H21" s="12" t="str">
        <f>IF(J21="x","-",IF(F21="x","-","x"))</f>
        <v>x</v>
      </c>
      <c r="J21" s="30" t="s">
        <v>43</v>
      </c>
      <c r="L21" s="7"/>
      <c r="N21" s="25"/>
    </row>
    <row r="22" spans="1:19" ht="63.95" customHeight="1" x14ac:dyDescent="0.2">
      <c r="A22" s="2" t="s">
        <v>265</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265</v>
      </c>
      <c r="F40" s="30" t="s">
        <v>43</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43</v>
      </c>
      <c r="N44" s="25"/>
    </row>
    <row r="45" spans="1:14" ht="2.1" customHeight="1" x14ac:dyDescent="0.2">
      <c r="A45" s="2"/>
      <c r="L45" s="7"/>
    </row>
    <row r="46" spans="1:14" x14ac:dyDescent="0.2">
      <c r="B46" s="37"/>
      <c r="C46" s="13"/>
      <c r="D46" s="13"/>
      <c r="L46" s="30" t="s">
        <v>43</v>
      </c>
      <c r="N46" s="25"/>
    </row>
    <row r="47" spans="1:14" ht="18.75" customHeight="1" x14ac:dyDescent="0.2"/>
    <row r="48" spans="1:14" s="39" customFormat="1" ht="216.95" customHeight="1" x14ac:dyDescent="0.2">
      <c r="A48" s="2" t="s">
        <v>542</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2"/>
      <c r="B50" s="404"/>
      <c r="C50" s="404"/>
      <c r="D50" s="404"/>
      <c r="E50" s="404"/>
      <c r="F50" s="404"/>
      <c r="G50" s="404"/>
      <c r="H50" s="404"/>
      <c r="I50" s="404"/>
      <c r="J50" s="404"/>
      <c r="K50" s="404"/>
      <c r="L50" s="404"/>
      <c r="M50" s="404"/>
      <c r="N50" s="404"/>
      <c r="O50" s="52"/>
      <c r="P50" s="52"/>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448</v>
      </c>
      <c r="D54" s="69" t="str">
        <f>IF(OR(COUNTIF(H15:H21,"x")=0,F54="x"),"erfüllt","nicht erfüllt")</f>
        <v>nicht erfüllt</v>
      </c>
      <c r="F54" s="30" t="s">
        <v>43</v>
      </c>
      <c r="H54" s="3" t="s">
        <v>451</v>
      </c>
      <c r="O54" s="51"/>
    </row>
    <row r="55" spans="1:16" ht="1.5" customHeight="1" x14ac:dyDescent="0.2">
      <c r="A55" s="2"/>
    </row>
    <row r="56" spans="1:16" ht="14.25" x14ac:dyDescent="0.2">
      <c r="B56" s="3" t="s">
        <v>251</v>
      </c>
      <c r="D56" s="69" t="str">
        <f>IF(OR(COUNTIF(H15:H40,"x")=0,COUNTIF(F56,"x")&gt;0),"erfüllt", "nicht erfüllt")</f>
        <v>nicht erfüllt</v>
      </c>
      <c r="F56" s="30" t="s">
        <v>43</v>
      </c>
      <c r="H56" s="3" t="s">
        <v>449</v>
      </c>
    </row>
    <row r="57" spans="1:16" ht="1.5" customHeight="1" x14ac:dyDescent="0.2">
      <c r="D57" s="69"/>
    </row>
    <row r="59" spans="1:16" ht="13.5" customHeight="1" x14ac:dyDescent="0.2">
      <c r="A59" s="34"/>
      <c r="B59" s="3" t="s">
        <v>39</v>
      </c>
      <c r="D59" s="3" t="str">
        <f>IF(ISTEXT(Name_Kontr),Name_Kontr,"")</f>
        <v/>
      </c>
      <c r="F59" s="328" t="str">
        <f>IF(AND(NOT(D52),COUNTIF(F54:F56,"x")&gt;0),"Begründung und Empfehlung des weiteren Vorgehens erforderlich.","")</f>
        <v/>
      </c>
      <c r="G59" s="328"/>
      <c r="H59" s="328"/>
      <c r="I59" s="328"/>
      <c r="J59" s="328"/>
      <c r="K59" s="328"/>
      <c r="L59" s="328"/>
      <c r="M59" s="328"/>
      <c r="N59" s="328"/>
    </row>
    <row r="60" spans="1:16" ht="2.1" customHeight="1" x14ac:dyDescent="0.2">
      <c r="A60" s="34" t="s">
        <v>42</v>
      </c>
      <c r="D60" s="3" t="e">
        <f>IF(D33="befreit","-",'EN-Kt.'!#REF!)</f>
        <v>#REF!</v>
      </c>
      <c r="F60" s="328"/>
      <c r="G60" s="328"/>
      <c r="H60" s="328"/>
      <c r="I60" s="328"/>
      <c r="J60" s="328"/>
      <c r="K60" s="328"/>
      <c r="L60" s="328"/>
      <c r="M60" s="328"/>
      <c r="N60" s="328"/>
    </row>
    <row r="61" spans="1:16" x14ac:dyDescent="0.2">
      <c r="A61" s="34" t="s">
        <v>43</v>
      </c>
      <c r="B61" s="3" t="s">
        <v>40</v>
      </c>
      <c r="D61" s="47">
        <f ca="1">Datum</f>
        <v>45866</v>
      </c>
      <c r="F61" s="328"/>
      <c r="G61" s="328"/>
      <c r="H61" s="328"/>
      <c r="I61" s="328"/>
      <c r="J61" s="328"/>
      <c r="K61" s="328"/>
      <c r="L61" s="328"/>
      <c r="M61" s="328"/>
      <c r="N61" s="328"/>
    </row>
  </sheetData>
  <sheetProtection algorithmName="SHA-512" hashValue="kRpSFXTyNtcs6lJxO+azs8DU2Pmg5ATqoflrE2aperjVhd/vpLC7b9gtanan3/MbO8W5ajW4bJIdSURX4HQDvg==" saltValue="heRP2Gh7oLvqEZ1iGHT1Jg==" spinCount="100000" sheet="1" formatRows="0"/>
  <mergeCells count="5">
    <mergeCell ref="B50:N50"/>
    <mergeCell ref="F59:N61"/>
    <mergeCell ref="D5:M5"/>
    <mergeCell ref="D7:M7"/>
    <mergeCell ref="D11:M11"/>
  </mergeCells>
  <phoneticPr fontId="7" type="noConversion"/>
  <conditionalFormatting sqref="D54">
    <cfRule type="beginsWith" dxfId="29" priority="1" operator="beginsWith" text="erfüllt">
      <formula>LEFT(D54,LEN("erfüllt"))="erfüllt"</formula>
    </cfRule>
    <cfRule type="containsText" dxfId="28" priority="2" operator="containsText" text="nicht erfüllt">
      <formula>NOT(ISERROR(SEARCH("nicht erfüllt",D54)))</formula>
    </cfRule>
  </conditionalFormatting>
  <conditionalFormatting sqref="D56:D57 D54">
    <cfRule type="containsText" dxfId="27" priority="5" operator="containsText" text="nicht">
      <formula>NOT(ISERROR(SEARCH("nicht",B42)))</formula>
    </cfRule>
  </conditionalFormatting>
  <conditionalFormatting sqref="D56:D57">
    <cfRule type="beginsWith" dxfId="26" priority="3" operator="beginsWith" text="erfüllt">
      <formula>LEFT(D56,LEN("erfüllt"))="erfüllt"</formula>
    </cfRule>
    <cfRule type="containsText" dxfId="25"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0E00-000000000000}">
      <formula1>$A$171:$A$172</formula1>
    </dataValidation>
  </dataValidations>
  <hyperlinks>
    <hyperlink ref="N1" r:id="rId1" xr:uid="{D6348A12-5416-4C09-91A4-3EA05E55CB3D}"/>
    <hyperlink ref="N2" location="'EN-Kt.'!A1" display="Zurück zm EN-Kt. " xr:uid="{4ADB3A6D-1F3E-4FCA-9A78-42B5E9B5DD41}"/>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E00-000001000000}">
          <x14:formula1>
            <xm:f>'EN-Kt.'!$A$207:$A$208</xm:f>
          </x14:formula1>
          <xm:sqref>F15 F17 F19 F21 J17 J19 J21 F40 L44 L46 F56 F54</xm:sqref>
        </x14:dataValidation>
        <x14:dataValidation type="list" allowBlank="1" showInputMessage="1" showErrorMessage="1" xr:uid="{00000000-0002-0000-0E00-000002000000}">
          <x14:formula1>
            <xm:f>'EN-Kt.'!$C$304:$C$307</xm:f>
          </x14:formula1>
          <xm:sqref>D9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5" style="3" customWidth="1"/>
    <col min="15" max="16384" width="10.875" style="3"/>
  </cols>
  <sheetData>
    <row r="1" spans="1:16" s="22" customFormat="1" ht="18" x14ac:dyDescent="0.25">
      <c r="A1" s="6" t="s">
        <v>343</v>
      </c>
      <c r="B1" s="6"/>
      <c r="N1" s="117" t="s">
        <v>503</v>
      </c>
      <c r="P1" s="23"/>
    </row>
    <row r="2" spans="1:16" s="22" customFormat="1" ht="18" x14ac:dyDescent="0.25">
      <c r="A2" s="6" t="s">
        <v>342</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7"/>
      <c r="H18" s="7"/>
      <c r="J18" s="7"/>
      <c r="L18" s="7"/>
    </row>
    <row r="19" spans="1:19" x14ac:dyDescent="0.2">
      <c r="B19" s="37"/>
      <c r="C19" s="13"/>
      <c r="D19" s="13"/>
      <c r="F19" s="30" t="s">
        <v>43</v>
      </c>
      <c r="H19" s="12" t="str">
        <f>IF(J19="x","-",IF(F19="x","-","x"))</f>
        <v>x</v>
      </c>
      <c r="J19" s="30" t="s">
        <v>43</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43</v>
      </c>
      <c r="H21" s="12" t="str">
        <f>IF(J21="x","-",IF(F21="x","-","x"))</f>
        <v>x</v>
      </c>
      <c r="J21" s="30" t="s">
        <v>43</v>
      </c>
      <c r="L21" s="7"/>
      <c r="N21" s="25"/>
    </row>
    <row r="22" spans="1:19" ht="63.95" customHeight="1" x14ac:dyDescent="0.2">
      <c r="A22" s="2" t="s">
        <v>265</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265</v>
      </c>
      <c r="F40" s="30" t="s">
        <v>43</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43</v>
      </c>
      <c r="N44" s="25"/>
    </row>
    <row r="45" spans="1:14" ht="2.1" customHeight="1" x14ac:dyDescent="0.2">
      <c r="A45" s="2"/>
      <c r="L45" s="7"/>
    </row>
    <row r="46" spans="1:14" x14ac:dyDescent="0.2">
      <c r="B46" s="37"/>
      <c r="C46" s="13"/>
      <c r="D46" s="13"/>
      <c r="L46" s="30" t="s">
        <v>43</v>
      </c>
      <c r="N46" s="25"/>
    </row>
    <row r="47" spans="1:14" ht="18.75" customHeight="1" x14ac:dyDescent="0.2"/>
    <row r="48" spans="1:14" s="39" customFormat="1" ht="221.1" customHeight="1" x14ac:dyDescent="0.2">
      <c r="A48" s="2" t="s">
        <v>542</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2"/>
      <c r="B50" s="404"/>
      <c r="C50" s="404"/>
      <c r="D50" s="404"/>
      <c r="E50" s="404"/>
      <c r="F50" s="404"/>
      <c r="G50" s="404"/>
      <c r="H50" s="404"/>
      <c r="I50" s="404"/>
      <c r="J50" s="404"/>
      <c r="K50" s="404"/>
      <c r="L50" s="404"/>
      <c r="M50" s="404"/>
      <c r="N50" s="404"/>
      <c r="O50" s="52"/>
      <c r="P50" s="52"/>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448</v>
      </c>
      <c r="D54" s="69" t="str">
        <f>IF(OR(COUNTIF(H15:H21,"x")=0,F54="x"),"erfüllt","nicht erfüllt")</f>
        <v>nicht erfüllt</v>
      </c>
      <c r="F54" s="30" t="s">
        <v>43</v>
      </c>
      <c r="H54" s="3" t="s">
        <v>451</v>
      </c>
      <c r="O54" s="51"/>
    </row>
    <row r="55" spans="1:16" ht="1.5" customHeight="1" x14ac:dyDescent="0.2">
      <c r="A55" s="2"/>
    </row>
    <row r="56" spans="1:16" ht="14.25" x14ac:dyDescent="0.2">
      <c r="B56" s="3" t="s">
        <v>251</v>
      </c>
      <c r="D56" s="69" t="str">
        <f>IF(OR(COUNTIF(H15:H40,"x")=0,COUNTIF(F56,"x")&gt;0),"erfüllt", "nicht erfüllt")</f>
        <v>nicht erfüllt</v>
      </c>
      <c r="F56" s="30" t="s">
        <v>43</v>
      </c>
      <c r="H56" s="3" t="s">
        <v>449</v>
      </c>
    </row>
    <row r="57" spans="1:16" ht="1.5" customHeight="1" x14ac:dyDescent="0.2">
      <c r="D57" s="89"/>
    </row>
    <row r="59" spans="1:16" ht="13.5" customHeight="1" x14ac:dyDescent="0.2">
      <c r="A59" s="34"/>
      <c r="B59" s="3" t="s">
        <v>39</v>
      </c>
      <c r="D59" s="3" t="str">
        <f>IF(ISTEXT(Name_Kontr),Name_Kontr,"")</f>
        <v/>
      </c>
      <c r="F59" s="328" t="str">
        <f>IF(AND(NOT(D52),COUNTIF(F54:F56,"x")&gt;0),"Begründung und Empfehlung des weiteren Vorgehens erforderlich.","")</f>
        <v/>
      </c>
      <c r="G59" s="328"/>
      <c r="H59" s="328"/>
      <c r="I59" s="328"/>
      <c r="J59" s="328"/>
      <c r="K59" s="328"/>
      <c r="L59" s="328"/>
      <c r="M59" s="328"/>
      <c r="N59" s="328"/>
    </row>
    <row r="60" spans="1:16" ht="2.1" customHeight="1" x14ac:dyDescent="0.2">
      <c r="A60" s="34" t="s">
        <v>42</v>
      </c>
      <c r="F60" s="328"/>
      <c r="G60" s="328"/>
      <c r="H60" s="328"/>
      <c r="I60" s="328"/>
      <c r="J60" s="328"/>
      <c r="K60" s="328"/>
      <c r="L60" s="328"/>
      <c r="M60" s="328"/>
      <c r="N60" s="328"/>
    </row>
    <row r="61" spans="1:16" x14ac:dyDescent="0.2">
      <c r="A61" s="34" t="s">
        <v>43</v>
      </c>
      <c r="B61" s="3" t="s">
        <v>40</v>
      </c>
      <c r="D61" s="47">
        <f ca="1">Datum</f>
        <v>45866</v>
      </c>
      <c r="F61" s="328"/>
      <c r="G61" s="328"/>
      <c r="H61" s="328"/>
      <c r="I61" s="328"/>
      <c r="J61" s="328"/>
      <c r="K61" s="328"/>
      <c r="L61" s="328"/>
      <c r="M61" s="328"/>
      <c r="N61" s="328"/>
    </row>
  </sheetData>
  <sheetProtection algorithmName="SHA-512" hashValue="U93YJrGNa9r1gzltJ69p8QZERo/Vvta9qd5cliJG+Nm5fLdpPO/bWv5l6/mCwS7D6imByuhUUqOaQ6MB6XqaDQ==" saltValue="1OW8ReFMt6KGtONFhuYTUg==" spinCount="100000" sheet="1" formatRows="0"/>
  <mergeCells count="5">
    <mergeCell ref="B50:N50"/>
    <mergeCell ref="F59:N61"/>
    <mergeCell ref="D5:M5"/>
    <mergeCell ref="D7:M7"/>
    <mergeCell ref="D11:M11"/>
  </mergeCells>
  <phoneticPr fontId="7" type="noConversion"/>
  <conditionalFormatting sqref="D54">
    <cfRule type="beginsWith" dxfId="24" priority="1" operator="beginsWith" text="erfüllt">
      <formula>LEFT(D54,LEN("erfüllt"))="erfüllt"</formula>
    </cfRule>
    <cfRule type="containsText" dxfId="23" priority="2" operator="containsText" text="nicht erfüllt">
      <formula>NOT(ISERROR(SEARCH("nicht erfüllt",D54)))</formula>
    </cfRule>
  </conditionalFormatting>
  <conditionalFormatting sqref="D56:D57 D54">
    <cfRule type="containsText" dxfId="22" priority="5" operator="containsText" text="nicht">
      <formula>NOT(ISERROR(SEARCH("nicht",B42)))</formula>
    </cfRule>
  </conditionalFormatting>
  <conditionalFormatting sqref="D56:D57">
    <cfRule type="beginsWith" dxfId="21" priority="3" operator="beginsWith" text="erfüllt">
      <formula>LEFT(D56,LEN("erfüllt"))="erfüllt"</formula>
    </cfRule>
    <cfRule type="containsText" dxfId="20"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0F00-000000000000}">
      <formula1>$A$172:$A$173</formula1>
    </dataValidation>
  </dataValidations>
  <hyperlinks>
    <hyperlink ref="N1" r:id="rId1" xr:uid="{909F1427-52FC-4C88-8F0E-F2489C90CF1C}"/>
    <hyperlink ref="N2" location="'EN-Kt.'!A1" display="Zurück zm EN-Kt. " xr:uid="{1BAC4F5A-3B38-448D-93CC-A145173A143A}"/>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F00-000001000000}">
          <x14:formula1>
            <xm:f>'EN-Kt.'!$A$207:$A$208</xm:f>
          </x14:formula1>
          <xm:sqref>F15 F17 F19 F21 J17 J19 J21 F40 L44 L46 F56 F54</xm:sqref>
        </x14:dataValidation>
        <x14:dataValidation type="list" allowBlank="1" showInputMessage="1" showErrorMessage="1" xr:uid="{00000000-0002-0000-0F00-000002000000}">
          <x14:formula1>
            <xm:f>'EN-Kt.'!$C$304:$C$307</xm:f>
          </x14:formula1>
          <xm:sqref>D9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625" style="3" customWidth="1"/>
    <col min="15" max="16384" width="10.875" style="3"/>
  </cols>
  <sheetData>
    <row r="1" spans="1:16" s="22" customFormat="1" ht="18" x14ac:dyDescent="0.25">
      <c r="A1" s="6" t="s">
        <v>345</v>
      </c>
      <c r="B1" s="6"/>
      <c r="N1" s="117" t="s">
        <v>503</v>
      </c>
      <c r="P1" s="23"/>
    </row>
    <row r="2" spans="1:16" s="22" customFormat="1" ht="18" x14ac:dyDescent="0.25">
      <c r="A2" s="6" t="s">
        <v>344</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t="s">
        <v>43</v>
      </c>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318"/>
      <c r="H18" s="7"/>
      <c r="J18" s="7"/>
      <c r="L18" s="7"/>
    </row>
    <row r="19" spans="1:19" x14ac:dyDescent="0.2">
      <c r="B19" s="37"/>
      <c r="C19" s="13"/>
      <c r="D19" s="13"/>
      <c r="F19" s="30" t="s">
        <v>43</v>
      </c>
      <c r="H19" s="12" t="str">
        <f>IF(J19="x","-",IF(F19="x","-","x"))</f>
        <v>x</v>
      </c>
      <c r="J19" s="30" t="s">
        <v>43</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43</v>
      </c>
      <c r="H21" s="12" t="str">
        <f>IF(J21="x","-",IF(F21="x","-","x"))</f>
        <v>x</v>
      </c>
      <c r="J21" s="30" t="s">
        <v>43</v>
      </c>
      <c r="L21" s="7"/>
      <c r="N21" s="25"/>
    </row>
    <row r="22" spans="1:19" ht="63.95" customHeight="1" x14ac:dyDescent="0.2">
      <c r="A22" s="2" t="s">
        <v>265</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6" ht="2.1" customHeight="1" x14ac:dyDescent="0.2">
      <c r="A33" s="2"/>
      <c r="B33" s="2"/>
    </row>
    <row r="34" spans="1:16" x14ac:dyDescent="0.2">
      <c r="B34" s="37"/>
      <c r="C34" s="13"/>
      <c r="D34" s="13"/>
      <c r="E34" s="13"/>
      <c r="F34" s="13"/>
      <c r="G34" s="13"/>
      <c r="H34" s="13"/>
      <c r="I34" s="13"/>
      <c r="J34" s="13"/>
      <c r="K34" s="13"/>
      <c r="L34" s="13"/>
      <c r="M34" s="13"/>
      <c r="N34" s="13"/>
    </row>
    <row r="35" spans="1:16" ht="2.1" customHeight="1" x14ac:dyDescent="0.2">
      <c r="A35" s="2"/>
      <c r="B35" s="2"/>
    </row>
    <row r="36" spans="1:16" x14ac:dyDescent="0.2">
      <c r="B36" s="37"/>
      <c r="C36" s="13"/>
      <c r="D36" s="13"/>
      <c r="E36" s="13"/>
      <c r="F36" s="13"/>
      <c r="G36" s="13"/>
      <c r="H36" s="13"/>
      <c r="I36" s="13"/>
      <c r="J36" s="13"/>
      <c r="K36" s="13"/>
      <c r="L36" s="13"/>
      <c r="M36" s="13"/>
      <c r="N36" s="13"/>
    </row>
    <row r="37" spans="1:16" ht="2.1" customHeight="1" x14ac:dyDescent="0.2">
      <c r="A37" s="2"/>
      <c r="B37" s="2"/>
    </row>
    <row r="38" spans="1:16" x14ac:dyDescent="0.2">
      <c r="B38" s="37"/>
      <c r="C38" s="13"/>
      <c r="D38" s="13"/>
      <c r="E38" s="13"/>
      <c r="F38" s="13"/>
      <c r="G38" s="13"/>
      <c r="H38" s="13"/>
      <c r="I38" s="13"/>
      <c r="J38" s="13"/>
      <c r="K38" s="13"/>
      <c r="L38" s="13"/>
      <c r="M38" s="13"/>
      <c r="N38" s="13"/>
    </row>
    <row r="39" spans="1:16" ht="2.1" customHeight="1" x14ac:dyDescent="0.2">
      <c r="A39" s="2"/>
      <c r="B39" s="2"/>
      <c r="F39" s="7"/>
      <c r="G39" s="7"/>
      <c r="H39" s="7"/>
      <c r="I39" s="7"/>
      <c r="J39" s="8"/>
      <c r="L39" s="8"/>
    </row>
    <row r="40" spans="1:16" x14ac:dyDescent="0.2">
      <c r="B40" s="3" t="s">
        <v>265</v>
      </c>
      <c r="F40" s="30" t="s">
        <v>43</v>
      </c>
      <c r="H40" s="12" t="str">
        <f>IF(J40="x","-",IF(F40="x","-","x"))</f>
        <v>x</v>
      </c>
    </row>
    <row r="41" spans="1:16" ht="20.100000000000001" customHeight="1" x14ac:dyDescent="0.2">
      <c r="C41" s="4"/>
      <c r="D41" s="4"/>
      <c r="E41" s="4"/>
    </row>
    <row r="42" spans="1:16" x14ac:dyDescent="0.2">
      <c r="A42" s="2" t="s">
        <v>27</v>
      </c>
      <c r="B42" s="2"/>
    </row>
    <row r="43" spans="1:16" ht="2.1" customHeight="1" x14ac:dyDescent="0.2">
      <c r="A43" s="2"/>
      <c r="B43" s="2"/>
    </row>
    <row r="44" spans="1:16" x14ac:dyDescent="0.2">
      <c r="B44" s="37"/>
      <c r="C44" s="13"/>
      <c r="D44" s="13"/>
      <c r="L44" s="30" t="s">
        <v>43</v>
      </c>
      <c r="N44" s="25"/>
    </row>
    <row r="45" spans="1:16" ht="2.1" customHeight="1" x14ac:dyDescent="0.2">
      <c r="A45" s="2"/>
      <c r="L45" s="7"/>
    </row>
    <row r="46" spans="1:16" x14ac:dyDescent="0.2">
      <c r="B46" s="37"/>
      <c r="C46" s="13"/>
      <c r="D46" s="13"/>
      <c r="L46" s="30" t="s">
        <v>43</v>
      </c>
      <c r="N46" s="25"/>
    </row>
    <row r="47" spans="1:16" ht="18.75" customHeight="1" x14ac:dyDescent="0.2"/>
    <row r="48" spans="1:16" s="39" customFormat="1" ht="210.95" customHeight="1" x14ac:dyDescent="0.2">
      <c r="A48" s="2" t="s">
        <v>542</v>
      </c>
      <c r="B48" s="34"/>
      <c r="C48" s="35"/>
      <c r="D48" s="35"/>
      <c r="E48" s="35"/>
      <c r="F48" s="34"/>
      <c r="G48" s="34"/>
      <c r="H48" s="36"/>
      <c r="I48" s="34"/>
      <c r="J48" s="34"/>
      <c r="K48" s="34"/>
      <c r="L48" s="34"/>
      <c r="M48" s="34"/>
      <c r="N48" s="34"/>
      <c r="P48" s="39" t="e">
        <f>MATCH("x",#REF!,0)</f>
        <v>#REF!</v>
      </c>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2"/>
      <c r="B50" s="404"/>
      <c r="C50" s="404"/>
      <c r="D50" s="404"/>
      <c r="E50" s="404"/>
      <c r="F50" s="404"/>
      <c r="G50" s="404"/>
      <c r="H50" s="404"/>
      <c r="I50" s="404"/>
      <c r="J50" s="404"/>
      <c r="K50" s="404"/>
      <c r="L50" s="404"/>
      <c r="M50" s="404"/>
      <c r="N50" s="404"/>
      <c r="O50" s="52"/>
      <c r="P50" s="52"/>
    </row>
    <row r="51" spans="1:16" s="34" customFormat="1" ht="20.100000000000001" customHeight="1" x14ac:dyDescent="0.2">
      <c r="C51" s="35"/>
      <c r="D51" s="35"/>
      <c r="E51" s="35"/>
      <c r="H51" s="36"/>
    </row>
    <row r="52" spans="1:16" x14ac:dyDescent="0.2">
      <c r="A52" s="2" t="s">
        <v>38</v>
      </c>
      <c r="D52" s="34" t="b">
        <f>ISTEXT(B50)</f>
        <v>0</v>
      </c>
      <c r="O52" s="51"/>
    </row>
    <row r="53" spans="1:16" ht="1.5" customHeight="1" x14ac:dyDescent="0.2">
      <c r="A53" s="2"/>
    </row>
    <row r="54" spans="1:16" ht="14.25" x14ac:dyDescent="0.2">
      <c r="A54" s="2"/>
      <c r="B54" s="3" t="s">
        <v>448</v>
      </c>
      <c r="D54" s="69" t="str">
        <f>IF(OR(COUNTIF(H15:H21,"x")=0,F54="x"),"erfüllt","nicht erfüllt")</f>
        <v>nicht erfüllt</v>
      </c>
      <c r="F54" s="30" t="s">
        <v>43</v>
      </c>
      <c r="H54" s="3" t="s">
        <v>451</v>
      </c>
    </row>
    <row r="55" spans="1:16" ht="1.5" customHeight="1" x14ac:dyDescent="0.2">
      <c r="A55" s="2"/>
    </row>
    <row r="56" spans="1:16" ht="14.25" x14ac:dyDescent="0.2">
      <c r="B56" s="3" t="s">
        <v>251</v>
      </c>
      <c r="D56" s="69" t="str">
        <f>IF(OR(COUNTIF(H15:H40,"x")=0,COUNTIF(F56,"x")&gt;0),"erfüllt", "nicht erfüllt")</f>
        <v>nicht erfüllt</v>
      </c>
      <c r="F56" s="30" t="s">
        <v>43</v>
      </c>
      <c r="H56" s="3" t="s">
        <v>449</v>
      </c>
    </row>
    <row r="57" spans="1:16" ht="1.5" customHeight="1" x14ac:dyDescent="0.2">
      <c r="D57" s="89"/>
    </row>
    <row r="59" spans="1:16" ht="13.5" customHeight="1" x14ac:dyDescent="0.2">
      <c r="A59" s="34"/>
      <c r="B59" s="3" t="s">
        <v>39</v>
      </c>
      <c r="D59" s="3" t="str">
        <f>IF(ISTEXT(Name_Kontr),Name_Kontr,"")</f>
        <v/>
      </c>
      <c r="F59" s="328" t="str">
        <f>IF(AND(NOT(D52),COUNTIF(F54:F56,"x")&gt;0),"Begründung und Empfehlung des weiteren Vorgehens erforderlich.","")</f>
        <v/>
      </c>
      <c r="G59" s="328"/>
      <c r="H59" s="328"/>
      <c r="I59" s="328"/>
      <c r="J59" s="328"/>
      <c r="K59" s="328"/>
      <c r="L59" s="328"/>
      <c r="M59" s="328"/>
      <c r="N59" s="328"/>
    </row>
    <row r="60" spans="1:16" ht="2.1" customHeight="1" x14ac:dyDescent="0.2">
      <c r="A60" s="34" t="s">
        <v>42</v>
      </c>
      <c r="D60" s="3" t="e">
        <f>IF(D33="befreit","-",'EN-Kt.'!#REF!)</f>
        <v>#REF!</v>
      </c>
      <c r="F60" s="328"/>
      <c r="G60" s="328"/>
      <c r="H60" s="328"/>
      <c r="I60" s="328"/>
      <c r="J60" s="328"/>
      <c r="K60" s="328"/>
      <c r="L60" s="328"/>
      <c r="M60" s="328"/>
      <c r="N60" s="328"/>
    </row>
    <row r="61" spans="1:16" x14ac:dyDescent="0.2">
      <c r="A61" s="34" t="s">
        <v>43</v>
      </c>
      <c r="B61" s="3" t="s">
        <v>40</v>
      </c>
      <c r="D61" s="47">
        <f ca="1">Datum</f>
        <v>45866</v>
      </c>
      <c r="F61" s="328"/>
      <c r="G61" s="328"/>
      <c r="H61" s="328"/>
      <c r="I61" s="328"/>
      <c r="J61" s="328"/>
      <c r="K61" s="328"/>
      <c r="L61" s="328"/>
      <c r="M61" s="328"/>
      <c r="N61" s="328"/>
    </row>
  </sheetData>
  <sheetProtection algorithmName="SHA-512" hashValue="NTgGdUCwDg4KifSsrPlJkziyq2EmX612c0g+RsbF6vRR67+GyeYDLycbRVi+FaI/62xvQ7k2RXL312dcOKoHew==" saltValue="qKOJpIzZsTAzOHalcwZWgg==" spinCount="100000" sheet="1" formatRows="0"/>
  <mergeCells count="5">
    <mergeCell ref="B50:N50"/>
    <mergeCell ref="F59:N61"/>
    <mergeCell ref="D5:M5"/>
    <mergeCell ref="D7:M7"/>
    <mergeCell ref="D11:M11"/>
  </mergeCells>
  <phoneticPr fontId="7" type="noConversion"/>
  <conditionalFormatting sqref="D54">
    <cfRule type="beginsWith" dxfId="19" priority="1" operator="beginsWith" text="erfüllt">
      <formula>LEFT(D54,LEN("erfüllt"))="erfüllt"</formula>
    </cfRule>
    <cfRule type="containsText" dxfId="18" priority="2" operator="containsText" text="nicht erfüllt">
      <formula>NOT(ISERROR(SEARCH("nicht erfüllt",D54)))</formula>
    </cfRule>
  </conditionalFormatting>
  <conditionalFormatting sqref="D56:D57 D54">
    <cfRule type="containsText" dxfId="17" priority="5" operator="containsText" text="nicht">
      <formula>NOT(ISERROR(SEARCH("nicht",B42)))</formula>
    </cfRule>
  </conditionalFormatting>
  <conditionalFormatting sqref="D56:D57">
    <cfRule type="beginsWith" dxfId="16" priority="3" operator="beginsWith" text="erfüllt">
      <formula>LEFT(D56,LEN("erfüllt"))="erfüllt"</formula>
    </cfRule>
    <cfRule type="containsText" dxfId="15"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1000-000000000000}">
      <formula1>$A$172:$A$173</formula1>
    </dataValidation>
  </dataValidations>
  <hyperlinks>
    <hyperlink ref="N1" r:id="rId1" xr:uid="{8A358A82-7BCB-49E9-8318-FD2574EEA8EC}"/>
    <hyperlink ref="N2" location="'EN-Kt.'!A1" display="Zurück zm EN-Kt. " xr:uid="{80C889C7-0134-43C1-BD8C-070995361457}"/>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1000-000001000000}">
          <x14:formula1>
            <xm:f>'EN-Kt.'!$A$207:$A$208</xm:f>
          </x14:formula1>
          <xm:sqref>F15 L46 F17 F19 F21 J17 J19 J21 F40 L44 F56 F54</xm:sqref>
        </x14:dataValidation>
        <x14:dataValidation type="list" allowBlank="1" showInputMessage="1" showErrorMessage="1" xr:uid="{00000000-0002-0000-1000-000002000000}">
          <x14:formula1>
            <xm:f>'EN-Kt.'!$C$304:$C$307</xm:f>
          </x14:formula1>
          <xm:sqref>D9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375" style="3" customWidth="1"/>
    <col min="15" max="16384" width="10.875" style="3"/>
  </cols>
  <sheetData>
    <row r="1" spans="1:16" s="22" customFormat="1" ht="18" x14ac:dyDescent="0.25">
      <c r="A1" s="6" t="s">
        <v>346</v>
      </c>
      <c r="B1" s="6"/>
      <c r="N1" s="117" t="s">
        <v>503</v>
      </c>
      <c r="P1" s="23"/>
    </row>
    <row r="2" spans="1:16" s="22" customFormat="1" ht="18" x14ac:dyDescent="0.25">
      <c r="A2" s="6" t="s">
        <v>347</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B10" s="34"/>
      <c r="C10" s="34"/>
      <c r="D10" s="34"/>
      <c r="N10" s="34"/>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7"/>
      <c r="H18" s="7"/>
      <c r="J18" s="7"/>
      <c r="L18" s="7"/>
    </row>
    <row r="19" spans="1:19" x14ac:dyDescent="0.2">
      <c r="B19" s="37"/>
      <c r="C19" s="13"/>
      <c r="D19" s="13"/>
      <c r="F19" s="30" t="s">
        <v>43</v>
      </c>
      <c r="H19" s="12" t="str">
        <f>IF(J19="x","-",IF(F19="x","-","x"))</f>
        <v>x</v>
      </c>
      <c r="J19" s="30" t="s">
        <v>43</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43</v>
      </c>
      <c r="H21" s="12" t="str">
        <f>IF(J21="x","-",IF(F21="x","-","x"))</f>
        <v>x</v>
      </c>
      <c r="J21" s="30" t="s">
        <v>43</v>
      </c>
      <c r="L21" s="7"/>
      <c r="N21" s="25"/>
    </row>
    <row r="22" spans="1:19" ht="63.95" customHeight="1" x14ac:dyDescent="0.2">
      <c r="A22" s="2" t="s">
        <v>265</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265</v>
      </c>
      <c r="F40" s="30" t="s">
        <v>43</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43</v>
      </c>
      <c r="N44" s="25"/>
    </row>
    <row r="45" spans="1:14" ht="2.1" customHeight="1" x14ac:dyDescent="0.2">
      <c r="A45" s="2"/>
      <c r="L45" s="7"/>
    </row>
    <row r="46" spans="1:14" x14ac:dyDescent="0.2">
      <c r="B46" s="37"/>
      <c r="C46" s="13"/>
      <c r="D46" s="13"/>
      <c r="L46" s="30" t="s">
        <v>43</v>
      </c>
      <c r="N46" s="25"/>
    </row>
    <row r="47" spans="1:14" ht="18.75" customHeight="1" x14ac:dyDescent="0.2"/>
    <row r="48" spans="1:14" s="39" customFormat="1" ht="216.95" customHeight="1" x14ac:dyDescent="0.2">
      <c r="A48" s="2" t="s">
        <v>542</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2"/>
      <c r="B50" s="404"/>
      <c r="C50" s="404"/>
      <c r="D50" s="404"/>
      <c r="E50" s="404"/>
      <c r="F50" s="404"/>
      <c r="G50" s="404"/>
      <c r="H50" s="404"/>
      <c r="I50" s="404"/>
      <c r="J50" s="404"/>
      <c r="K50" s="404"/>
      <c r="L50" s="404"/>
      <c r="M50" s="404"/>
      <c r="N50" s="404"/>
      <c r="O50" s="52"/>
      <c r="P50" s="52"/>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448</v>
      </c>
      <c r="D54" s="69" t="str">
        <f>IF(OR(COUNTIF(H15:H21,"x")=0,F54="x"),"erfüllt","nicht erfüllt")</f>
        <v>nicht erfüllt</v>
      </c>
      <c r="F54" s="30"/>
      <c r="H54" s="3" t="s">
        <v>451</v>
      </c>
      <c r="O54" s="51"/>
    </row>
    <row r="55" spans="1:16" ht="1.5" customHeight="1" x14ac:dyDescent="0.2">
      <c r="A55" s="2"/>
    </row>
    <row r="56" spans="1:16" ht="14.25" x14ac:dyDescent="0.2">
      <c r="B56" s="3" t="s">
        <v>251</v>
      </c>
      <c r="D56" s="69" t="str">
        <f>IF(OR(COUNTIF(H15:H40,"x")=0,COUNTIF(F56,"x")&gt;0),"erfüllt", "nicht erfüllt")</f>
        <v>nicht erfüllt</v>
      </c>
      <c r="F56" s="30"/>
      <c r="H56" s="3" t="s">
        <v>449</v>
      </c>
    </row>
    <row r="57" spans="1:16" ht="1.5" customHeight="1" x14ac:dyDescent="0.2">
      <c r="D57" s="89"/>
    </row>
    <row r="59" spans="1:16" ht="13.5" customHeight="1" x14ac:dyDescent="0.2">
      <c r="A59" s="34"/>
      <c r="B59" s="3" t="s">
        <v>39</v>
      </c>
      <c r="D59" s="3" t="str">
        <f>IF(ISTEXT(Name_Kontr),Name_Kontr,"")</f>
        <v/>
      </c>
      <c r="F59" s="328" t="str">
        <f>IF(AND(NOT(D52),COUNTIF(F54:F56,"x")&gt;0),"Begründung und Empfehlung des weiteren Vorgehens erforderlich.","")</f>
        <v/>
      </c>
      <c r="G59" s="328"/>
      <c r="H59" s="328"/>
      <c r="I59" s="328"/>
      <c r="J59" s="328"/>
      <c r="K59" s="328"/>
      <c r="L59" s="328"/>
      <c r="M59" s="328"/>
      <c r="N59" s="328"/>
    </row>
    <row r="60" spans="1:16" ht="2.1" customHeight="1" x14ac:dyDescent="0.2">
      <c r="A60" s="34" t="s">
        <v>42</v>
      </c>
      <c r="D60" s="3" t="e">
        <f>IF(D33="befreit","-",'EN-Kt.'!#REF!)</f>
        <v>#REF!</v>
      </c>
      <c r="F60" s="328"/>
      <c r="G60" s="328"/>
      <c r="H60" s="328"/>
      <c r="I60" s="328"/>
      <c r="J60" s="328"/>
      <c r="K60" s="328"/>
      <c r="L60" s="328"/>
      <c r="M60" s="328"/>
      <c r="N60" s="328"/>
    </row>
    <row r="61" spans="1:16" x14ac:dyDescent="0.2">
      <c r="A61" s="34" t="s">
        <v>43</v>
      </c>
      <c r="B61" s="3" t="s">
        <v>40</v>
      </c>
      <c r="D61" s="47">
        <f ca="1">Datum</f>
        <v>45866</v>
      </c>
      <c r="F61" s="328"/>
      <c r="G61" s="328"/>
      <c r="H61" s="328"/>
      <c r="I61" s="328"/>
      <c r="J61" s="328"/>
      <c r="K61" s="328"/>
      <c r="L61" s="328"/>
      <c r="M61" s="328"/>
      <c r="N61" s="328"/>
    </row>
  </sheetData>
  <sheetProtection algorithmName="SHA-512" hashValue="/XEhDsZrX921GtM7MlW4ey5yvh1nfSnIoxtuKc+PIQLwBNBYbmjaSHi9YT+Kb41ijtp2KgGc3vnH1fpI8GI6iQ==" saltValue="PrpMXoB5pV8bZ+npXaBwaA==" spinCount="100000" sheet="1" formatRows="0"/>
  <mergeCells count="5">
    <mergeCell ref="B50:N50"/>
    <mergeCell ref="F59:N61"/>
    <mergeCell ref="D5:M5"/>
    <mergeCell ref="D7:M7"/>
    <mergeCell ref="D11:M11"/>
  </mergeCells>
  <phoneticPr fontId="7" type="noConversion"/>
  <conditionalFormatting sqref="D54">
    <cfRule type="beginsWith" dxfId="14" priority="1" operator="beginsWith" text="erfüllt">
      <formula>LEFT(D54,LEN("erfüllt"))="erfüllt"</formula>
    </cfRule>
    <cfRule type="containsText" dxfId="13" priority="2" operator="containsText" text="nicht erfüllt">
      <formula>NOT(ISERROR(SEARCH("nicht erfüllt",D54)))</formula>
    </cfRule>
  </conditionalFormatting>
  <conditionalFormatting sqref="D56:D57 D54">
    <cfRule type="containsText" dxfId="12" priority="5" operator="containsText" text="nicht">
      <formula>NOT(ISERROR(SEARCH("nicht",B42)))</formula>
    </cfRule>
  </conditionalFormatting>
  <conditionalFormatting sqref="D56:D57">
    <cfRule type="beginsWith" dxfId="11" priority="3" operator="beginsWith" text="erfüllt">
      <formula>LEFT(D56,LEN("erfüllt"))="erfüllt"</formula>
    </cfRule>
    <cfRule type="containsText" dxfId="10"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1100-000000000000}">
      <formula1>$A$172:$A$173</formula1>
    </dataValidation>
  </dataValidations>
  <hyperlinks>
    <hyperlink ref="N1" r:id="rId1" xr:uid="{2E950BA1-65F5-4CC2-BDC0-AA47666A1102}"/>
    <hyperlink ref="N2" location="'EN-Kt.'!A1" display="Zurück zm EN-Kt. " xr:uid="{4D93B980-1ED6-4081-B541-0513092ACCA6}"/>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1100-000001000000}">
          <x14:formula1>
            <xm:f>'EN-Kt.'!$A$207:$A$208</xm:f>
          </x14:formula1>
          <xm:sqref>F15 F17 F19 F21 J17 J19 J21 F40 L44 L46 F56 F54</xm:sqref>
        </x14:dataValidation>
        <x14:dataValidation type="list" allowBlank="1" showInputMessage="1" showErrorMessage="1" xr:uid="{00000000-0002-0000-1100-000002000000}">
          <x14:formula1>
            <xm:f>'EN-Kt.'!$C$304:$C$307</xm:f>
          </x14:formula1>
          <xm:sqref>D9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375" style="3" customWidth="1"/>
    <col min="15" max="16384" width="10.875" style="3"/>
  </cols>
  <sheetData>
    <row r="1" spans="1:16" s="22" customFormat="1" ht="18" x14ac:dyDescent="0.25">
      <c r="A1" s="6" t="s">
        <v>349</v>
      </c>
      <c r="B1" s="6"/>
      <c r="N1" s="117" t="s">
        <v>503</v>
      </c>
      <c r="P1" s="23"/>
    </row>
    <row r="2" spans="1:16" s="22" customFormat="1" ht="18" x14ac:dyDescent="0.25">
      <c r="A2" s="6" t="s">
        <v>348</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t="s">
        <v>43</v>
      </c>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7"/>
      <c r="H18" s="7"/>
      <c r="J18" s="7"/>
      <c r="L18" s="7"/>
    </row>
    <row r="19" spans="1:19" x14ac:dyDescent="0.2">
      <c r="B19" s="37"/>
      <c r="C19" s="13"/>
      <c r="D19" s="13"/>
      <c r="F19" s="30" t="s">
        <v>43</v>
      </c>
      <c r="H19" s="12" t="str">
        <f>IF(J19="x","-",IF(F19="x","-","x"))</f>
        <v>x</v>
      </c>
      <c r="J19" s="30" t="s">
        <v>43</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43</v>
      </c>
      <c r="H21" s="12" t="str">
        <f>IF(J21="x","-",IF(F21="x","-","x"))</f>
        <v>x</v>
      </c>
      <c r="J21" s="30" t="s">
        <v>43</v>
      </c>
      <c r="L21" s="7"/>
      <c r="N21" s="25"/>
    </row>
    <row r="22" spans="1:19" ht="63.95" customHeight="1" x14ac:dyDescent="0.2">
      <c r="A22" s="2" t="s">
        <v>265</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265</v>
      </c>
      <c r="F40" s="30" t="s">
        <v>43</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43</v>
      </c>
      <c r="N44" s="25"/>
    </row>
    <row r="45" spans="1:14" ht="2.1" customHeight="1" x14ac:dyDescent="0.2">
      <c r="A45" s="2"/>
      <c r="L45" s="7"/>
    </row>
    <row r="46" spans="1:14" x14ac:dyDescent="0.2">
      <c r="B46" s="37"/>
      <c r="C46" s="13"/>
      <c r="D46" s="13"/>
      <c r="L46" s="30" t="s">
        <v>43</v>
      </c>
      <c r="N46" s="25"/>
    </row>
    <row r="47" spans="1:14" ht="18.75" customHeight="1" x14ac:dyDescent="0.2"/>
    <row r="48" spans="1:14" s="39" customFormat="1" ht="215.45" customHeight="1" x14ac:dyDescent="0.2">
      <c r="A48" s="2" t="s">
        <v>542</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2"/>
      <c r="B50" s="404"/>
      <c r="C50" s="404"/>
      <c r="D50" s="404"/>
      <c r="E50" s="404"/>
      <c r="F50" s="404"/>
      <c r="G50" s="404"/>
      <c r="H50" s="404"/>
      <c r="I50" s="404"/>
      <c r="J50" s="404"/>
      <c r="K50" s="404"/>
      <c r="L50" s="404"/>
      <c r="M50" s="404"/>
      <c r="N50" s="404"/>
      <c r="O50" s="52"/>
      <c r="P50" s="52"/>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448</v>
      </c>
      <c r="D54" s="69" t="str">
        <f>IF(OR(COUNTIF(H15:H21,"x")=0,F54="x"),"erfüllt","nicht erfüllt")</f>
        <v>nicht erfüllt</v>
      </c>
      <c r="F54" s="30" t="s">
        <v>43</v>
      </c>
      <c r="H54" s="3" t="s">
        <v>451</v>
      </c>
      <c r="O54" s="51"/>
    </row>
    <row r="55" spans="1:16" ht="1.5" customHeight="1" x14ac:dyDescent="0.2">
      <c r="A55" s="2"/>
    </row>
    <row r="56" spans="1:16" ht="14.25" x14ac:dyDescent="0.2">
      <c r="B56" s="3" t="s">
        <v>251</v>
      </c>
      <c r="D56" s="69" t="str">
        <f>IF(OR(COUNTIF(H24:H40,"x")=0,COUNTIF(F56,"x")&gt;0),"erfüllt", "nicht erfüllt")</f>
        <v>nicht erfüllt</v>
      </c>
      <c r="F56" s="30" t="s">
        <v>43</v>
      </c>
      <c r="H56" s="3" t="s">
        <v>449</v>
      </c>
    </row>
    <row r="57" spans="1:16" ht="1.5" customHeight="1" x14ac:dyDescent="0.2">
      <c r="D57" s="89"/>
    </row>
    <row r="59" spans="1:16" ht="13.5" customHeight="1" x14ac:dyDescent="0.2">
      <c r="A59" s="34"/>
      <c r="B59" s="3" t="s">
        <v>39</v>
      </c>
      <c r="D59" s="3" t="str">
        <f>IF(ISTEXT(Name_Kontr),Name_Kontr,"")</f>
        <v/>
      </c>
      <c r="F59" s="328" t="str">
        <f>IF(AND(NOT(D52),COUNTIF(F54:F56,"x")&gt;0),"Begründung und Empfehlung des weiteren Vorgehens erforderlich.","")</f>
        <v/>
      </c>
      <c r="G59" s="328"/>
      <c r="H59" s="328"/>
      <c r="I59" s="328"/>
      <c r="J59" s="328"/>
      <c r="K59" s="328"/>
      <c r="L59" s="328"/>
      <c r="M59" s="328"/>
      <c r="N59" s="328"/>
    </row>
    <row r="60" spans="1:16" ht="2.1" customHeight="1" x14ac:dyDescent="0.2">
      <c r="A60" s="34" t="s">
        <v>42</v>
      </c>
      <c r="D60" s="3" t="e">
        <f>IF(D33="befreit","-",'EN-Kt.'!#REF!)</f>
        <v>#REF!</v>
      </c>
      <c r="F60" s="328"/>
      <c r="G60" s="328"/>
      <c r="H60" s="328"/>
      <c r="I60" s="328"/>
      <c r="J60" s="328"/>
      <c r="K60" s="328"/>
      <c r="L60" s="328"/>
      <c r="M60" s="328"/>
      <c r="N60" s="328"/>
    </row>
    <row r="61" spans="1:16" x14ac:dyDescent="0.2">
      <c r="A61" s="34" t="s">
        <v>43</v>
      </c>
      <c r="B61" s="3" t="s">
        <v>40</v>
      </c>
      <c r="D61" s="47">
        <f ca="1">Datum</f>
        <v>45866</v>
      </c>
      <c r="F61" s="328"/>
      <c r="G61" s="328"/>
      <c r="H61" s="328"/>
      <c r="I61" s="328"/>
      <c r="J61" s="328"/>
      <c r="K61" s="328"/>
      <c r="L61" s="328"/>
      <c r="M61" s="328"/>
      <c r="N61" s="328"/>
    </row>
  </sheetData>
  <sheetProtection algorithmName="SHA-512" hashValue="D1w8ld49sClg5H5gpmtRFlMNSAQ7KzibgOKB6p97aQaf/FGQwgZF7VzKFK4QmQ92SQqn0I6GnG3tmbMK7Pi7Lg==" saltValue="aoQViTcPjMaE+mGm3J4pqA==" spinCount="100000" sheet="1" formatRows="0"/>
  <mergeCells count="5">
    <mergeCell ref="B50:N50"/>
    <mergeCell ref="F59:N61"/>
    <mergeCell ref="D5:M5"/>
    <mergeCell ref="D7:M7"/>
    <mergeCell ref="D11:M11"/>
  </mergeCells>
  <phoneticPr fontId="7" type="noConversion"/>
  <conditionalFormatting sqref="D54">
    <cfRule type="beginsWith" dxfId="9" priority="1" operator="beginsWith" text="erfüllt">
      <formula>LEFT(D54,LEN("erfüllt"))="erfüllt"</formula>
    </cfRule>
    <cfRule type="containsText" dxfId="8" priority="2" operator="containsText" text="nicht erfüllt">
      <formula>NOT(ISERROR(SEARCH("nicht erfüllt",D54)))</formula>
    </cfRule>
  </conditionalFormatting>
  <conditionalFormatting sqref="D56:D57 D54">
    <cfRule type="containsText" dxfId="7" priority="5" operator="containsText" text="nicht">
      <formula>NOT(ISERROR(SEARCH("nicht",B42)))</formula>
    </cfRule>
  </conditionalFormatting>
  <conditionalFormatting sqref="D56:D57">
    <cfRule type="beginsWith" dxfId="6" priority="3" operator="beginsWith" text="erfüllt">
      <formula>LEFT(D56,LEN("erfüllt"))="erfüllt"</formula>
    </cfRule>
    <cfRule type="containsText" dxfId="5"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1200-000000000000}">
      <formula1>$A$172:$A$173</formula1>
    </dataValidation>
  </dataValidations>
  <hyperlinks>
    <hyperlink ref="N1" r:id="rId1" xr:uid="{8DDFB892-6D7A-4A6A-8C99-C1EFEF472EE7}"/>
    <hyperlink ref="N2" location="'EN-Kt.'!A1" display="Zurück zm EN-Kt. " xr:uid="{26706830-8589-4D8D-8754-8B53B257611B}"/>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1200-000001000000}">
          <x14:formula1>
            <xm:f>'EN-Kt.'!$A$207:$A$208</xm:f>
          </x14:formula1>
          <xm:sqref>F15 F17 F19 F21 J17 J19 J21 F40 L46 L44 F56 F54</xm:sqref>
        </x14:dataValidation>
        <x14:dataValidation type="list" allowBlank="1" showInputMessage="1" showErrorMessage="1" xr:uid="{00000000-0002-0000-1200-000002000000}">
          <x14:formula1>
            <xm:f>'EN-Kt.'!$C$304:$C$307</xm:f>
          </x14:formula1>
          <xm:sqref>D9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3">
    <tabColor theme="0"/>
  </sheetPr>
  <dimension ref="A1:S65"/>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5" style="3" customWidth="1"/>
    <col min="15" max="16384" width="10.875" style="3"/>
  </cols>
  <sheetData>
    <row r="1" spans="1:16" s="22" customFormat="1" ht="18" x14ac:dyDescent="0.25">
      <c r="A1" s="63" t="s">
        <v>458</v>
      </c>
      <c r="B1" s="6"/>
      <c r="P1" s="23"/>
    </row>
    <row r="2" spans="1:16" s="22" customFormat="1" ht="18" x14ac:dyDescent="0.25">
      <c r="A2" s="6" t="s">
        <v>446</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406" t="str">
        <f>IF(ISTEXT(Gemeinde),Gemeinde,"")</f>
        <v/>
      </c>
      <c r="E5" s="406"/>
      <c r="F5" s="406"/>
      <c r="G5" s="406"/>
      <c r="H5" s="406"/>
      <c r="I5" s="406"/>
      <c r="J5" s="406"/>
      <c r="K5" s="406"/>
      <c r="L5" s="406"/>
      <c r="M5" s="406"/>
      <c r="N5" s="16"/>
    </row>
    <row r="6" spans="1:16" ht="2.1" customHeight="1" x14ac:dyDescent="0.2">
      <c r="D6" s="96"/>
      <c r="F6" s="7"/>
      <c r="G6" s="7"/>
      <c r="H6" s="7"/>
      <c r="I6" s="7"/>
      <c r="J6" s="8"/>
      <c r="L6" s="8"/>
    </row>
    <row r="7" spans="1:16" x14ac:dyDescent="0.2">
      <c r="B7" s="3" t="s">
        <v>63</v>
      </c>
      <c r="D7" s="407" t="str">
        <f>IF(ISTEXT(Bauvorhaben),Bauvorhaben,"")</f>
        <v/>
      </c>
      <c r="E7" s="407"/>
      <c r="F7" s="407"/>
      <c r="G7" s="407"/>
      <c r="H7" s="407"/>
      <c r="I7" s="407"/>
      <c r="J7" s="407"/>
      <c r="K7" s="407"/>
      <c r="L7" s="407"/>
      <c r="M7" s="407"/>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407" t="str">
        <f>IF(ISTEXT(Kontrollbeauftragter),Kontrollbeauftragter,"")</f>
        <v/>
      </c>
      <c r="E11" s="407"/>
      <c r="F11" s="407"/>
      <c r="G11" s="407"/>
      <c r="H11" s="407"/>
      <c r="I11" s="407"/>
      <c r="J11" s="407"/>
      <c r="K11" s="407"/>
      <c r="L11" s="407"/>
      <c r="M11" s="407"/>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43</v>
      </c>
      <c r="H15" s="12" t="str">
        <f>IF(J15="x","-",IF(F15="x","-","x"))</f>
        <v>x</v>
      </c>
      <c r="J15" s="7"/>
      <c r="L15" s="7"/>
      <c r="N15" s="25"/>
    </row>
    <row r="16" spans="1:16" ht="2.1" customHeight="1" x14ac:dyDescent="0.2">
      <c r="F16" s="7"/>
      <c r="H16" s="7"/>
      <c r="J16" s="7"/>
      <c r="L16" s="7"/>
    </row>
    <row r="17" spans="1:19" x14ac:dyDescent="0.2">
      <c r="B17" s="37"/>
      <c r="C17" s="13"/>
      <c r="D17" s="13"/>
      <c r="F17" s="30" t="s">
        <v>43</v>
      </c>
      <c r="H17" s="12" t="str">
        <f>IF(J17="x","-",IF(F17="x","-","x"))</f>
        <v>x</v>
      </c>
      <c r="J17" s="30" t="s">
        <v>43</v>
      </c>
      <c r="L17" s="7"/>
      <c r="N17" s="25"/>
    </row>
    <row r="18" spans="1:19" ht="2.1" customHeight="1" x14ac:dyDescent="0.2">
      <c r="F18" s="7"/>
      <c r="H18" s="7"/>
      <c r="J18" s="7"/>
      <c r="L18" s="7"/>
    </row>
    <row r="19" spans="1:19" x14ac:dyDescent="0.2">
      <c r="B19" s="37"/>
      <c r="C19" s="13"/>
      <c r="D19" s="13"/>
      <c r="F19" s="30" t="s">
        <v>43</v>
      </c>
      <c r="H19" s="12" t="str">
        <f>IF(J19="x","-",IF(F19="x","-","x"))</f>
        <v>x</v>
      </c>
      <c r="J19" s="30" t="s">
        <v>43</v>
      </c>
      <c r="L19" s="7"/>
      <c r="N19" s="25"/>
      <c r="S19" s="3" t="str">
        <f>IF(OR(AND(C35="-", Q19=C155),OR(Q15="III – Verwaltung",Q17="III – Verwaltung")),"nicht zulässig", IF(AND(OR(E15="x",E17="x",E19="x"),Q19=""),"Angabe fehlt",""  ))</f>
        <v/>
      </c>
    </row>
    <row r="20" spans="1:19" ht="2.1" customHeight="1" x14ac:dyDescent="0.2">
      <c r="F20" s="7"/>
      <c r="H20" s="7"/>
      <c r="J20" s="7"/>
      <c r="L20" s="7"/>
    </row>
    <row r="21" spans="1:19" x14ac:dyDescent="0.2">
      <c r="B21" s="37"/>
      <c r="C21" s="13"/>
      <c r="D21" s="13"/>
      <c r="F21" s="30" t="s">
        <v>43</v>
      </c>
      <c r="H21" s="12" t="str">
        <f>IF(J21="x","-",IF(F21="x","-","x"))</f>
        <v>x</v>
      </c>
      <c r="J21" s="30" t="s">
        <v>43</v>
      </c>
      <c r="L21" s="7"/>
      <c r="N21" s="25"/>
    </row>
    <row r="22" spans="1:19" ht="12.75" customHeight="1" x14ac:dyDescent="0.2">
      <c r="F22" s="7"/>
      <c r="H22" s="7"/>
      <c r="J22" s="7"/>
      <c r="L22" s="7"/>
    </row>
    <row r="23" spans="1:19" x14ac:dyDescent="0.2">
      <c r="B23" s="3" t="s">
        <v>450</v>
      </c>
      <c r="F23" s="30" t="s">
        <v>43</v>
      </c>
      <c r="S23" s="3" t="str">
        <f>IF(OR(AND(C35="-", Q23=C159),OR(Q14="III – Verwaltung",Q16="III – Verwaltung")),"nicht zulässig", IF(AND(OR(E14="x",E16="x",E18="x"),Q23=""),"Angabe fehlt",""  ))</f>
        <v/>
      </c>
    </row>
    <row r="24" spans="1:19" ht="2.1" customHeight="1" x14ac:dyDescent="0.2"/>
    <row r="25" spans="1:19" x14ac:dyDescent="0.2">
      <c r="B25" s="38" t="str">
        <f>IF(F23="x","(Begründung im Feld 'Bemerkungen')","")</f>
        <v/>
      </c>
    </row>
    <row r="26" spans="1:19" ht="63.95" customHeight="1" x14ac:dyDescent="0.2">
      <c r="A26" s="2" t="s">
        <v>265</v>
      </c>
      <c r="B26" s="2"/>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row>
    <row r="40" spans="1:14" x14ac:dyDescent="0.2">
      <c r="B40" s="37"/>
      <c r="C40" s="13"/>
      <c r="D40" s="13"/>
      <c r="E40" s="13"/>
      <c r="F40" s="13"/>
      <c r="G40" s="13"/>
      <c r="H40" s="13"/>
      <c r="I40" s="13"/>
      <c r="J40" s="13"/>
      <c r="K40" s="13"/>
      <c r="L40" s="13"/>
      <c r="M40" s="13"/>
      <c r="N40" s="13"/>
    </row>
    <row r="41" spans="1:14" ht="2.1" customHeight="1" x14ac:dyDescent="0.2">
      <c r="A41" s="2"/>
      <c r="B41" s="2"/>
    </row>
    <row r="42" spans="1:14" x14ac:dyDescent="0.2">
      <c r="B42" s="37"/>
      <c r="C42" s="13"/>
      <c r="D42" s="13"/>
      <c r="E42" s="13"/>
      <c r="F42" s="13"/>
      <c r="G42" s="13"/>
      <c r="H42" s="13"/>
      <c r="I42" s="13"/>
      <c r="J42" s="13"/>
      <c r="K42" s="13"/>
      <c r="L42" s="13"/>
      <c r="M42" s="13"/>
      <c r="N42" s="13"/>
    </row>
    <row r="43" spans="1:14" ht="2.1" customHeight="1" x14ac:dyDescent="0.2">
      <c r="A43" s="2"/>
      <c r="B43" s="2"/>
      <c r="F43" s="7"/>
      <c r="G43" s="7"/>
      <c r="H43" s="7"/>
      <c r="I43" s="7"/>
      <c r="J43" s="8"/>
      <c r="L43" s="8"/>
    </row>
    <row r="44" spans="1:14" x14ac:dyDescent="0.2">
      <c r="B44" s="3" t="s">
        <v>265</v>
      </c>
      <c r="F44" s="30" t="s">
        <v>43</v>
      </c>
      <c r="H44" s="12" t="str">
        <f>IF(J44="x","-",IF(F44="x","-","x"))</f>
        <v>x</v>
      </c>
    </row>
    <row r="45" spans="1:14" ht="20.100000000000001" customHeight="1" x14ac:dyDescent="0.2">
      <c r="C45" s="4"/>
      <c r="D45" s="4"/>
      <c r="E45" s="4"/>
    </row>
    <row r="46" spans="1:14" x14ac:dyDescent="0.2">
      <c r="A46" s="2" t="s">
        <v>27</v>
      </c>
      <c r="B46" s="2"/>
    </row>
    <row r="47" spans="1:14" ht="2.1" customHeight="1" x14ac:dyDescent="0.2">
      <c r="A47" s="2"/>
      <c r="B47" s="2"/>
    </row>
    <row r="48" spans="1:14" x14ac:dyDescent="0.2">
      <c r="B48" s="37"/>
      <c r="C48" s="13"/>
      <c r="D48" s="13"/>
      <c r="L48" s="30" t="s">
        <v>43</v>
      </c>
      <c r="N48" s="25"/>
    </row>
    <row r="49" spans="1:16" ht="2.1" customHeight="1" x14ac:dyDescent="0.2">
      <c r="A49" s="2"/>
      <c r="L49" s="7"/>
    </row>
    <row r="50" spans="1:16" x14ac:dyDescent="0.2">
      <c r="B50" s="37"/>
      <c r="C50" s="13"/>
      <c r="D50" s="13"/>
      <c r="L50" s="30" t="s">
        <v>43</v>
      </c>
      <c r="N50" s="25"/>
    </row>
    <row r="51" spans="1:16" ht="18.75" customHeight="1" x14ac:dyDescent="0.2"/>
    <row r="52" spans="1:16" s="39" customFormat="1" ht="159.94999999999999" customHeight="1" x14ac:dyDescent="0.2">
      <c r="A52" s="2" t="s">
        <v>542</v>
      </c>
      <c r="B52" s="34"/>
      <c r="C52" s="35"/>
      <c r="D52" s="35"/>
      <c r="E52" s="35"/>
      <c r="F52" s="34"/>
      <c r="G52" s="34"/>
      <c r="H52" s="36"/>
      <c r="I52" s="34"/>
      <c r="J52" s="34"/>
      <c r="K52" s="34"/>
      <c r="L52" s="34"/>
      <c r="M52" s="34"/>
      <c r="N52" s="34"/>
    </row>
    <row r="53" spans="1:16" s="39" customFormat="1" ht="1.5" customHeight="1" x14ac:dyDescent="0.2">
      <c r="A53" s="34"/>
      <c r="B53" s="34"/>
      <c r="C53" s="35"/>
      <c r="D53" s="35"/>
      <c r="E53" s="35"/>
      <c r="F53" s="34"/>
      <c r="G53" s="34"/>
      <c r="H53" s="36"/>
      <c r="I53" s="34"/>
      <c r="J53" s="34"/>
      <c r="K53" s="34"/>
      <c r="L53" s="34"/>
      <c r="M53" s="34"/>
      <c r="N53" s="34"/>
    </row>
    <row r="54" spans="1:16" s="39" customFormat="1" ht="70.5" customHeight="1" x14ac:dyDescent="0.2">
      <c r="A54" s="52"/>
      <c r="B54" s="404"/>
      <c r="C54" s="404"/>
      <c r="D54" s="404"/>
      <c r="E54" s="404"/>
      <c r="F54" s="404"/>
      <c r="G54" s="404"/>
      <c r="H54" s="404"/>
      <c r="I54" s="404"/>
      <c r="J54" s="404"/>
      <c r="K54" s="404"/>
      <c r="L54" s="404"/>
      <c r="M54" s="404"/>
      <c r="N54" s="404"/>
      <c r="O54" s="52"/>
      <c r="P54" s="52"/>
    </row>
    <row r="55" spans="1:16" s="34" customFormat="1" ht="20.100000000000001" customHeight="1" x14ac:dyDescent="0.2">
      <c r="C55" s="35"/>
      <c r="D55" s="35"/>
      <c r="E55" s="35"/>
      <c r="H55" s="36"/>
    </row>
    <row r="56" spans="1:16" x14ac:dyDescent="0.2">
      <c r="A56" s="2" t="s">
        <v>38</v>
      </c>
      <c r="D56" s="34" t="b">
        <f>ISTEXT(B54)</f>
        <v>0</v>
      </c>
    </row>
    <row r="57" spans="1:16" ht="1.5" customHeight="1" x14ac:dyDescent="0.2">
      <c r="A57" s="2"/>
    </row>
    <row r="58" spans="1:16" ht="14.25" x14ac:dyDescent="0.2">
      <c r="A58" s="2"/>
      <c r="B58" s="3" t="s">
        <v>448</v>
      </c>
      <c r="D58" s="69" t="str">
        <f>IF(OR(COUNTIF(H19:H25,"x")=0,F58="x"),"erfüllt","nicht erfüllt")</f>
        <v>nicht erfüllt</v>
      </c>
      <c r="F58" s="30" t="s">
        <v>43</v>
      </c>
      <c r="H58" s="3" t="s">
        <v>451</v>
      </c>
    </row>
    <row r="59" spans="1:16" ht="1.5" customHeight="1" x14ac:dyDescent="0.2">
      <c r="A59" s="2"/>
    </row>
    <row r="60" spans="1:16" ht="14.25" x14ac:dyDescent="0.2">
      <c r="B60" s="3" t="s">
        <v>251</v>
      </c>
      <c r="D60" s="69" t="str">
        <f>IF(OR(COUNTIF(H19:H44,"x")=0,COUNTIF(F60,"x")&gt;0),"erfüllt", "nicht erfüllt")</f>
        <v>nicht erfüllt</v>
      </c>
      <c r="F60" s="30" t="s">
        <v>43</v>
      </c>
      <c r="H60" s="3" t="s">
        <v>449</v>
      </c>
    </row>
    <row r="61" spans="1:16" ht="1.5" customHeight="1" x14ac:dyDescent="0.2">
      <c r="D61" s="89"/>
    </row>
    <row r="63" spans="1:16" ht="13.5" customHeight="1" x14ac:dyDescent="0.2">
      <c r="A63" s="34"/>
      <c r="B63" s="3" t="s">
        <v>39</v>
      </c>
      <c r="D63" s="3" t="str">
        <f>IF(ISTEXT(Name_Kontr),Name_Kontr,"")</f>
        <v/>
      </c>
      <c r="F63" s="328" t="str">
        <f>IF(AND(NOT(D56),COUNTIF(F58:F60,"x")&gt;0),"Begründung und Empfehlung des weiteren Vorgehens erforderlich.","")</f>
        <v/>
      </c>
      <c r="G63" s="328"/>
      <c r="H63" s="328"/>
      <c r="I63" s="328"/>
      <c r="J63" s="328"/>
      <c r="K63" s="328"/>
      <c r="L63" s="328"/>
      <c r="M63" s="328"/>
      <c r="N63" s="328"/>
    </row>
    <row r="64" spans="1:16" ht="2.1" customHeight="1" x14ac:dyDescent="0.2">
      <c r="A64" s="34" t="s">
        <v>42</v>
      </c>
      <c r="D64" s="3" t="e">
        <f>IF(D37="befreit","-",'EN-Kt.'!#REF!)</f>
        <v>#REF!</v>
      </c>
      <c r="F64" s="328"/>
      <c r="G64" s="328"/>
      <c r="H64" s="328"/>
      <c r="I64" s="328"/>
      <c r="J64" s="328"/>
      <c r="K64" s="328"/>
      <c r="L64" s="328"/>
      <c r="M64" s="328"/>
      <c r="N64" s="328"/>
    </row>
    <row r="65" spans="1:14" x14ac:dyDescent="0.2">
      <c r="A65" s="34" t="s">
        <v>43</v>
      </c>
      <c r="B65" s="3" t="s">
        <v>40</v>
      </c>
      <c r="D65" s="47">
        <f ca="1">Datum</f>
        <v>45866</v>
      </c>
      <c r="F65" s="328"/>
      <c r="G65" s="328"/>
      <c r="H65" s="328"/>
      <c r="I65" s="328"/>
      <c r="J65" s="328"/>
      <c r="K65" s="328"/>
      <c r="L65" s="328"/>
      <c r="M65" s="328"/>
      <c r="N65" s="328"/>
    </row>
  </sheetData>
  <sheetProtection algorithmName="SHA-512" hashValue="S7Qw2cO8cNUSJSh+jvY4inYjrKOxgvwTzP2iPGSx2hCE3l6Bq/hReKgj1MEh6ykeuJoTqbcKfpCXny5VZJF+gg==" saltValue="kghB2IFqsNN34yVBcIwENA==" spinCount="100000" sheet="1" formatRows="0"/>
  <mergeCells count="5">
    <mergeCell ref="B54:N54"/>
    <mergeCell ref="F63:N65"/>
    <mergeCell ref="D5:M5"/>
    <mergeCell ref="D7:M7"/>
    <mergeCell ref="D11:M11"/>
  </mergeCells>
  <conditionalFormatting sqref="D58">
    <cfRule type="beginsWith" dxfId="4" priority="1" operator="beginsWith" text="erfüllt">
      <formula>LEFT(D58,LEN("erfüllt"))="erfüllt"</formula>
    </cfRule>
    <cfRule type="containsText" dxfId="3" priority="2" operator="containsText" text="nicht erfüllt">
      <formula>NOT(ISERROR(SEARCH("nicht erfüllt",D58)))</formula>
    </cfRule>
  </conditionalFormatting>
  <conditionalFormatting sqref="D60:D61 D58">
    <cfRule type="containsText" dxfId="2" priority="5" operator="containsText" text="nicht">
      <formula>NOT(ISERROR(SEARCH("nicht",B46)))</formula>
    </cfRule>
  </conditionalFormatting>
  <conditionalFormatting sqref="D60:D61">
    <cfRule type="beginsWith" dxfId="1" priority="3" operator="beginsWith" text="erfüllt">
      <formula>LEFT(D60,LEN("erfüllt"))="erfüllt"</formula>
    </cfRule>
    <cfRule type="containsText" dxfId="0" priority="4" operator="containsText" text="nicht erfüllt">
      <formula>NOT(ISERROR(SEARCH("nicht erfüllt",D60)))</formula>
    </cfRule>
  </conditionalFormatting>
  <dataValidations disablePrompts="1" count="1">
    <dataValidation type="list" allowBlank="1" showInputMessage="1" showErrorMessage="1" sqref="H44 H17 H19 H15 H21" xr:uid="{00000000-0002-0000-1300-000000000000}">
      <formula1>$A$176:$A$177</formula1>
    </dataValidation>
  </dataValidations>
  <hyperlinks>
    <hyperlink ref="N2" location="'EN-Kt.'!A1" display="Zurück zm EN-Kt. " xr:uid="{3BD5AE3D-425D-484C-9431-7F31A5EB2B00}"/>
  </hyperlinks>
  <pageMargins left="0.59055118110236227" right="0.59055118110236227" top="1.1417322834645669" bottom="1.1417322834645669" header="0.31496062992125984" footer="0.31496062992125984"/>
  <pageSetup paperSize="9" scale="67" fitToHeight="0" orientation="portrait" r:id="rId1"/>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2"/>
  <legacyDrawingHF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1300-000001000000}">
          <x14:formula1>
            <xm:f>'EN-Kt.'!$A$207:$A$208</xm:f>
          </x14:formula1>
          <xm:sqref>F15 F17 F19 J21 F44 L48 L50 J17 J19 F23 F21 F60 F58</xm:sqref>
        </x14:dataValidation>
        <x14:dataValidation type="list" allowBlank="1" showInputMessage="1" showErrorMessage="1" xr:uid="{00000000-0002-0000-1300-000002000000}">
          <x14:formula1>
            <xm:f>'EN-Kt.'!$C$304:$C$307</xm:f>
          </x14:formula1>
          <xm:sqref>D9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732D-B99B-441A-B02C-B38207B9FD3B}">
  <sheetPr codeName="Tabelle26">
    <tabColor theme="1" tint="0.499984740745262"/>
  </sheetPr>
  <dimension ref="A1:Q231"/>
  <sheetViews>
    <sheetView zoomScaleNormal="100" workbookViewId="0">
      <selection sqref="A1:I4"/>
    </sheetView>
  </sheetViews>
  <sheetFormatPr baseColWidth="10" defaultRowHeight="15.75" x14ac:dyDescent="0.25"/>
  <cols>
    <col min="13" max="13" width="27.625" hidden="1" customWidth="1"/>
    <col min="14" max="17" width="0" hidden="1" customWidth="1"/>
  </cols>
  <sheetData>
    <row r="1" spans="1:9" ht="15.6" customHeight="1" x14ac:dyDescent="0.25">
      <c r="A1" s="423" t="s">
        <v>727</v>
      </c>
      <c r="B1" s="423"/>
      <c r="C1" s="423"/>
      <c r="D1" s="423"/>
      <c r="E1" s="423"/>
      <c r="F1" s="423"/>
      <c r="G1" s="423"/>
      <c r="H1" s="423"/>
      <c r="I1" s="423"/>
    </row>
    <row r="2" spans="1:9" x14ac:dyDescent="0.25">
      <c r="A2" s="423"/>
      <c r="B2" s="423"/>
      <c r="C2" s="423"/>
      <c r="D2" s="423"/>
      <c r="E2" s="423"/>
      <c r="F2" s="423"/>
      <c r="G2" s="423"/>
      <c r="H2" s="423"/>
      <c r="I2" s="423"/>
    </row>
    <row r="3" spans="1:9" x14ac:dyDescent="0.25">
      <c r="A3" s="423"/>
      <c r="B3" s="423"/>
      <c r="C3" s="423"/>
      <c r="D3" s="423"/>
      <c r="E3" s="423"/>
      <c r="F3" s="423"/>
      <c r="G3" s="423"/>
      <c r="H3" s="423"/>
      <c r="I3" s="423"/>
    </row>
    <row r="4" spans="1:9" x14ac:dyDescent="0.25">
      <c r="A4" s="423"/>
      <c r="B4" s="423"/>
      <c r="C4" s="423"/>
      <c r="D4" s="423"/>
      <c r="E4" s="423"/>
      <c r="F4" s="423"/>
      <c r="G4" s="423"/>
      <c r="H4" s="423"/>
      <c r="I4" s="423"/>
    </row>
    <row r="133" spans="13:17" x14ac:dyDescent="0.25">
      <c r="N133" t="s">
        <v>708</v>
      </c>
      <c r="O133" t="s">
        <v>709</v>
      </c>
      <c r="P133" t="s">
        <v>710</v>
      </c>
      <c r="Q133" t="s">
        <v>711</v>
      </c>
    </row>
    <row r="134" spans="13:17" x14ac:dyDescent="0.25">
      <c r="M134" s="94" t="s">
        <v>281</v>
      </c>
      <c r="N134">
        <v>28</v>
      </c>
      <c r="O134">
        <v>21</v>
      </c>
      <c r="P134">
        <v>60</v>
      </c>
      <c r="Q134">
        <v>30</v>
      </c>
    </row>
    <row r="135" spans="13:17" x14ac:dyDescent="0.25">
      <c r="M135" s="94" t="s">
        <v>280</v>
      </c>
      <c r="N135">
        <v>28</v>
      </c>
      <c r="O135">
        <v>21</v>
      </c>
      <c r="P135">
        <v>60</v>
      </c>
      <c r="Q135">
        <v>30</v>
      </c>
    </row>
    <row r="136" spans="13:17" x14ac:dyDescent="0.25">
      <c r="M136" s="94" t="s">
        <v>51</v>
      </c>
      <c r="N136">
        <v>26</v>
      </c>
      <c r="O136">
        <v>21</v>
      </c>
      <c r="P136">
        <v>60</v>
      </c>
      <c r="Q136">
        <v>30</v>
      </c>
    </row>
    <row r="137" spans="13:17" x14ac:dyDescent="0.25">
      <c r="M137" s="94" t="s">
        <v>52</v>
      </c>
      <c r="N137">
        <v>26</v>
      </c>
      <c r="O137">
        <v>21</v>
      </c>
      <c r="P137">
        <v>60</v>
      </c>
      <c r="Q137">
        <v>30</v>
      </c>
    </row>
    <row r="138" spans="13:17" x14ac:dyDescent="0.25">
      <c r="M138" s="94" t="s">
        <v>53</v>
      </c>
      <c r="N138">
        <v>26</v>
      </c>
      <c r="O138">
        <v>20</v>
      </c>
      <c r="P138">
        <v>60</v>
      </c>
      <c r="Q138">
        <v>30</v>
      </c>
    </row>
    <row r="139" spans="13:17" x14ac:dyDescent="0.25">
      <c r="M139" s="94" t="s">
        <v>54</v>
      </c>
      <c r="N139">
        <v>26</v>
      </c>
      <c r="O139">
        <v>21</v>
      </c>
      <c r="P139">
        <v>70</v>
      </c>
      <c r="Q139">
        <v>30</v>
      </c>
    </row>
    <row r="140" spans="13:17" x14ac:dyDescent="0.25">
      <c r="M140" s="94" t="s">
        <v>55</v>
      </c>
      <c r="N140">
        <v>26</v>
      </c>
      <c r="O140">
        <v>21</v>
      </c>
      <c r="P140">
        <v>60</v>
      </c>
      <c r="Q140">
        <v>30</v>
      </c>
    </row>
    <row r="141" spans="13:17" x14ac:dyDescent="0.25">
      <c r="M141" s="94" t="s">
        <v>56</v>
      </c>
      <c r="N141">
        <v>26</v>
      </c>
      <c r="O141">
        <v>22</v>
      </c>
      <c r="P141">
        <v>60</v>
      </c>
      <c r="Q141">
        <v>30</v>
      </c>
    </row>
    <row r="142" spans="13:17" x14ac:dyDescent="0.25">
      <c r="M142" s="94" t="s">
        <v>57</v>
      </c>
      <c r="N142">
        <v>26</v>
      </c>
      <c r="O142">
        <v>18</v>
      </c>
      <c r="P142">
        <v>70</v>
      </c>
      <c r="Q142">
        <v>30</v>
      </c>
    </row>
    <row r="143" spans="13:17" x14ac:dyDescent="0.25">
      <c r="M143" s="94" t="s">
        <v>58</v>
      </c>
      <c r="N143">
        <v>26</v>
      </c>
      <c r="O143">
        <v>18</v>
      </c>
      <c r="P143">
        <v>70</v>
      </c>
      <c r="Q143">
        <v>30</v>
      </c>
    </row>
    <row r="144" spans="13:17" x14ac:dyDescent="0.25">
      <c r="M144" s="94" t="s">
        <v>59</v>
      </c>
      <c r="N144">
        <v>28</v>
      </c>
      <c r="O144">
        <v>18</v>
      </c>
      <c r="P144">
        <v>70</v>
      </c>
      <c r="Q144">
        <v>30</v>
      </c>
    </row>
    <row r="145" spans="13:17" x14ac:dyDescent="0.25">
      <c r="M145" s="94" t="s">
        <v>60</v>
      </c>
      <c r="N145">
        <v>30</v>
      </c>
      <c r="O145">
        <v>24</v>
      </c>
      <c r="P145">
        <v>65</v>
      </c>
      <c r="Q145">
        <v>55</v>
      </c>
    </row>
    <row r="219" spans="1:2" x14ac:dyDescent="0.25">
      <c r="A219" t="s">
        <v>768</v>
      </c>
      <c r="B219" t="s">
        <v>769</v>
      </c>
    </row>
    <row r="231" spans="11:11" x14ac:dyDescent="0.25">
      <c r="K231" t="s">
        <v>794</v>
      </c>
    </row>
  </sheetData>
  <sheetProtection algorithmName="SHA-512" hashValue="LWedhsHYEJFaLKHkS9BcDs6ArVQunYFNzxO3u8dCOuALJAt15RN9tWbyZyreFsOd6hP0fGSBkjxAxB6OXIXuwg==" saltValue="JU/5/4E37RKLsYYnI1krEw==" spinCount="100000" sheet="1" objects="1" scenarios="1"/>
  <mergeCells count="1">
    <mergeCell ref="A1:I4"/>
  </mergeCells>
  <pageMargins left="0.59055118110236227" right="0.59055118110236227" top="1.1417322834645669" bottom="1.1417322834645669" header="0.31496062992125984" footer="0.31496062992125984"/>
  <pageSetup paperSize="9" scale="67" orientation="portrait" r:id="rId1"/>
  <headerFooter>
    <oddHeader>&amp;L
_______________________________________________________________________________________________________________________________&amp;R&amp;"Arial,Standard"&amp;9
Kontrolle &amp;A 
Version 05.2022
Seite &amp;P</oddHeader>
    <oddFooter>&amp;R&amp;"Arial,Standard"&amp;9Energiefachstellenkonferenz Zentralschweiz, Geschäftsstelle
c/o Kanton Luzern, Umwelt und Energie (uwe), Libellenrain 15, 6002 Luzern
www.energie-zentralschweiz.ch</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46E37-5EF8-4D4F-AFD5-BD854B609DE9}">
  <sheetPr codeName="Tabelle22">
    <tabColor theme="4" tint="0.59999389629810485"/>
  </sheetPr>
  <dimension ref="A1:AC76"/>
  <sheetViews>
    <sheetView showGridLines="0" zoomScaleNormal="100" zoomScalePageLayoutView="85" workbookViewId="0"/>
  </sheetViews>
  <sheetFormatPr baseColWidth="10" defaultColWidth="10.875" defaultRowHeight="13.5" x14ac:dyDescent="0.2"/>
  <cols>
    <col min="1" max="1" width="3.875" style="3" customWidth="1"/>
    <col min="2" max="4" width="6.625" style="3" customWidth="1"/>
    <col min="5" max="5" width="7.625" style="3" customWidth="1"/>
    <col min="6" max="10" width="6.625" style="3" customWidth="1"/>
    <col min="11" max="11" width="8" style="3" customWidth="1"/>
    <col min="12" max="19" width="6.625" style="3" customWidth="1"/>
    <col min="20" max="20" width="8" style="3" hidden="1" customWidth="1"/>
    <col min="21" max="29" width="10.875" style="3" hidden="1" customWidth="1"/>
    <col min="30" max="16384" width="10.875" style="3"/>
  </cols>
  <sheetData>
    <row r="1" spans="1:18" ht="19.5" customHeight="1" x14ac:dyDescent="0.2"/>
    <row r="2" spans="1:18" s="22" customFormat="1" ht="20.25" x14ac:dyDescent="0.3">
      <c r="A2" s="145" t="s">
        <v>729</v>
      </c>
      <c r="B2" s="6"/>
      <c r="N2" s="119"/>
      <c r="P2" s="23"/>
    </row>
    <row r="3" spans="1:18" s="22" customFormat="1" ht="9.9499999999999993" customHeight="1" x14ac:dyDescent="0.25">
      <c r="A3" s="6"/>
      <c r="B3" s="6"/>
      <c r="N3" s="119"/>
      <c r="P3" s="23"/>
    </row>
    <row r="4" spans="1:18" ht="18.95" customHeight="1" x14ac:dyDescent="0.2">
      <c r="A4" s="338" t="s">
        <v>541</v>
      </c>
      <c r="B4" s="338"/>
      <c r="C4" s="338"/>
      <c r="D4" s="338"/>
      <c r="E4" s="338"/>
      <c r="F4" s="338"/>
      <c r="G4" s="338"/>
      <c r="H4" s="338"/>
      <c r="I4" s="338"/>
      <c r="J4" s="338"/>
      <c r="K4" s="338"/>
      <c r="L4" s="338"/>
      <c r="M4" s="338"/>
      <c r="N4" s="338"/>
      <c r="O4" s="338"/>
      <c r="P4" s="338"/>
      <c r="Q4" s="338"/>
      <c r="R4" s="338"/>
    </row>
    <row r="5" spans="1:18" ht="18.95" customHeight="1" x14ac:dyDescent="0.2">
      <c r="A5" s="338"/>
      <c r="B5" s="338"/>
      <c r="C5" s="338"/>
      <c r="D5" s="338"/>
      <c r="E5" s="338"/>
      <c r="F5" s="338"/>
      <c r="G5" s="338"/>
      <c r="H5" s="338"/>
      <c r="I5" s="338"/>
      <c r="J5" s="338"/>
      <c r="K5" s="338"/>
      <c r="L5" s="338"/>
      <c r="M5" s="338"/>
      <c r="N5" s="338"/>
      <c r="O5" s="338"/>
      <c r="P5" s="338"/>
      <c r="Q5" s="338"/>
      <c r="R5" s="338"/>
    </row>
    <row r="6" spans="1:18" ht="18.95" customHeight="1" x14ac:dyDescent="0.2">
      <c r="A6" s="81" t="s">
        <v>511</v>
      </c>
      <c r="B6" s="81"/>
      <c r="C6" s="141"/>
      <c r="D6" s="141"/>
      <c r="E6" s="81"/>
      <c r="F6" s="234" t="str">
        <f>IF(ISTEXT(Gemeinde),Gemeinde,"")</f>
        <v/>
      </c>
      <c r="G6" s="234"/>
      <c r="H6" s="234"/>
      <c r="I6" s="235"/>
      <c r="J6" s="236"/>
      <c r="K6" s="236"/>
      <c r="L6" s="236"/>
      <c r="M6" s="236"/>
      <c r="N6" s="121"/>
      <c r="O6" s="121"/>
      <c r="P6" s="121"/>
      <c r="Q6" s="121"/>
      <c r="R6" s="121"/>
    </row>
    <row r="7" spans="1:18" ht="18.95" customHeight="1" x14ac:dyDescent="0.2">
      <c r="A7" s="81" t="s">
        <v>512</v>
      </c>
      <c r="B7" s="81"/>
      <c r="C7" s="81"/>
      <c r="D7" s="81"/>
      <c r="E7" s="81"/>
      <c r="F7" s="237" t="str">
        <f>IF(ISTEXT(Bauvorhaben),Bauvorhaben,"")</f>
        <v/>
      </c>
      <c r="G7" s="237"/>
      <c r="H7" s="238"/>
      <c r="I7" s="237"/>
      <c r="J7" s="239"/>
      <c r="K7" s="240"/>
      <c r="L7" s="239"/>
      <c r="M7" s="239"/>
    </row>
    <row r="8" spans="1:18" ht="18.95" customHeight="1" x14ac:dyDescent="0.2">
      <c r="A8" s="81" t="s">
        <v>881</v>
      </c>
      <c r="B8" s="81"/>
      <c r="C8" s="81"/>
      <c r="D8" s="81"/>
      <c r="E8" s="81"/>
      <c r="F8" s="241" t="str">
        <f>IF(ISTEXT(Verfasser1),Verfasser1,"")</f>
        <v/>
      </c>
      <c r="G8" s="241"/>
      <c r="H8" s="241"/>
      <c r="I8" s="241"/>
      <c r="J8" s="241"/>
      <c r="K8" s="241"/>
      <c r="L8" s="241"/>
      <c r="M8" s="241"/>
      <c r="N8" s="128"/>
      <c r="O8" s="128"/>
      <c r="P8" s="128"/>
      <c r="Q8" s="128"/>
    </row>
    <row r="9" spans="1:18" ht="18.600000000000001" customHeight="1" x14ac:dyDescent="0.2">
      <c r="A9" s="81" t="s">
        <v>432</v>
      </c>
      <c r="B9" s="81"/>
      <c r="C9" s="81"/>
      <c r="D9" s="81"/>
      <c r="E9" s="81"/>
      <c r="F9" s="237" t="str">
        <f>IF(ISTEXT(Kontrollbeauftragter),Kontrollbeauftragter,"")</f>
        <v/>
      </c>
      <c r="G9" s="237"/>
      <c r="H9" s="238"/>
      <c r="I9" s="237"/>
      <c r="J9" s="239"/>
      <c r="K9" s="240"/>
      <c r="L9" s="239"/>
      <c r="M9" s="239"/>
    </row>
    <row r="10" spans="1:18" ht="18.95" customHeight="1" x14ac:dyDescent="0.2">
      <c r="A10" s="374" t="s">
        <v>40</v>
      </c>
      <c r="B10" s="374"/>
      <c r="C10" s="374"/>
      <c r="D10" s="81"/>
      <c r="E10" s="81"/>
      <c r="F10" s="375">
        <f ca="1">Datum</f>
        <v>45866</v>
      </c>
      <c r="G10" s="375"/>
      <c r="H10" s="375"/>
      <c r="I10" s="375"/>
      <c r="J10" s="27"/>
      <c r="L10" s="7"/>
      <c r="N10" s="26"/>
    </row>
    <row r="11" spans="1:18" ht="20.100000000000001" customHeight="1" x14ac:dyDescent="0.2">
      <c r="A11" s="3" t="s">
        <v>41</v>
      </c>
      <c r="F11" s="142"/>
      <c r="G11" s="143"/>
      <c r="H11" s="144"/>
      <c r="I11" s="143"/>
      <c r="J11" s="142"/>
      <c r="K11" s="143"/>
      <c r="L11" s="143"/>
      <c r="M11" s="143"/>
      <c r="N11" s="26"/>
    </row>
    <row r="12" spans="1:18" ht="20.100000000000001" customHeight="1" x14ac:dyDescent="0.2">
      <c r="F12" s="376" t="s">
        <v>779</v>
      </c>
      <c r="G12" s="376"/>
      <c r="H12" s="376"/>
      <c r="I12" s="376"/>
      <c r="J12" s="376"/>
      <c r="K12" s="376"/>
      <c r="L12" s="376"/>
      <c r="M12" s="376"/>
      <c r="N12" s="376"/>
      <c r="O12" s="376"/>
      <c r="P12" s="376"/>
      <c r="Q12" s="376"/>
      <c r="R12" s="376"/>
    </row>
    <row r="13" spans="1:18" ht="20.100000000000001" customHeight="1" x14ac:dyDescent="0.2">
      <c r="B13" s="121"/>
      <c r="C13" s="121"/>
      <c r="D13" s="121"/>
      <c r="E13" s="121"/>
      <c r="F13" s="376"/>
      <c r="G13" s="376"/>
      <c r="H13" s="376"/>
      <c r="I13" s="376"/>
      <c r="J13" s="376"/>
      <c r="K13" s="376"/>
      <c r="L13" s="376"/>
      <c r="M13" s="376"/>
      <c r="N13" s="376"/>
      <c r="O13" s="376"/>
      <c r="P13" s="376"/>
      <c r="Q13" s="376"/>
      <c r="R13" s="376"/>
    </row>
    <row r="14" spans="1:18" ht="20.100000000000001" customHeight="1" x14ac:dyDescent="0.2">
      <c r="A14" s="125" t="s">
        <v>536</v>
      </c>
      <c r="B14" s="9"/>
      <c r="C14" s="9"/>
      <c r="D14" s="9"/>
      <c r="E14" s="9"/>
      <c r="F14" s="126"/>
      <c r="G14" s="9"/>
      <c r="H14" s="126"/>
      <c r="I14" s="9"/>
      <c r="J14" s="126"/>
      <c r="K14" s="9"/>
      <c r="L14" s="126"/>
      <c r="M14" s="9"/>
      <c r="N14" s="9"/>
      <c r="O14" s="9"/>
      <c r="P14" s="9"/>
      <c r="Q14" s="9"/>
      <c r="R14" s="9"/>
    </row>
    <row r="15" spans="1:18" ht="19.5" customHeight="1" x14ac:dyDescent="0.2">
      <c r="A15" s="377"/>
      <c r="B15" s="377"/>
      <c r="C15" s="377"/>
      <c r="D15" s="377"/>
      <c r="E15" s="377"/>
      <c r="F15" s="377"/>
      <c r="G15" s="377"/>
      <c r="H15" s="377"/>
      <c r="I15" s="377"/>
      <c r="J15" s="377"/>
      <c r="K15" s="377"/>
      <c r="L15" s="377"/>
      <c r="M15" s="377"/>
      <c r="N15" s="377"/>
      <c r="O15" s="377"/>
      <c r="P15" s="377"/>
      <c r="Q15" s="377"/>
    </row>
    <row r="16" spans="1:18" ht="20.100000000000001" customHeight="1" x14ac:dyDescent="0.2">
      <c r="A16" s="338" t="s">
        <v>544</v>
      </c>
      <c r="B16" s="338"/>
      <c r="C16" s="338"/>
      <c r="D16" s="338"/>
      <c r="E16" s="338"/>
      <c r="F16" s="372" t="str">
        <f>IF(K68,D68,IF(K69,D69,IF(K70,D70,IF(K71,D71,"Fehler"))))</f>
        <v>Energienachweis genehmigt, keine Einwände</v>
      </c>
      <c r="G16" s="372"/>
      <c r="H16" s="372"/>
      <c r="I16" s="372"/>
      <c r="J16" s="372"/>
      <c r="K16" s="372"/>
      <c r="L16" s="372"/>
      <c r="M16" s="372"/>
      <c r="N16" s="135"/>
      <c r="O16" s="135"/>
      <c r="P16" s="135"/>
      <c r="Q16" s="135"/>
    </row>
    <row r="17" spans="1:29" ht="21.6" customHeight="1" x14ac:dyDescent="0.2">
      <c r="A17" s="338"/>
      <c r="B17" s="338"/>
      <c r="C17" s="338"/>
      <c r="D17" s="338"/>
      <c r="E17" s="338"/>
      <c r="F17" s="372"/>
      <c r="G17" s="372"/>
      <c r="H17" s="372"/>
      <c r="I17" s="372"/>
      <c r="J17" s="372"/>
      <c r="K17" s="372"/>
      <c r="L17" s="372"/>
      <c r="M17" s="372"/>
      <c r="N17" s="135"/>
      <c r="O17" s="135"/>
      <c r="P17" s="135"/>
      <c r="Q17" s="135"/>
    </row>
    <row r="18" spans="1:29" ht="20.100000000000001" customHeight="1" x14ac:dyDescent="0.2">
      <c r="A18" s="134"/>
      <c r="B18" s="134"/>
      <c r="C18" s="134"/>
      <c r="D18" s="134"/>
      <c r="E18" s="134"/>
      <c r="F18" s="370"/>
      <c r="G18" s="370"/>
      <c r="H18" s="370"/>
      <c r="I18" s="370"/>
      <c r="J18" s="370"/>
      <c r="K18" s="370"/>
      <c r="L18" s="370"/>
      <c r="M18" s="370"/>
      <c r="N18" s="370"/>
    </row>
    <row r="19" spans="1:29" ht="20.100000000000001" customHeight="1" x14ac:dyDescent="0.2">
      <c r="A19" s="125" t="s">
        <v>535</v>
      </c>
      <c r="B19" s="25"/>
      <c r="C19" s="9"/>
      <c r="D19" s="9"/>
      <c r="E19" s="9"/>
      <c r="F19" s="9"/>
      <c r="G19" s="9"/>
      <c r="H19" s="9"/>
      <c r="I19" s="9"/>
      <c r="J19" s="9"/>
      <c r="K19" s="9"/>
      <c r="L19" s="9"/>
      <c r="M19" s="9"/>
      <c r="N19" s="9"/>
      <c r="O19" s="9"/>
      <c r="P19" s="9"/>
      <c r="Q19" s="9"/>
      <c r="R19" s="9"/>
    </row>
    <row r="20" spans="1:29" ht="19.5" customHeight="1" x14ac:dyDescent="0.2">
      <c r="A20" s="2"/>
      <c r="B20" s="26"/>
      <c r="T20" s="2" t="s">
        <v>774</v>
      </c>
      <c r="Y20" s="2" t="s">
        <v>773</v>
      </c>
    </row>
    <row r="21" spans="1:29" ht="34.5" customHeight="1" x14ac:dyDescent="0.2">
      <c r="A21" s="338" t="s">
        <v>778</v>
      </c>
      <c r="B21" s="338"/>
      <c r="C21" s="338"/>
      <c r="D21" s="338"/>
      <c r="E21" s="338"/>
      <c r="F21" s="338"/>
      <c r="G21" s="338"/>
      <c r="H21" s="338"/>
      <c r="I21" s="338"/>
      <c r="J21" s="338"/>
      <c r="K21" s="338"/>
      <c r="L21" s="338"/>
      <c r="M21" s="338"/>
      <c r="N21" s="338"/>
      <c r="O21" s="338"/>
      <c r="P21" s="338"/>
      <c r="Q21" s="338"/>
      <c r="R21" s="338"/>
      <c r="S21" s="122"/>
      <c r="T21" s="3" t="s">
        <v>108</v>
      </c>
      <c r="U21" s="3" t="s">
        <v>427</v>
      </c>
      <c r="V21" s="3" t="s">
        <v>753</v>
      </c>
      <c r="W21" s="3" t="s">
        <v>754</v>
      </c>
      <c r="X21" s="3" t="s">
        <v>922</v>
      </c>
      <c r="Y21" s="3" t="s">
        <v>108</v>
      </c>
      <c r="Z21" s="3" t="s">
        <v>427</v>
      </c>
      <c r="AA21" s="3" t="s">
        <v>753</v>
      </c>
      <c r="AB21" s="3" t="s">
        <v>754</v>
      </c>
      <c r="AC21" s="3" t="s">
        <v>922</v>
      </c>
    </row>
    <row r="22" spans="1:29" ht="19.5" customHeight="1" x14ac:dyDescent="0.2">
      <c r="A22" s="139" t="str">
        <f>IF('EN-Kt.'!AC103=0,"-",INDEX(T22:Y22,1,MATCH(Kanton,$T$21:$Y$21,0)))</f>
        <v>-</v>
      </c>
      <c r="B22" s="124"/>
      <c r="C22" s="81"/>
      <c r="D22" s="81"/>
      <c r="E22" s="81"/>
      <c r="F22" s="371" t="str">
        <f>IF('EN-Kt.'!AC103=0,"-",INDEX(Y22:AC22,1,MATCH(Kanton,$Y$21:$AC$21,0)))</f>
        <v>-</v>
      </c>
      <c r="G22" s="371"/>
      <c r="H22" s="371"/>
      <c r="I22" s="371"/>
      <c r="J22" s="371"/>
      <c r="K22" s="371"/>
      <c r="L22" s="371"/>
      <c r="M22" s="371"/>
      <c r="T22" s="3" t="s">
        <v>845</v>
      </c>
      <c r="U22" s="3" t="s">
        <v>845</v>
      </c>
      <c r="V22" s="3" t="s">
        <v>845</v>
      </c>
      <c r="W22" s="3" t="s">
        <v>845</v>
      </c>
      <c r="X22" s="3" t="s">
        <v>845</v>
      </c>
      <c r="Y22" s="3" t="s">
        <v>513</v>
      </c>
      <c r="Z22" s="3" t="s">
        <v>775</v>
      </c>
      <c r="AA22" s="3" t="s">
        <v>775</v>
      </c>
      <c r="AB22" s="3" t="s">
        <v>775</v>
      </c>
      <c r="AC22" s="3" t="s">
        <v>513</v>
      </c>
    </row>
    <row r="23" spans="1:29" ht="1.5" customHeight="1" x14ac:dyDescent="0.2">
      <c r="A23" s="139"/>
      <c r="B23" s="124"/>
      <c r="C23" s="81"/>
      <c r="D23" s="81"/>
      <c r="E23" s="81"/>
      <c r="F23" s="181"/>
      <c r="G23" s="181"/>
      <c r="H23" s="181"/>
      <c r="I23" s="181"/>
      <c r="J23" s="181"/>
      <c r="K23" s="181"/>
      <c r="L23" s="181"/>
    </row>
    <row r="24" spans="1:29" ht="19.5" customHeight="1" x14ac:dyDescent="0.2">
      <c r="A24" s="139" t="str">
        <f>IF('EN-Kt.'!AC103=0,"-",INDEX(T24:X24,1,MATCH(Kanton,$T$21:$X$21,0)))</f>
        <v>-</v>
      </c>
      <c r="B24" s="124"/>
      <c r="C24" s="81"/>
      <c r="D24" s="81"/>
      <c r="E24" s="81"/>
      <c r="F24" s="371" t="str">
        <f>IF('EN-Kt.'!AC103=0,"-",INDEX(Y24:AC24,1,MATCH(Kanton,$Y$21:$AC$21,0)))</f>
        <v>-</v>
      </c>
      <c r="G24" s="371"/>
      <c r="H24" s="371"/>
      <c r="I24" s="371"/>
      <c r="J24" s="371"/>
      <c r="K24" s="371"/>
      <c r="L24" s="371"/>
      <c r="M24" s="371"/>
      <c r="T24" s="3" t="s">
        <v>846</v>
      </c>
      <c r="U24" s="3" t="s">
        <v>846</v>
      </c>
      <c r="V24" s="3" t="s">
        <v>888</v>
      </c>
      <c r="W24" s="3" t="s">
        <v>847</v>
      </c>
      <c r="X24" s="3" t="str">
        <f>IF(AND('EN-120-ZG'!H25="x",'EN-Kt.'!F23="x"),"Biogaszertifikat:","GEAK-Zertifikat:")</f>
        <v>GEAK-Zertifikat:</v>
      </c>
      <c r="Y24" s="3" t="str">
        <f>IF('EN-Kt.'!AB13="x","Erforderlich","Nicht erforderlich")</f>
        <v>Nicht erforderlich</v>
      </c>
      <c r="Z24" s="3" t="s">
        <v>776</v>
      </c>
      <c r="AA24" s="3" t="str">
        <f>IF(Heizungsersatz_GEAK="x","GEAK® mit Gesamtenergieeffizienzklasse D oder besser","Nicht erforderlich")</f>
        <v>Nicht erforderlich</v>
      </c>
      <c r="AB24" s="3" t="str">
        <f>IF(SZBiogas,"Erforderlich: Bezugsvereinbarung und jährliche Zertifikate","Nicht erforderlich")</f>
        <v>Nicht erforderlich</v>
      </c>
      <c r="AC24" s="3" t="str">
        <f>IF(AND('EN-Kt.'!F23="x",'EN-120-ZG'!H25="x"),"Erforderlich: Bezugsvereinbarung 40% Biogas über 20 Jahre",IF(AND('EN-Kt.'!F23="x",'EN-120-ZG'!Heizungsersatz_GEAK="x"),"Erforderlich: Gesamtenergieeffizienzklasse C oder besser","Nicht erfoderlich"))</f>
        <v>Nicht erfoderlich</v>
      </c>
    </row>
    <row r="25" spans="1:29" ht="1.5" customHeight="1" x14ac:dyDescent="0.2">
      <c r="A25" s="139"/>
      <c r="B25" s="124"/>
      <c r="C25" s="81"/>
      <c r="D25" s="81"/>
      <c r="E25" s="81"/>
      <c r="F25" s="139"/>
      <c r="G25" s="139"/>
      <c r="H25" s="139"/>
      <c r="I25" s="139"/>
      <c r="J25" s="139"/>
      <c r="K25" s="139"/>
      <c r="L25" s="139"/>
    </row>
    <row r="26" spans="1:29" ht="19.5" customHeight="1" x14ac:dyDescent="0.2">
      <c r="A26" s="139" t="str">
        <f>IF('EN-Kt.'!AC103=0,"-",INDEX(T26:Y26,1,MATCH(Kanton,$T$21:$Y$21,0)))</f>
        <v>-</v>
      </c>
      <c r="B26" s="81"/>
      <c r="C26" s="81"/>
      <c r="D26" s="81"/>
      <c r="E26" s="81"/>
      <c r="F26" s="371" t="str">
        <f>IF('EN-Kt.'!AC103=0,"-",INDEX(Y26:AC26,1,MATCH(Kanton,$Y$21:$AC$21,0)))</f>
        <v>-</v>
      </c>
      <c r="G26" s="371"/>
      <c r="H26" s="371"/>
      <c r="I26" s="371"/>
      <c r="J26" s="371"/>
      <c r="K26" s="371"/>
      <c r="L26" s="371"/>
      <c r="M26" s="371"/>
      <c r="T26" s="81" t="s">
        <v>751</v>
      </c>
      <c r="U26" s="81" t="s">
        <v>751</v>
      </c>
      <c r="V26" s="81" t="s">
        <v>751</v>
      </c>
      <c r="W26" s="81" t="s">
        <v>751</v>
      </c>
      <c r="X26" s="81" t="str">
        <f>IF(AND('EN-120-ZG'!F48="x",'EN-120-ZG'!B17=3),"Fernwärme:","MINERGIE®-Zertifikat:")</f>
        <v>MINERGIE®-Zertifikat:</v>
      </c>
      <c r="Y26" s="3" t="str">
        <f>IF('EN-Kt.'!F31="Minergie-Zertifikat","Erforderlich  (EN101-111 entfallen)","Nicht erforderlich")</f>
        <v>Nicht erforderlich</v>
      </c>
      <c r="Z26" s="3" t="str">
        <f>IF('EN-Kt.'!F31="Minergie-Zertifikat","Erforderlich  (EN101-111 entfallen)","Nicht erforderlich")</f>
        <v>Nicht erforderlich</v>
      </c>
      <c r="AA26" s="3" t="str">
        <f>IF('EN-Kt.'!F31="Minergie-Zertifikat","Erforderlich  (EN101-111 entfallen)","Nicht erforderlich")</f>
        <v>Nicht erforderlich</v>
      </c>
      <c r="AB26" s="3" t="str">
        <f>IF('EN-Kt.'!F31="Minergie-Zertifikat","Erforderlich: Def. Zertifikat nach Bauvollendung","Nicht erforderlich")</f>
        <v>Nicht erforderlich</v>
      </c>
      <c r="AC26" s="3" t="str">
        <f>IF(AND('EN-120-ZG'!F48="x",'EN-120-ZG'!B17=3),"Erforderlich: Anschlussvertrag Fernwärme",IF('EN-Kt.'!F31="Minergie-Zertifikat","Erforderlich: Def. Zertifikat nach Bauvollendung",IF(AND('EN-Kt.'!F23="x",'EN-120-ZG'!H21="x"),"Erforderlich: Erneute Zertifizierung nach Wärmeerzeugerersatz","Nicht erforderlich")))</f>
        <v>Nicht erforderlich</v>
      </c>
    </row>
    <row r="27" spans="1:29" ht="1.5" customHeight="1" x14ac:dyDescent="0.2">
      <c r="A27" s="81"/>
      <c r="B27" s="81"/>
      <c r="C27" s="81"/>
      <c r="D27" s="81"/>
      <c r="E27" s="81"/>
      <c r="F27" s="139"/>
      <c r="G27" s="139"/>
      <c r="H27" s="139"/>
      <c r="I27" s="139"/>
      <c r="J27" s="139"/>
      <c r="K27" s="139"/>
      <c r="L27" s="139"/>
    </row>
    <row r="28" spans="1:29" ht="19.5" customHeight="1" x14ac:dyDescent="0.2">
      <c r="A28" s="139" t="str">
        <f>IF('EN-Kt.'!AC103=0,"-",INDEX(T28:Y28,1,MATCH(Kanton,$T$21:$Y$21,0)))</f>
        <v>-</v>
      </c>
      <c r="B28" s="81"/>
      <c r="C28" s="81"/>
      <c r="D28" s="81"/>
      <c r="E28" s="81"/>
      <c r="F28" s="371" t="str">
        <f>IF('EN-Kt.'!AC103=0,"-",INDEX(Y28:AC28,1,MATCH(Kanton,$Y$21:$AC$21,0)))</f>
        <v>-</v>
      </c>
      <c r="G28" s="371"/>
      <c r="H28" s="371"/>
      <c r="I28" s="371"/>
      <c r="J28" s="371"/>
      <c r="K28" s="371"/>
      <c r="L28" s="371"/>
      <c r="M28" s="371"/>
      <c r="T28" s="81" t="s">
        <v>777</v>
      </c>
      <c r="U28" s="81" t="s">
        <v>777</v>
      </c>
      <c r="V28" s="81" t="s">
        <v>777</v>
      </c>
      <c r="W28" s="81" t="s">
        <v>777</v>
      </c>
      <c r="X28" s="81" t="s">
        <v>777</v>
      </c>
      <c r="Y28" s="3" t="str">
        <f>IF('EN-Kt.'!F23="x", "Meldung erforderlich: www.energiemeldungen.lu.ch","Nicht erforderlich")</f>
        <v>Nicht erforderlich</v>
      </c>
      <c r="Z28" s="3" t="str">
        <f>IF('EN-Kt.'!F23="x", "Nachweispflichtig gem. GDB 710.112 Art 1","Nicht erforderlich")</f>
        <v>Nicht erforderlich</v>
      </c>
      <c r="AA28" s="3" t="str">
        <f>IF('EN-Kt.'!F23="x", "Bewilligungspflichtig gem. KEnG §14b","Nicht erforderlich")</f>
        <v>Nicht erforderlich</v>
      </c>
      <c r="AB28" s="3" t="str">
        <f>IF('EN-Kt.'!F23="x", "Bewilligungspflicht im Meldeverfahren (KEnG § 8b)","Nicht erforderlich")</f>
        <v>Nicht erforderlich</v>
      </c>
      <c r="AC28" s="3" t="str">
        <f>IF(AND('EN-Kt.'!F23="x",'EN-Kt.'!F23="x"), "Bauanzeige gem. EnG-ZG KEnG § 4c","Nicht erforderlich")</f>
        <v>Nicht erforderlich</v>
      </c>
    </row>
    <row r="29" spans="1:29" ht="1.5" customHeight="1" x14ac:dyDescent="0.2">
      <c r="A29" s="81"/>
      <c r="B29" s="81"/>
      <c r="C29" s="81"/>
      <c r="D29" s="81"/>
      <c r="E29" s="81"/>
      <c r="F29" s="139"/>
      <c r="G29" s="139"/>
      <c r="H29" s="139"/>
      <c r="I29" s="139"/>
      <c r="J29" s="139"/>
      <c r="K29" s="139"/>
      <c r="L29" s="139"/>
    </row>
    <row r="30" spans="1:29" ht="30" customHeight="1" x14ac:dyDescent="0.2">
      <c r="A30" s="369" t="str">
        <f>IF('EN-Kt.'!AC103=0,"-",INDEX(T30:Y30,1,MATCH(Kanton,$T$21:$Y$21,0)))</f>
        <v>-</v>
      </c>
      <c r="B30" s="369"/>
      <c r="C30" s="369"/>
      <c r="D30" s="369"/>
      <c r="E30" s="369"/>
      <c r="F30" s="371" t="str">
        <f>IF('EN-Kt.'!AC103=0,"-",INDEX(Y30:AC30,1,MATCH(Kanton,$Y$21:$AC$21,0)))</f>
        <v>-</v>
      </c>
      <c r="G30" s="371"/>
      <c r="H30" s="371"/>
      <c r="I30" s="371"/>
      <c r="J30" s="371"/>
      <c r="K30" s="371"/>
      <c r="L30" s="371"/>
      <c r="M30" s="371"/>
      <c r="N30" s="373" t="str">
        <f>IF(AND(Kanton="Luzern",OR('EN-Kt.'!F15="x",AND('EN-Kt.'!F25="x",'EN-Kt.'!F17="x"),'EN-Kt.'!F19="x"),NOT('EN-Kt.'!V27="x"),PVErsatzabgabe_204_LU="x"),"**Unverbindlich: Details im EN-Formular EN-204-LU und Prüfformular EN-204-LU",IF(OR(PVErsatzabgabe_104,PVErsatzabgabe_EN101c),"**Unverbindlich: Details im Prüfformular EN-104 oder EN-101c",""))</f>
        <v/>
      </c>
      <c r="O30" s="373"/>
      <c r="P30" s="373"/>
      <c r="Q30" s="373"/>
      <c r="R30" s="373"/>
      <c r="T30" s="233" t="s">
        <v>534</v>
      </c>
      <c r="U30" s="233" t="s">
        <v>534</v>
      </c>
      <c r="V30" s="233" t="s">
        <v>534</v>
      </c>
      <c r="W30" s="233" t="s">
        <v>844</v>
      </c>
      <c r="X30" s="233" t="s">
        <v>534</v>
      </c>
      <c r="Y30" s="3" t="str">
        <f>IF(AND(Kanton="Luzern",OR('EN-Kt.'!F15="x",AND('EN-Kt.'!F25="x",'EN-Kt.'!F17="x"),'EN-Kt.'!F19="x"),NOT('EN-Kt.'!V27="x"),OR(PVErsatzabgabe_204_LU="x",'EN-204-LU'!F43="x")),CONCATENATE("Erforderlich: CHF ",TEXT(PVCHFErsatzabgabe_204_LU,"#'##0.00"), "**"),IF(OR(PVErsatzabgabe_104,PVErsatzabgabe_EN101c),CONCATENATE("Erforderlich: CHF ",TEXT(PVCHFErsatzabgabe_104,"#'##0.00"),"**"),"Nicht erforderlich"))</f>
        <v>Nicht erforderlich</v>
      </c>
      <c r="Z30" s="3" t="str">
        <f>IF(OR(PVErsatzabgabe_104,PVErsatzabgabe_EN101c),CONCATENATE("Erforderlich: CHF ",TEXT(PVCHFErsatzabgabe_104,"#'##0.00"),"**"),"Nicht erforderlich")</f>
        <v>Nicht erforderlich</v>
      </c>
      <c r="AA30" s="3" t="str">
        <f>IF(NW_PVBeteiligung="x","Gemeinschaftsanlage: Prüfen und Eintrag im Grundbuch",IF(OR(PVErsatzabgabe_104,PVErsatzabgabe_EN101c),CONCATENATE("Erforderlich: CHF ",TEXT(PVCHFErsatzabgabe_104,"#'##0.00"),"**"),"Nicht erforderlich"))</f>
        <v>Nicht erforderlich</v>
      </c>
      <c r="AB30" s="3" t="str">
        <f>IF(OR(PVErsatzabgabe_104,PVErsatzabgabe_EN101c),"Prüfung erforderlich","Nicht erforderlich")</f>
        <v>Nicht erforderlich</v>
      </c>
      <c r="AC30" s="3" t="str">
        <f>IF(OR(PVErsatzabgabe_104,PVErsatzabgabe_EN101c),CONCATENATE("Erforderlich: CHF ",TEXT(PVCHFErsatzabgabe_104,"#'##0.00"),"**"),"Nicht erforderlich")</f>
        <v>Nicht erforderlich</v>
      </c>
    </row>
    <row r="31" spans="1:29" ht="1.5" customHeight="1" x14ac:dyDescent="0.2">
      <c r="A31" s="136"/>
      <c r="B31" s="136"/>
      <c r="C31" s="136"/>
      <c r="D31" s="136"/>
      <c r="E31" s="136"/>
      <c r="F31" s="140"/>
      <c r="G31" s="140"/>
      <c r="H31" s="140"/>
      <c r="I31" s="140"/>
      <c r="J31" s="140"/>
      <c r="K31" s="140"/>
      <c r="L31" s="140"/>
    </row>
    <row r="32" spans="1:29" ht="19.5" customHeight="1" x14ac:dyDescent="0.2">
      <c r="A32" s="369" t="str">
        <f>IF('EN-Kt.'!AC103=0,"-",INDEX(T32:Y32,1,MATCH(Kanton,$T$21:$Y$21,0)))</f>
        <v>-</v>
      </c>
      <c r="B32" s="369"/>
      <c r="C32" s="369"/>
      <c r="D32" s="369"/>
      <c r="E32" s="369"/>
      <c r="F32" s="371" t="str">
        <f>IF('EN-Kt.'!AC103=0,"-",INDEX(Y32:AC32,1,MATCH(Kanton,$Y$21:$AC$21,0)))</f>
        <v>-</v>
      </c>
      <c r="G32" s="371"/>
      <c r="H32" s="371"/>
      <c r="I32" s="371"/>
      <c r="J32" s="371"/>
      <c r="K32" s="371"/>
      <c r="L32" s="371"/>
      <c r="M32" s="371"/>
      <c r="N32" s="259"/>
      <c r="O32" s="259"/>
      <c r="P32" s="259"/>
      <c r="Q32" s="259"/>
      <c r="R32" s="128"/>
      <c r="S32" s="128"/>
      <c r="T32" s="3" t="s">
        <v>848</v>
      </c>
      <c r="U32" s="3" t="s">
        <v>848</v>
      </c>
      <c r="V32" s="3" t="s">
        <v>848</v>
      </c>
      <c r="W32" s="3" t="s">
        <v>848</v>
      </c>
      <c r="X32" s="3" t="s">
        <v>848</v>
      </c>
      <c r="Y32" s="3" t="str">
        <f>IF(WeitereAuflagen="x","Erforderlich: Siehe Kommentare Seite 3.","Nicht erforderlich")</f>
        <v>Nicht erforderlich</v>
      </c>
      <c r="Z32" s="3" t="str">
        <f>IF(WeitereAuflagen="x","Erforderlich: Siehe Kommentare Seite 3.","Nicht erforderlich")</f>
        <v>Nicht erforderlich</v>
      </c>
      <c r="AA32" s="3" t="str">
        <f>IF(WeitereAuflagen="x","Erforderlich: Siehe Kommentare Seite 3.","Nicht erforderlich")</f>
        <v>Nicht erforderlich</v>
      </c>
      <c r="AB32" s="3" t="str">
        <f>IF(WeitereAuflagen="x","Erforderlich: Siehe Kommentare Seite 3.","Nicht erforderlich")</f>
        <v>Nicht erforderlich</v>
      </c>
      <c r="AC32" s="3" t="str">
        <f>IF(WeitereAuflagen="x","Erforderlich: Siehe Kommentare Seite 3.","Nicht erforderlich")</f>
        <v>Nicht erforderlich</v>
      </c>
    </row>
    <row r="33" spans="1:27" ht="19.5" customHeight="1" x14ac:dyDescent="0.2">
      <c r="A33" s="233"/>
      <c r="B33" s="233"/>
      <c r="C33" s="233"/>
      <c r="D33" s="233"/>
      <c r="E33" s="233"/>
      <c r="F33" s="259"/>
      <c r="G33" s="259"/>
      <c r="H33" s="259"/>
      <c r="I33" s="259"/>
      <c r="J33" s="259"/>
      <c r="K33" s="259"/>
      <c r="L33" s="259"/>
      <c r="M33" s="259"/>
      <c r="N33" s="259"/>
      <c r="P33" s="259"/>
      <c r="Q33" s="259"/>
      <c r="R33" s="128"/>
      <c r="S33" s="128"/>
      <c r="T33" s="51"/>
      <c r="AA33" s="51"/>
    </row>
    <row r="34" spans="1:27" ht="18.95" customHeight="1" x14ac:dyDescent="0.2">
      <c r="A34" s="125" t="s">
        <v>537</v>
      </c>
      <c r="B34" s="127"/>
      <c r="C34" s="9"/>
      <c r="D34" s="125" t="str">
        <f>IF(Kanton="Nidwalden","(GemDat)","")</f>
        <v/>
      </c>
      <c r="E34" s="9"/>
      <c r="F34" s="9"/>
      <c r="G34" s="9"/>
      <c r="H34" s="9"/>
      <c r="I34" s="9"/>
      <c r="J34" s="9"/>
      <c r="K34" s="9"/>
      <c r="L34" s="9"/>
      <c r="M34" s="9"/>
      <c r="N34" s="9"/>
      <c r="O34" s="9"/>
      <c r="P34" s="9"/>
      <c r="Q34" s="9"/>
      <c r="R34" s="9"/>
    </row>
    <row r="35" spans="1:27" ht="19.5" customHeight="1" x14ac:dyDescent="0.2">
      <c r="A35" s="146"/>
      <c r="B35" s="147"/>
      <c r="C35" s="138"/>
      <c r="D35" s="138"/>
      <c r="E35" s="138"/>
      <c r="F35" s="138"/>
      <c r="G35" s="138"/>
      <c r="H35" s="138"/>
      <c r="I35" s="138"/>
      <c r="J35" s="138"/>
      <c r="K35" s="138"/>
      <c r="L35" s="138"/>
      <c r="M35" s="138"/>
      <c r="N35" s="138"/>
      <c r="O35" s="138"/>
      <c r="P35" s="138"/>
      <c r="Q35" s="138"/>
      <c r="R35" s="138"/>
    </row>
    <row r="36" spans="1:27" ht="20.100000000000001" customHeight="1" x14ac:dyDescent="0.2">
      <c r="A36" s="338" t="s">
        <v>532</v>
      </c>
      <c r="B36" s="339"/>
      <c r="C36" s="339"/>
      <c r="D36" s="339"/>
      <c r="E36" s="339"/>
      <c r="F36" s="339"/>
      <c r="G36" s="339"/>
      <c r="H36" s="339"/>
      <c r="I36" s="339"/>
      <c r="J36" s="339"/>
      <c r="K36" s="339"/>
      <c r="L36" s="339"/>
      <c r="M36" s="339"/>
      <c r="N36" s="339"/>
      <c r="O36" s="339"/>
      <c r="P36" s="339"/>
      <c r="Q36" s="339"/>
      <c r="R36" s="339"/>
    </row>
    <row r="37" spans="1:27" ht="20.100000000000001" customHeight="1" x14ac:dyDescent="0.2">
      <c r="A37" s="339"/>
      <c r="B37" s="339"/>
      <c r="C37" s="339"/>
      <c r="D37" s="339"/>
      <c r="E37" s="339"/>
      <c r="F37" s="339"/>
      <c r="G37" s="339"/>
      <c r="H37" s="339"/>
      <c r="I37" s="339"/>
      <c r="J37" s="339"/>
      <c r="K37" s="339"/>
      <c r="L37" s="339"/>
      <c r="M37" s="339"/>
      <c r="N37" s="339"/>
      <c r="O37" s="339"/>
      <c r="P37" s="339"/>
      <c r="Q37" s="339"/>
      <c r="R37" s="339"/>
    </row>
    <row r="38" spans="1:27" ht="29.25" customHeight="1" x14ac:dyDescent="0.2">
      <c r="A38" s="339"/>
      <c r="B38" s="339"/>
      <c r="C38" s="339"/>
      <c r="D38" s="339"/>
      <c r="E38" s="339"/>
      <c r="F38" s="339"/>
      <c r="G38" s="339"/>
      <c r="H38" s="339"/>
      <c r="I38" s="339"/>
      <c r="J38" s="339"/>
      <c r="K38" s="339"/>
      <c r="L38" s="339"/>
      <c r="M38" s="339"/>
      <c r="N38" s="339"/>
      <c r="O38" s="339"/>
      <c r="P38" s="339"/>
      <c r="Q38" s="339"/>
      <c r="R38" s="339"/>
    </row>
    <row r="39" spans="1:27" ht="20.100000000000001" customHeight="1" x14ac:dyDescent="0.2">
      <c r="A39" s="81" t="s">
        <v>524</v>
      </c>
      <c r="B39" s="123"/>
      <c r="C39" s="81"/>
      <c r="D39" s="81"/>
      <c r="E39" s="81"/>
      <c r="F39" s="367" t="str">
        <f>GWAERZH1</f>
        <v>-</v>
      </c>
      <c r="G39" s="367"/>
      <c r="H39" s="367"/>
      <c r="I39" s="367"/>
      <c r="J39" s="367"/>
      <c r="K39" s="367"/>
      <c r="L39" s="367"/>
      <c r="M39" s="81"/>
      <c r="N39" s="366" t="s">
        <v>516</v>
      </c>
      <c r="O39" s="366"/>
    </row>
    <row r="40" spans="1:27" ht="2.1" customHeight="1" x14ac:dyDescent="0.2">
      <c r="A40" s="81"/>
      <c r="B40" s="123"/>
      <c r="C40" s="81"/>
      <c r="D40" s="81"/>
      <c r="E40" s="81"/>
      <c r="F40" s="207"/>
      <c r="G40" s="207"/>
      <c r="H40" s="207"/>
      <c r="I40" s="207"/>
      <c r="J40" s="207"/>
      <c r="K40" s="207"/>
      <c r="L40" s="207"/>
      <c r="M40" s="81"/>
      <c r="N40" s="216"/>
      <c r="O40" s="216"/>
    </row>
    <row r="41" spans="1:27" ht="20.100000000000001" customHeight="1" x14ac:dyDescent="0.2">
      <c r="A41" s="81" t="s">
        <v>525</v>
      </c>
      <c r="B41" s="123"/>
      <c r="C41" s="81"/>
      <c r="D41" s="81"/>
      <c r="E41" s="81"/>
      <c r="F41" s="367" t="str">
        <f>GWAERZH2</f>
        <v>-</v>
      </c>
      <c r="G41" s="367"/>
      <c r="H41" s="367"/>
      <c r="I41" s="367"/>
      <c r="J41" s="367"/>
      <c r="K41" s="367"/>
      <c r="L41" s="367"/>
      <c r="M41" s="81"/>
      <c r="N41" s="366" t="s">
        <v>517</v>
      </c>
      <c r="O41" s="366"/>
    </row>
    <row r="42" spans="1:27" ht="2.1" customHeight="1" x14ac:dyDescent="0.2">
      <c r="A42" s="81"/>
      <c r="B42" s="123"/>
      <c r="C42" s="81"/>
      <c r="D42" s="81"/>
      <c r="E42" s="81"/>
      <c r="F42" s="207"/>
      <c r="G42" s="207"/>
      <c r="H42" s="207"/>
      <c r="I42" s="207"/>
      <c r="J42" s="207"/>
      <c r="K42" s="207"/>
      <c r="L42" s="207"/>
      <c r="M42" s="81"/>
      <c r="N42" s="216"/>
      <c r="O42" s="216"/>
    </row>
    <row r="43" spans="1:27" ht="20.100000000000001" customHeight="1" x14ac:dyDescent="0.2">
      <c r="A43" s="81" t="s">
        <v>526</v>
      </c>
      <c r="B43" s="123"/>
      <c r="C43" s="81"/>
      <c r="D43" s="81"/>
      <c r="E43" s="81"/>
      <c r="F43" s="367" t="str">
        <f>GENH1</f>
        <v>-</v>
      </c>
      <c r="G43" s="367"/>
      <c r="H43" s="367"/>
      <c r="I43" s="367"/>
      <c r="J43" s="367"/>
      <c r="K43" s="367"/>
      <c r="L43" s="367"/>
      <c r="M43" s="81"/>
      <c r="N43" s="366" t="s">
        <v>518</v>
      </c>
      <c r="O43" s="366"/>
    </row>
    <row r="44" spans="1:27" ht="2.1" customHeight="1" x14ac:dyDescent="0.2">
      <c r="A44" s="81"/>
      <c r="B44" s="123"/>
      <c r="C44" s="81"/>
      <c r="D44" s="81"/>
      <c r="E44" s="81"/>
      <c r="F44" s="207"/>
      <c r="G44" s="207"/>
      <c r="H44" s="207"/>
      <c r="I44" s="207"/>
      <c r="J44" s="207"/>
      <c r="K44" s="207"/>
      <c r="L44" s="207"/>
      <c r="M44" s="81"/>
      <c r="N44" s="216"/>
      <c r="O44" s="216"/>
    </row>
    <row r="45" spans="1:27" ht="20.100000000000001" customHeight="1" x14ac:dyDescent="0.2">
      <c r="A45" s="81" t="s">
        <v>527</v>
      </c>
      <c r="B45" s="26"/>
      <c r="C45" s="81"/>
      <c r="D45" s="81"/>
      <c r="E45" s="81"/>
      <c r="F45" s="367" t="str">
        <f>GENH2</f>
        <v>-</v>
      </c>
      <c r="G45" s="367"/>
      <c r="H45" s="367"/>
      <c r="I45" s="367"/>
      <c r="J45" s="367"/>
      <c r="K45" s="367"/>
      <c r="L45" s="367"/>
      <c r="M45" s="81"/>
      <c r="N45" s="366" t="s">
        <v>519</v>
      </c>
      <c r="O45" s="366"/>
    </row>
    <row r="46" spans="1:27" ht="2.1" customHeight="1" x14ac:dyDescent="0.2">
      <c r="A46" s="81"/>
      <c r="B46" s="26"/>
      <c r="C46" s="81"/>
      <c r="D46" s="81"/>
      <c r="E46" s="81"/>
      <c r="F46" s="207"/>
      <c r="G46" s="207"/>
      <c r="H46" s="207"/>
      <c r="I46" s="207"/>
      <c r="J46" s="207"/>
      <c r="K46" s="207"/>
      <c r="L46" s="207"/>
      <c r="M46" s="81"/>
      <c r="N46" s="366"/>
      <c r="O46" s="366"/>
    </row>
    <row r="47" spans="1:27" ht="20.100000000000001" customHeight="1" x14ac:dyDescent="0.2">
      <c r="A47" s="81" t="s">
        <v>528</v>
      </c>
      <c r="B47" s="26"/>
      <c r="C47" s="81"/>
      <c r="D47" s="81"/>
      <c r="E47" s="81"/>
      <c r="F47" s="367" t="str">
        <f>GWAERZW1</f>
        <v>-</v>
      </c>
      <c r="G47" s="367"/>
      <c r="H47" s="367"/>
      <c r="I47" s="367"/>
      <c r="J47" s="367"/>
      <c r="K47" s="367"/>
      <c r="L47" s="367"/>
      <c r="M47" s="81"/>
      <c r="N47" s="366" t="s">
        <v>520</v>
      </c>
      <c r="O47" s="366"/>
    </row>
    <row r="48" spans="1:27" ht="2.1" customHeight="1" x14ac:dyDescent="0.2">
      <c r="A48" s="81"/>
      <c r="B48" s="26"/>
      <c r="C48" s="81"/>
      <c r="D48" s="81"/>
      <c r="E48" s="81"/>
      <c r="F48" s="207"/>
      <c r="G48" s="207"/>
      <c r="H48" s="207"/>
      <c r="I48" s="207"/>
      <c r="J48" s="207"/>
      <c r="K48" s="207"/>
      <c r="L48" s="207"/>
      <c r="M48" s="81"/>
      <c r="N48" s="366"/>
      <c r="O48" s="366"/>
    </row>
    <row r="49" spans="1:18" ht="20.100000000000001" customHeight="1" x14ac:dyDescent="0.2">
      <c r="A49" s="81" t="s">
        <v>529</v>
      </c>
      <c r="B49" s="26"/>
      <c r="C49" s="81"/>
      <c r="D49" s="81"/>
      <c r="E49" s="81"/>
      <c r="F49" s="367" t="str">
        <f>GWAERZW2</f>
        <v>-</v>
      </c>
      <c r="G49" s="367"/>
      <c r="H49" s="367"/>
      <c r="I49" s="367"/>
      <c r="J49" s="367"/>
      <c r="K49" s="367"/>
      <c r="L49" s="367"/>
      <c r="M49" s="81"/>
      <c r="N49" s="366" t="s">
        <v>521</v>
      </c>
      <c r="O49" s="366"/>
    </row>
    <row r="50" spans="1:18" ht="2.1" customHeight="1" x14ac:dyDescent="0.2">
      <c r="A50" s="81"/>
      <c r="B50" s="26"/>
      <c r="C50" s="81"/>
      <c r="D50" s="81"/>
      <c r="E50" s="81"/>
      <c r="F50" s="207"/>
      <c r="G50" s="207"/>
      <c r="H50" s="207"/>
      <c r="I50" s="207"/>
      <c r="J50" s="207"/>
      <c r="K50" s="207"/>
      <c r="L50" s="207"/>
      <c r="M50" s="81"/>
      <c r="N50" s="216"/>
      <c r="O50" s="216"/>
    </row>
    <row r="51" spans="1:18" ht="20.100000000000001" customHeight="1" x14ac:dyDescent="0.2">
      <c r="A51" s="81" t="s">
        <v>530</v>
      </c>
      <c r="B51" s="26"/>
      <c r="C51" s="81"/>
      <c r="D51" s="81"/>
      <c r="E51" s="81"/>
      <c r="F51" s="367" t="str">
        <f>GENW1</f>
        <v>-</v>
      </c>
      <c r="G51" s="367"/>
      <c r="H51" s="367"/>
      <c r="I51" s="367"/>
      <c r="J51" s="367"/>
      <c r="K51" s="367"/>
      <c r="L51" s="367"/>
      <c r="M51" s="81"/>
      <c r="N51" s="366" t="s">
        <v>522</v>
      </c>
      <c r="O51" s="366"/>
    </row>
    <row r="52" spans="1:18" ht="2.1" customHeight="1" x14ac:dyDescent="0.2">
      <c r="A52" s="81"/>
      <c r="B52" s="26"/>
      <c r="C52" s="81"/>
      <c r="D52" s="81"/>
      <c r="E52" s="81"/>
      <c r="F52" s="207"/>
      <c r="G52" s="207"/>
      <c r="H52" s="207"/>
      <c r="I52" s="207"/>
      <c r="J52" s="207"/>
      <c r="K52" s="207"/>
      <c r="L52" s="207"/>
      <c r="M52" s="81"/>
      <c r="N52" s="366"/>
      <c r="O52" s="366"/>
    </row>
    <row r="53" spans="1:18" ht="20.100000000000001" customHeight="1" x14ac:dyDescent="0.2">
      <c r="A53" s="81" t="s">
        <v>531</v>
      </c>
      <c r="B53" s="26"/>
      <c r="C53" s="81"/>
      <c r="D53" s="81"/>
      <c r="E53" s="81"/>
      <c r="F53" s="367" t="str">
        <f>GENW2</f>
        <v>-</v>
      </c>
      <c r="G53" s="367"/>
      <c r="H53" s="367"/>
      <c r="I53" s="367"/>
      <c r="J53" s="367"/>
      <c r="K53" s="367"/>
      <c r="L53" s="367"/>
      <c r="M53" s="81"/>
      <c r="N53" s="366" t="s">
        <v>523</v>
      </c>
      <c r="O53" s="366"/>
    </row>
    <row r="54" spans="1:18" ht="20.100000000000001" customHeight="1" x14ac:dyDescent="0.2">
      <c r="A54" s="178" t="str">
        <f>IF('EN-103'!D47="Ja","Achtung: Mehr als 2 Wärmeerzeuger. Die GWR-Angaben müssen manuell angepasst werden -&gt;","")</f>
        <v/>
      </c>
      <c r="B54" s="2"/>
      <c r="N54" s="368" t="s">
        <v>731</v>
      </c>
      <c r="O54" s="368"/>
    </row>
    <row r="55" spans="1:18" ht="20.100000000000001" customHeight="1" x14ac:dyDescent="0.2">
      <c r="A55" s="88" t="s">
        <v>849</v>
      </c>
      <c r="B55" s="261"/>
      <c r="C55" s="51"/>
      <c r="D55" s="178"/>
      <c r="E55" s="51"/>
    </row>
    <row r="56" spans="1:18" ht="20.100000000000001" customHeight="1" x14ac:dyDescent="0.2">
      <c r="A56" s="357"/>
      <c r="B56" s="358"/>
      <c r="C56" s="358"/>
      <c r="D56" s="358"/>
      <c r="E56" s="358"/>
      <c r="F56" s="358"/>
      <c r="G56" s="358"/>
      <c r="H56" s="358"/>
      <c r="I56" s="358"/>
      <c r="J56" s="358"/>
      <c r="K56" s="358"/>
      <c r="L56" s="358"/>
      <c r="M56" s="358"/>
      <c r="N56" s="358"/>
      <c r="O56" s="358"/>
      <c r="P56" s="358"/>
      <c r="Q56" s="358"/>
      <c r="R56" s="359"/>
    </row>
    <row r="57" spans="1:18" ht="20.100000000000001" customHeight="1" x14ac:dyDescent="0.2">
      <c r="A57" s="360"/>
      <c r="B57" s="361"/>
      <c r="C57" s="361"/>
      <c r="D57" s="361"/>
      <c r="E57" s="361"/>
      <c r="F57" s="361"/>
      <c r="G57" s="361"/>
      <c r="H57" s="361"/>
      <c r="I57" s="361"/>
      <c r="J57" s="361"/>
      <c r="K57" s="361"/>
      <c r="L57" s="361"/>
      <c r="M57" s="361"/>
      <c r="N57" s="361"/>
      <c r="O57" s="361"/>
      <c r="P57" s="361"/>
      <c r="Q57" s="361"/>
      <c r="R57" s="362"/>
    </row>
    <row r="58" spans="1:18" ht="15" customHeight="1" x14ac:dyDescent="0.2">
      <c r="A58" s="360"/>
      <c r="B58" s="361"/>
      <c r="C58" s="361"/>
      <c r="D58" s="361"/>
      <c r="E58" s="361"/>
      <c r="F58" s="361"/>
      <c r="G58" s="361"/>
      <c r="H58" s="361"/>
      <c r="I58" s="361"/>
      <c r="J58" s="361"/>
      <c r="K58" s="361"/>
      <c r="L58" s="361"/>
      <c r="M58" s="361"/>
      <c r="N58" s="361"/>
      <c r="O58" s="361"/>
      <c r="P58" s="361"/>
      <c r="Q58" s="361"/>
      <c r="R58" s="362"/>
    </row>
    <row r="59" spans="1:18" s="39" customFormat="1" ht="20.100000000000001" customHeight="1" x14ac:dyDescent="0.2">
      <c r="A59" s="360"/>
      <c r="B59" s="361"/>
      <c r="C59" s="361"/>
      <c r="D59" s="361"/>
      <c r="E59" s="361"/>
      <c r="F59" s="361"/>
      <c r="G59" s="361"/>
      <c r="H59" s="361"/>
      <c r="I59" s="361"/>
      <c r="J59" s="361"/>
      <c r="K59" s="361"/>
      <c r="L59" s="361"/>
      <c r="M59" s="361"/>
      <c r="N59" s="361"/>
      <c r="O59" s="361"/>
      <c r="P59" s="361"/>
      <c r="Q59" s="361"/>
      <c r="R59" s="362"/>
    </row>
    <row r="60" spans="1:18" s="39" customFormat="1" ht="20.100000000000001" customHeight="1" x14ac:dyDescent="0.2">
      <c r="A60" s="360"/>
      <c r="B60" s="361"/>
      <c r="C60" s="361"/>
      <c r="D60" s="361"/>
      <c r="E60" s="361"/>
      <c r="F60" s="361"/>
      <c r="G60" s="361"/>
      <c r="H60" s="361"/>
      <c r="I60" s="361"/>
      <c r="J60" s="361"/>
      <c r="K60" s="361"/>
      <c r="L60" s="361"/>
      <c r="M60" s="361"/>
      <c r="N60" s="361"/>
      <c r="O60" s="361"/>
      <c r="P60" s="361"/>
      <c r="Q60" s="361"/>
      <c r="R60" s="362"/>
    </row>
    <row r="61" spans="1:18" s="39" customFormat="1" ht="20.100000000000001" customHeight="1" x14ac:dyDescent="0.2">
      <c r="A61" s="360"/>
      <c r="B61" s="361"/>
      <c r="C61" s="361"/>
      <c r="D61" s="361"/>
      <c r="E61" s="361"/>
      <c r="F61" s="361"/>
      <c r="G61" s="361"/>
      <c r="H61" s="361"/>
      <c r="I61" s="361"/>
      <c r="J61" s="361"/>
      <c r="K61" s="361"/>
      <c r="L61" s="361"/>
      <c r="M61" s="361"/>
      <c r="N61" s="361"/>
      <c r="O61" s="361"/>
      <c r="P61" s="361"/>
      <c r="Q61" s="361"/>
      <c r="R61" s="362"/>
    </row>
    <row r="62" spans="1:18" s="39" customFormat="1" ht="13.9" customHeight="1" x14ac:dyDescent="0.2">
      <c r="A62" s="363"/>
      <c r="B62" s="364"/>
      <c r="C62" s="364"/>
      <c r="D62" s="364"/>
      <c r="E62" s="364"/>
      <c r="F62" s="364"/>
      <c r="G62" s="364"/>
      <c r="H62" s="364"/>
      <c r="I62" s="364"/>
      <c r="J62" s="364"/>
      <c r="K62" s="364"/>
      <c r="L62" s="364"/>
      <c r="M62" s="364"/>
      <c r="N62" s="364"/>
      <c r="O62" s="364"/>
      <c r="P62" s="364"/>
      <c r="Q62" s="364"/>
      <c r="R62" s="365"/>
    </row>
    <row r="63" spans="1:18" s="39" customFormat="1" ht="20.100000000000001" customHeight="1" x14ac:dyDescent="0.2">
      <c r="A63" s="52"/>
      <c r="B63" s="347"/>
      <c r="C63" s="347"/>
      <c r="D63" s="347"/>
      <c r="E63" s="347"/>
      <c r="F63" s="347"/>
      <c r="G63" s="347"/>
      <c r="H63" s="347"/>
      <c r="I63" s="347"/>
      <c r="J63" s="347"/>
      <c r="K63" s="347"/>
      <c r="L63" s="347"/>
      <c r="M63" s="347"/>
      <c r="N63" s="347"/>
      <c r="O63" s="52"/>
      <c r="P63" s="52"/>
    </row>
    <row r="64" spans="1:18" s="34" customFormat="1" ht="20.100000000000001" customHeight="1" x14ac:dyDescent="0.2">
      <c r="A64" s="225"/>
      <c r="B64" s="226"/>
    </row>
    <row r="66" spans="1:13" hidden="1" x14ac:dyDescent="0.2"/>
    <row r="67" spans="1:13" hidden="1" x14ac:dyDescent="0.2"/>
    <row r="68" spans="1:13" ht="20.100000000000001" hidden="1" customHeight="1" x14ac:dyDescent="0.2">
      <c r="A68" s="88" t="s">
        <v>538</v>
      </c>
      <c r="B68" s="88"/>
      <c r="C68" s="88"/>
      <c r="D68" s="88" t="s">
        <v>545</v>
      </c>
      <c r="K68" s="3" t="b">
        <f>AND(Resultat_Beilagen="erfüllt",Resultat_Kontrolle="erfüllt",Resultat_Nachweise="erfüllt",NOT('EN-Kt.'!L116="x"))</f>
        <v>1</v>
      </c>
      <c r="L68" s="3">
        <f>IF(K68=TRUE,1,0)</f>
        <v>1</v>
      </c>
    </row>
    <row r="69" spans="1:13" ht="20.100000000000001" hidden="1" customHeight="1" x14ac:dyDescent="0.2">
      <c r="A69" s="2" t="s">
        <v>539</v>
      </c>
      <c r="D69" s="2" t="s">
        <v>872</v>
      </c>
      <c r="K69" s="3" t="b">
        <f>OR(AND('EN-Kt.'!AD99="x",'EN-Kt.'!AE99="-"),AND(Resultat_Beilagen="erfüllt",Resultat_Kontrolle="erfüllt",Resultat_Nachweise="erfüllt",'EN-Kt.'!L116="x"))</f>
        <v>0</v>
      </c>
      <c r="L69" s="3">
        <f t="shared" ref="L69:L71" si="0">IF(K69=TRUE,1,0)</f>
        <v>0</v>
      </c>
      <c r="M69" s="303"/>
    </row>
    <row r="70" spans="1:13" ht="20.100000000000001" hidden="1" customHeight="1" x14ac:dyDescent="0.25">
      <c r="A70" s="88" t="s">
        <v>540</v>
      </c>
      <c r="B70" s="88"/>
      <c r="C70" s="88"/>
      <c r="D70" s="304" t="s">
        <v>858</v>
      </c>
      <c r="K70" s="3" t="b">
        <f>AND(OR(Resultat_Beilagen="nicht erfüllt",AND('EN-Kt.'!AD99="x",'EN-Kt.'!AE99="x")),NOT(Resultat_Kontrolle="nicht erfüllt"))</f>
        <v>0</v>
      </c>
      <c r="L70" s="3">
        <f t="shared" si="0"/>
        <v>0</v>
      </c>
    </row>
    <row r="71" spans="1:13" ht="20.100000000000001" hidden="1" customHeight="1" x14ac:dyDescent="0.2">
      <c r="A71" s="88" t="s">
        <v>543</v>
      </c>
      <c r="B71" s="88"/>
      <c r="C71" s="88"/>
      <c r="D71" s="88" t="s">
        <v>871</v>
      </c>
      <c r="K71" s="3" t="b">
        <f>Resultat_Kontrolle="nicht erfüllt"</f>
        <v>0</v>
      </c>
      <c r="L71" s="3">
        <f t="shared" si="0"/>
        <v>0</v>
      </c>
    </row>
    <row r="72" spans="1:13" ht="20.100000000000001" hidden="1" customHeight="1" x14ac:dyDescent="0.2"/>
    <row r="73" spans="1:13" ht="27" hidden="1" customHeight="1" x14ac:dyDescent="0.2"/>
    <row r="74" spans="1:13" ht="20.100000000000001" hidden="1" customHeight="1" x14ac:dyDescent="0.2"/>
    <row r="75" spans="1:13" hidden="1" x14ac:dyDescent="0.2"/>
    <row r="76" spans="1:13" hidden="1" x14ac:dyDescent="0.2"/>
  </sheetData>
  <sheetProtection algorithmName="SHA-512" hashValue="gcz81ts1z4ihFAuxZQlNm4RAXOqrHFFgPvL7SsN743i3eCMhb8OACPKjlq1ShJF45OJFsbsGPeze6wMghYBTVA==" saltValue="tcE/S9lXxq2Tw3z12NdWrg==" spinCount="100000" sheet="1" formatCells="0" formatRows="0"/>
  <mergeCells count="41">
    <mergeCell ref="N48:O48"/>
    <mergeCell ref="N49:O49"/>
    <mergeCell ref="N41:O41"/>
    <mergeCell ref="N45:O45"/>
    <mergeCell ref="N46:O46"/>
    <mergeCell ref="F47:L47"/>
    <mergeCell ref="A21:R21"/>
    <mergeCell ref="F10:I10"/>
    <mergeCell ref="F12:R13"/>
    <mergeCell ref="A15:Q15"/>
    <mergeCell ref="A36:R38"/>
    <mergeCell ref="A4:R5"/>
    <mergeCell ref="A30:E30"/>
    <mergeCell ref="A16:E17"/>
    <mergeCell ref="F18:N18"/>
    <mergeCell ref="A32:E32"/>
    <mergeCell ref="F22:M22"/>
    <mergeCell ref="F24:M24"/>
    <mergeCell ref="F16:M17"/>
    <mergeCell ref="F26:M26"/>
    <mergeCell ref="F28:M28"/>
    <mergeCell ref="N30:R30"/>
    <mergeCell ref="F30:M30"/>
    <mergeCell ref="F32:M32"/>
    <mergeCell ref="A10:C10"/>
    <mergeCell ref="A56:R62"/>
    <mergeCell ref="B63:N63"/>
    <mergeCell ref="N47:O47"/>
    <mergeCell ref="F39:L39"/>
    <mergeCell ref="F41:L41"/>
    <mergeCell ref="F43:L43"/>
    <mergeCell ref="N51:O51"/>
    <mergeCell ref="N52:O52"/>
    <mergeCell ref="N53:O53"/>
    <mergeCell ref="F53:L53"/>
    <mergeCell ref="F51:L51"/>
    <mergeCell ref="F45:L45"/>
    <mergeCell ref="F49:L49"/>
    <mergeCell ref="N39:O39"/>
    <mergeCell ref="N43:O43"/>
    <mergeCell ref="N54:O54"/>
  </mergeCells>
  <conditionalFormatting sqref="D70">
    <cfRule type="beginsWith" dxfId="267" priority="1" operator="beginsWith" text="erfüllt">
      <formula>LEFT(D70,LEN("erfüllt"))="erfüllt"</formula>
    </cfRule>
    <cfRule type="containsText" dxfId="266" priority="2" operator="containsText" text="nicht erfüllt">
      <formula>NOT(ISERROR(SEARCH("nicht erfüllt",D70)))</formula>
    </cfRule>
    <cfRule type="containsText" dxfId="265" priority="3" operator="containsText" text="nicht">
      <formula>NOT(ISERROR(SEARCH("nicht",B69)))</formula>
    </cfRule>
  </conditionalFormatting>
  <conditionalFormatting sqref="F16">
    <cfRule type="expression" dxfId="264" priority="361">
      <formula>$L$70=1</formula>
    </cfRule>
    <cfRule type="expression" dxfId="263" priority="362">
      <formula>$L$71=1</formula>
    </cfRule>
  </conditionalFormatting>
  <conditionalFormatting sqref="F39:L53">
    <cfRule type="cellIs" dxfId="262" priority="12" operator="equal">
      <formula>"-"</formula>
    </cfRule>
  </conditionalFormatting>
  <conditionalFormatting sqref="F18:N18">
    <cfRule type="cellIs" dxfId="261" priority="36" operator="equal">
      <formula>"Nicht erfüllt, Nachbesserung der mangelhaften Unterlagen gem. EN-Kt."</formula>
    </cfRule>
  </conditionalFormatting>
  <conditionalFormatting sqref="N32:Q32 F33:N33 P33:Q33">
    <cfRule type="cellIs" dxfId="259" priority="6" operator="equal">
      <formula>"Nicht erforderlich"</formula>
    </cfRule>
  </conditionalFormatting>
  <dataValidations disablePrompts="1" count="2">
    <dataValidation type="list" allowBlank="1" showInputMessage="1" showErrorMessage="1" sqref="H11" xr:uid="{83D1AB43-5E4D-4E11-892F-33BAE353A73E}">
      <formula1>$A$172:$A$173</formula1>
    </dataValidation>
    <dataValidation type="list" allowBlank="1" showInputMessage="1" showErrorMessage="1" sqref="N54:O54" xr:uid="{6A560254-94D7-4250-BB00-4A4673E9F2E3}">
      <formula1>#REF!</formula1>
    </dataValidation>
  </dataValidations>
  <pageMargins left="0.59055118110236227" right="0.59055118110236227" top="1.1417322834645669" bottom="1.1417322834645669" header="0.31496062992125984" footer="0.31496062992125984"/>
  <pageSetup paperSize="9" scale="67" fitToHeight="0" orientation="portrait" r:id="rId1"/>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legacy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5" id="{94289335-2EF4-4E4E-997B-D6F989792DDB}">
            <xm:f>'EN-103'!$D$47="Nein"</xm:f>
            <x14:dxf>
              <font>
                <color theme="0"/>
              </font>
              <fill>
                <patternFill patternType="none">
                  <bgColor auto="1"/>
                </patternFill>
              </fill>
              <border>
                <left/>
                <right/>
                <top/>
                <bottom/>
                <vertical/>
                <horizontal/>
              </border>
            </x14:dxf>
          </x14:cfRule>
          <xm:sqref>N54:O54</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F3FFC82A-F3A0-45E9-8551-7FEAA5F7BBE8}">
          <x14:formula1>
            <xm:f>'EN-Kt.'!$A$207:$A$208</xm:f>
          </x14:formula1>
          <xm:sqref>F11 J10:J11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59999389629810485"/>
  </sheetPr>
  <dimension ref="A1:AP314"/>
  <sheetViews>
    <sheetView showGridLines="0" tabSelected="1" zoomScaleNormal="100" zoomScaleSheetLayoutView="85" zoomScalePageLayoutView="70" workbookViewId="0"/>
  </sheetViews>
  <sheetFormatPr baseColWidth="10" defaultColWidth="10.875" defaultRowHeight="13.5" x14ac:dyDescent="0.2"/>
  <cols>
    <col min="1" max="1" width="4.5" style="3" customWidth="1"/>
    <col min="2" max="2" width="4.375" style="3" customWidth="1"/>
    <col min="3" max="3" width="10.625" style="3" customWidth="1"/>
    <col min="4" max="4" width="14.625" style="3" customWidth="1"/>
    <col min="5" max="5" width="1" style="3" customWidth="1"/>
    <col min="6" max="6" width="2.875" style="3" customWidth="1"/>
    <col min="7" max="7" width="1" style="3" customWidth="1"/>
    <col min="8" max="8" width="10" style="3" customWidth="1"/>
    <col min="9" max="9" width="1.625" style="3" customWidth="1"/>
    <col min="10" max="10" width="9.375" style="3" customWidth="1"/>
    <col min="11" max="11" width="1" style="3" customWidth="1"/>
    <col min="12" max="12" width="2.875" style="3" customWidth="1"/>
    <col min="13" max="13" width="1" style="3" customWidth="1"/>
    <col min="14" max="14" width="2.875" style="3" customWidth="1"/>
    <col min="15" max="15" width="1" style="3" customWidth="1"/>
    <col min="16" max="16" width="2.875" style="3" customWidth="1"/>
    <col min="17" max="17" width="1" style="3" customWidth="1"/>
    <col min="18" max="18" width="2.875" style="3" customWidth="1"/>
    <col min="19" max="19" width="0.75" style="3" customWidth="1"/>
    <col min="20" max="20" width="0.625" style="3" customWidth="1"/>
    <col min="21" max="21" width="25.375" style="3" customWidth="1"/>
    <col min="22" max="22" width="3" style="3" customWidth="1"/>
    <col min="23" max="23" width="16.75" style="3" customWidth="1"/>
    <col min="24" max="24" width="2.25" style="66" customWidth="1"/>
    <col min="25" max="25" width="2.25" style="3" hidden="1" customWidth="1"/>
    <col min="26" max="28" width="2.75" style="31" hidden="1" customWidth="1"/>
    <col min="29" max="29" width="8.625" style="3" hidden="1" customWidth="1"/>
    <col min="30" max="30" width="10.875" style="3" hidden="1" customWidth="1"/>
    <col min="31" max="31" width="18.75" style="3" hidden="1" customWidth="1"/>
    <col min="32" max="34" width="10.875" style="3" hidden="1" customWidth="1"/>
    <col min="35" max="35" width="6.375" style="3" hidden="1" customWidth="1"/>
    <col min="36" max="36" width="9.75" style="3" hidden="1" customWidth="1"/>
    <col min="37" max="37" width="10.125" style="3" hidden="1" customWidth="1"/>
    <col min="38" max="39" width="7.75" style="3" hidden="1" customWidth="1"/>
    <col min="40" max="40" width="10.875" style="3" hidden="1" customWidth="1"/>
    <col min="41" max="16384" width="10.875" style="3"/>
  </cols>
  <sheetData>
    <row r="1" spans="1:41" s="22" customFormat="1" ht="18" x14ac:dyDescent="0.25">
      <c r="A1" s="63" t="str">
        <f>CONCATENATE("Kontrolle ",INDEX(AI5:AN5,MATCH(Kanton,AI3:AN3,0)))</f>
        <v>Kontrolle Bitte Kanton Wählen</v>
      </c>
      <c r="B1" s="63"/>
      <c r="W1" s="116" t="s">
        <v>504</v>
      </c>
      <c r="X1" s="33"/>
      <c r="Y1" s="327" t="s">
        <v>42</v>
      </c>
      <c r="Z1" s="319" t="s">
        <v>490</v>
      </c>
      <c r="AA1" s="320"/>
      <c r="AB1" s="33"/>
    </row>
    <row r="2" spans="1:41" s="22" customFormat="1" ht="18" x14ac:dyDescent="0.25">
      <c r="A2" s="6" t="s">
        <v>261</v>
      </c>
      <c r="B2" s="6"/>
      <c r="K2" s="210"/>
      <c r="L2" s="210"/>
      <c r="M2" s="210"/>
      <c r="N2" s="210"/>
      <c r="O2" s="210"/>
      <c r="P2" s="210"/>
      <c r="Q2" s="210"/>
      <c r="R2" s="210"/>
      <c r="S2" s="210"/>
      <c r="T2" s="210"/>
      <c r="U2" s="210"/>
      <c r="V2" s="210"/>
      <c r="W2" s="116"/>
      <c r="X2" s="211"/>
      <c r="Z2" s="33"/>
      <c r="AA2" s="33"/>
      <c r="AB2" s="33"/>
    </row>
    <row r="3" spans="1:41" ht="21" customHeight="1" x14ac:dyDescent="0.2">
      <c r="A3" s="2" t="s">
        <v>61</v>
      </c>
      <c r="F3" s="7"/>
      <c r="G3" s="7"/>
      <c r="H3" s="1"/>
      <c r="I3" s="1"/>
      <c r="J3" s="1"/>
      <c r="K3" s="38"/>
      <c r="L3" s="88" t="s">
        <v>433</v>
      </c>
      <c r="M3" s="43"/>
      <c r="N3" s="43"/>
      <c r="O3" s="43"/>
      <c r="P3" s="43"/>
      <c r="Q3" s="43"/>
      <c r="R3" s="212"/>
      <c r="S3" s="212"/>
      <c r="T3" s="38"/>
      <c r="U3" s="38"/>
      <c r="V3" s="38"/>
      <c r="W3" s="38"/>
      <c r="X3" s="213"/>
      <c r="AI3" s="3" t="s">
        <v>108</v>
      </c>
      <c r="AJ3" s="3" t="s">
        <v>427</v>
      </c>
      <c r="AK3" s="3" t="s">
        <v>753</v>
      </c>
      <c r="AL3" s="3" t="s">
        <v>754</v>
      </c>
      <c r="AM3" s="3" t="s">
        <v>922</v>
      </c>
      <c r="AN3" s="3" t="s">
        <v>438</v>
      </c>
    </row>
    <row r="4" spans="1:41" ht="2.1" customHeight="1" x14ac:dyDescent="0.2">
      <c r="A4" s="2"/>
      <c r="F4" s="7"/>
      <c r="G4" s="7"/>
      <c r="H4" s="1"/>
      <c r="I4" s="1"/>
      <c r="J4" s="1"/>
      <c r="K4" s="38"/>
      <c r="L4" s="43"/>
      <c r="M4" s="43"/>
      <c r="N4" s="43"/>
      <c r="O4" s="43"/>
      <c r="P4" s="43"/>
      <c r="Q4" s="43"/>
      <c r="R4" s="212"/>
      <c r="S4" s="212"/>
      <c r="T4" s="38"/>
      <c r="U4" s="38"/>
      <c r="V4" s="38"/>
      <c r="W4" s="38"/>
      <c r="X4" s="213"/>
    </row>
    <row r="5" spans="1:41" x14ac:dyDescent="0.2">
      <c r="B5" s="3" t="s">
        <v>426</v>
      </c>
      <c r="F5" s="381"/>
      <c r="G5" s="381"/>
      <c r="H5" s="381"/>
      <c r="I5" s="65" t="s">
        <v>430</v>
      </c>
      <c r="J5" s="232" t="s">
        <v>438</v>
      </c>
      <c r="K5" s="195"/>
      <c r="L5" s="38" t="s">
        <v>880</v>
      </c>
      <c r="M5" s="38"/>
      <c r="N5" s="38"/>
      <c r="O5" s="38"/>
      <c r="P5" s="38"/>
      <c r="Q5" s="38"/>
      <c r="R5" s="38"/>
      <c r="S5" s="38"/>
      <c r="T5" s="38"/>
      <c r="U5" s="381"/>
      <c r="V5" s="381"/>
      <c r="W5" s="381"/>
      <c r="X5" s="381"/>
      <c r="AI5" s="3" t="s">
        <v>780</v>
      </c>
      <c r="AJ5" s="3" t="s">
        <v>781</v>
      </c>
      <c r="AK5" s="3" t="s">
        <v>782</v>
      </c>
      <c r="AL5" s="3" t="s">
        <v>783</v>
      </c>
      <c r="AM5" s="3" t="s">
        <v>923</v>
      </c>
      <c r="AN5" s="3" t="s">
        <v>873</v>
      </c>
    </row>
    <row r="6" spans="1:41" s="54" customFormat="1" ht="2.1" customHeight="1" x14ac:dyDescent="0.2">
      <c r="F6" s="64"/>
      <c r="K6" s="195"/>
      <c r="L6" s="38"/>
      <c r="M6" s="38"/>
      <c r="N6" s="38"/>
      <c r="O6" s="38"/>
      <c r="P6" s="38"/>
      <c r="Q6" s="38"/>
      <c r="R6" s="38"/>
      <c r="S6" s="38"/>
      <c r="T6" s="38"/>
      <c r="U6" s="214"/>
      <c r="V6" s="215"/>
      <c r="W6" s="38"/>
      <c r="X6" s="213"/>
      <c r="Z6" s="31"/>
      <c r="AA6" s="31"/>
      <c r="AB6" s="31"/>
      <c r="AC6" s="3"/>
      <c r="AD6" s="3"/>
      <c r="AE6" s="3"/>
      <c r="AF6" s="3"/>
      <c r="AH6" s="3"/>
      <c r="AI6" s="3"/>
      <c r="AJ6" s="3"/>
      <c r="AK6" s="3"/>
      <c r="AL6" s="3"/>
      <c r="AM6" s="3"/>
      <c r="AN6" s="3"/>
      <c r="AO6" s="3"/>
    </row>
    <row r="7" spans="1:41" x14ac:dyDescent="0.2">
      <c r="B7" s="3" t="s">
        <v>63</v>
      </c>
      <c r="F7" s="381"/>
      <c r="G7" s="381"/>
      <c r="H7" s="381"/>
      <c r="I7" s="381"/>
      <c r="J7" s="381"/>
      <c r="K7" s="195"/>
      <c r="L7" s="38" t="s">
        <v>434</v>
      </c>
      <c r="M7" s="38"/>
      <c r="N7" s="38"/>
      <c r="O7" s="38"/>
      <c r="P7" s="38"/>
      <c r="Q7" s="38"/>
      <c r="R7" s="38"/>
      <c r="S7" s="38"/>
      <c r="T7" s="38"/>
      <c r="U7" s="381"/>
      <c r="V7" s="381"/>
      <c r="W7" s="381"/>
      <c r="X7" s="381"/>
      <c r="Z7" s="321" t="s">
        <v>917</v>
      </c>
    </row>
    <row r="8" spans="1:41" s="54" customFormat="1" ht="2.1" customHeight="1" x14ac:dyDescent="0.2">
      <c r="F8" s="64"/>
      <c r="K8" s="195"/>
      <c r="L8" s="38"/>
      <c r="M8" s="38"/>
      <c r="N8" s="38"/>
      <c r="O8" s="38"/>
      <c r="P8" s="38"/>
      <c r="Q8" s="38"/>
      <c r="R8" s="38"/>
      <c r="S8" s="38"/>
      <c r="T8" s="38"/>
      <c r="U8" s="214"/>
      <c r="V8" s="215"/>
      <c r="W8" s="38"/>
      <c r="X8" s="213"/>
      <c r="Z8" s="31"/>
      <c r="AA8" s="31"/>
      <c r="AB8" s="31"/>
      <c r="AC8" s="3"/>
      <c r="AD8" s="3"/>
      <c r="AE8" s="3"/>
      <c r="AF8" s="3"/>
      <c r="AH8" s="3"/>
      <c r="AI8" s="3"/>
      <c r="AJ8" s="3"/>
      <c r="AK8" s="3"/>
      <c r="AL8" s="3"/>
      <c r="AM8" s="3"/>
      <c r="AN8" s="3"/>
      <c r="AO8" s="3"/>
    </row>
    <row r="9" spans="1:41" ht="13.5" customHeight="1" x14ac:dyDescent="0.2">
      <c r="B9" s="3" t="s">
        <v>65</v>
      </c>
      <c r="F9" s="382"/>
      <c r="G9" s="382"/>
      <c r="H9" s="382"/>
      <c r="I9" s="382"/>
      <c r="J9" s="382"/>
      <c r="K9" s="195"/>
      <c r="L9" s="38" t="s">
        <v>435</v>
      </c>
      <c r="M9" s="38"/>
      <c r="N9" s="38"/>
      <c r="O9" s="38"/>
      <c r="P9" s="38"/>
      <c r="Q9" s="38"/>
      <c r="R9" s="38"/>
      <c r="S9" s="38"/>
      <c r="T9" s="38"/>
      <c r="U9" s="381" t="s">
        <v>725</v>
      </c>
      <c r="V9" s="381"/>
      <c r="W9" s="381"/>
      <c r="X9" s="381"/>
      <c r="Z9" s="322" t="s">
        <v>918</v>
      </c>
      <c r="AA9" s="322" t="s">
        <v>919</v>
      </c>
      <c r="AB9" s="322" t="s">
        <v>920</v>
      </c>
      <c r="AC9" s="323"/>
    </row>
    <row r="10" spans="1:41" s="54" customFormat="1" ht="2.25" customHeight="1" x14ac:dyDescent="0.2">
      <c r="L10" s="56"/>
      <c r="N10" s="56"/>
      <c r="R10" s="57"/>
      <c r="S10" s="57"/>
      <c r="X10" s="58"/>
      <c r="Z10" s="31"/>
      <c r="AA10" s="31"/>
      <c r="AB10" s="31"/>
      <c r="AC10" s="3"/>
      <c r="AD10" s="3"/>
      <c r="AE10" s="3"/>
      <c r="AF10" s="3"/>
      <c r="AH10" s="3"/>
      <c r="AI10" s="3"/>
      <c r="AJ10" s="3"/>
      <c r="AK10" s="3"/>
      <c r="AL10" s="3"/>
      <c r="AM10" s="3"/>
      <c r="AN10" s="3"/>
      <c r="AO10" s="3"/>
    </row>
    <row r="11" spans="1:41" s="54" customFormat="1" ht="1.5" customHeight="1" x14ac:dyDescent="0.2">
      <c r="F11" s="59"/>
      <c r="L11" s="56"/>
      <c r="N11" s="56"/>
      <c r="R11" s="57"/>
      <c r="S11" s="57"/>
      <c r="X11" s="58"/>
      <c r="Z11" s="31"/>
      <c r="AA11" s="31"/>
      <c r="AB11" s="31"/>
      <c r="AC11" s="3"/>
      <c r="AD11" s="3"/>
      <c r="AE11" s="3"/>
      <c r="AF11" s="3"/>
      <c r="AH11" s="3"/>
      <c r="AI11" s="3"/>
      <c r="AJ11" s="3"/>
      <c r="AK11" s="3"/>
      <c r="AL11" s="3"/>
      <c r="AM11" s="3"/>
      <c r="AN11" s="3"/>
      <c r="AO11" s="3"/>
    </row>
    <row r="12" spans="1:41" s="54" customFormat="1" ht="0.75" customHeight="1" x14ac:dyDescent="0.2">
      <c r="F12" s="60"/>
      <c r="L12" s="56"/>
      <c r="N12" s="56"/>
      <c r="R12" s="57"/>
      <c r="S12" s="57"/>
      <c r="X12" s="58"/>
      <c r="Z12" s="31"/>
      <c r="AA12" s="31"/>
      <c r="AB12" s="31"/>
      <c r="AC12" s="3"/>
      <c r="AD12" s="3"/>
      <c r="AE12" s="3"/>
      <c r="AF12" s="3"/>
      <c r="AH12" s="3"/>
      <c r="AI12" s="3"/>
      <c r="AJ12" s="3"/>
      <c r="AK12" s="3"/>
      <c r="AL12" s="3"/>
      <c r="AM12" s="3"/>
      <c r="AN12" s="3"/>
      <c r="AO12" s="3"/>
    </row>
    <row r="13" spans="1:41" ht="13.9" customHeight="1" x14ac:dyDescent="0.2">
      <c r="A13" s="2" t="s">
        <v>66</v>
      </c>
      <c r="F13" s="7"/>
      <c r="G13" s="7"/>
      <c r="H13" s="1"/>
      <c r="L13" s="2" t="s">
        <v>70</v>
      </c>
      <c r="M13" s="7"/>
      <c r="N13" s="7"/>
      <c r="O13" s="7"/>
      <c r="P13" s="7"/>
      <c r="Q13" s="7"/>
      <c r="R13" s="8"/>
      <c r="S13" s="8"/>
      <c r="X13" s="31"/>
      <c r="Z13" s="323"/>
      <c r="AA13" s="323"/>
      <c r="AB13" s="323" t="str">
        <f>IF(OR(AB15="",AB17="",AB19="",AB21=""),"","x")</f>
        <v/>
      </c>
    </row>
    <row r="14" spans="1:41" ht="2.1" customHeight="1" x14ac:dyDescent="0.2">
      <c r="A14" s="2"/>
      <c r="F14" s="7"/>
      <c r="G14" s="7"/>
      <c r="H14" s="1"/>
      <c r="I14" s="1"/>
      <c r="L14" s="1"/>
      <c r="M14" s="7"/>
      <c r="N14" s="7"/>
      <c r="O14" s="7"/>
      <c r="P14" s="7"/>
      <c r="Q14" s="7"/>
      <c r="R14" s="8"/>
      <c r="S14" s="8"/>
      <c r="X14" s="31"/>
    </row>
    <row r="15" spans="1:41" ht="13.5" customHeight="1" x14ac:dyDescent="0.2">
      <c r="B15" s="3" t="s">
        <v>67</v>
      </c>
      <c r="F15" s="30" t="s">
        <v>43</v>
      </c>
      <c r="H15" s="389" t="str">
        <f>IF(AND(F15="x",COUNTIF(F15:F23,"x")&gt;1),"Vorhaben nicht logisch",IF(F17="x","Falls im Umbauprojekt Neubauteile gemäss Vollzugshilfe EN-106 vorhanden 'Erweiterung/Aufstockung' wählen.",""))</f>
        <v/>
      </c>
      <c r="I15" s="389"/>
      <c r="J15" s="389"/>
      <c r="L15" s="3" t="s">
        <v>102</v>
      </c>
      <c r="O15" s="7"/>
      <c r="P15" s="7"/>
      <c r="Q15" s="7"/>
      <c r="R15" s="8"/>
      <c r="S15" s="8"/>
      <c r="U15" s="79" t="s">
        <v>428</v>
      </c>
      <c r="V15" s="38" t="str">
        <f>IF(F19="x","Erweiterung/Aufstockung","")</f>
        <v/>
      </c>
      <c r="X15" s="83"/>
      <c r="Z15" s="323" t="str">
        <f>IF($F$15="x",IF(OR(U15=$C$228,U15=$C$229,U15=$C$230,U15=$C$231),"x",""),"")</f>
        <v/>
      </c>
      <c r="AA15" s="323" t="str">
        <f>IF($F$15="x",IF(OR(U15=$C$228,U15=$C$229,U15=$C$230,U15=$C$231,U15=$C$232,U15=$C$233),"x",""),"")</f>
        <v/>
      </c>
      <c r="AB15" s="323" t="str">
        <f>IF(AND(Z15="",Z17="",Z19="",Z21=""),"",IF(Z15="x","x",IF(AA15="x","x","")))</f>
        <v/>
      </c>
    </row>
    <row r="16" spans="1:41" ht="2.1" customHeight="1" x14ac:dyDescent="0.2">
      <c r="F16" s="7"/>
      <c r="H16" s="389"/>
      <c r="I16" s="389"/>
      <c r="J16" s="389"/>
      <c r="O16" s="7"/>
      <c r="P16" s="7"/>
      <c r="Q16" s="7"/>
      <c r="R16" s="8"/>
      <c r="S16" s="8"/>
      <c r="W16" s="54"/>
      <c r="X16" s="82"/>
      <c r="Z16" s="323"/>
      <c r="AA16" s="323"/>
    </row>
    <row r="17" spans="1:35" ht="13.5" customHeight="1" x14ac:dyDescent="0.2">
      <c r="B17" s="3" t="s">
        <v>275</v>
      </c>
      <c r="F17" s="30" t="s">
        <v>43</v>
      </c>
      <c r="H17" s="389"/>
      <c r="I17" s="389"/>
      <c r="J17" s="389"/>
      <c r="K17" s="77"/>
      <c r="L17" s="80" t="s">
        <v>454</v>
      </c>
      <c r="M17" s="77"/>
      <c r="O17" s="7"/>
      <c r="P17" s="7"/>
      <c r="Q17" s="7"/>
      <c r="R17" s="8"/>
      <c r="S17" s="8"/>
      <c r="U17" s="79"/>
      <c r="V17" s="31"/>
      <c r="W17" s="83"/>
      <c r="X17" s="84"/>
      <c r="Y17" s="44"/>
      <c r="Z17" s="323" t="str">
        <f>IF($F$15="x",IF(OR(U17=$C$228,U17=$C$229,U17=$C$230,U17=$C$231),"x",""),"")</f>
        <v/>
      </c>
      <c r="AA17" s="323" t="str">
        <f>IF($F$15="x",IF(OR(U17=$C$228,U17=$C$229,U17=$C$230,U17=$C$231,U17=$C$232,U17=$C$233),"x",""),"")</f>
        <v/>
      </c>
      <c r="AB17" s="323" t="str">
        <f>IF(OR(U17=$C$226,U17=""),"x",IF(Z17="x","x",IF(AA17="x","x","")))</f>
        <v>x</v>
      </c>
    </row>
    <row r="18" spans="1:35" ht="2.1" customHeight="1" x14ac:dyDescent="0.2">
      <c r="F18" s="7"/>
      <c r="H18" s="389"/>
      <c r="I18" s="389"/>
      <c r="J18" s="389"/>
      <c r="K18" s="77"/>
      <c r="L18" s="77"/>
      <c r="M18" s="77"/>
      <c r="O18" s="7"/>
      <c r="P18" s="7"/>
      <c r="Q18" s="7"/>
      <c r="R18" s="8"/>
      <c r="S18" s="8"/>
      <c r="W18" s="54"/>
      <c r="X18" s="58"/>
      <c r="Z18" s="323"/>
      <c r="AA18" s="323"/>
    </row>
    <row r="19" spans="1:35" x14ac:dyDescent="0.2">
      <c r="B19" s="3" t="s">
        <v>260</v>
      </c>
      <c r="F19" s="30" t="s">
        <v>43</v>
      </c>
      <c r="H19" s="389"/>
      <c r="I19" s="389"/>
      <c r="J19" s="389"/>
      <c r="L19" s="3" t="s">
        <v>454</v>
      </c>
      <c r="U19" s="79"/>
      <c r="W19" s="54"/>
      <c r="X19" s="58"/>
      <c r="Y19" s="44"/>
      <c r="Z19" s="323" t="str">
        <f>IF($F$15="x",IF(OR(U19=$C$228,U19=$C$229,U19=$C$230,U19=$C$231),"x",""),"")</f>
        <v/>
      </c>
      <c r="AA19" s="323" t="str">
        <f>IF($F$15="x",IF(OR(U19=$C$228,U19=$C$229,U19=$C$230,U19=$C$231,U19=$C$232,U19=$C$233),"x",""),"")</f>
        <v/>
      </c>
      <c r="AB19" s="323" t="str">
        <f>IF(OR(U19=$C$226,U19=""),"x",IF(Z19="x","x",IF(AA19="x","x","")))</f>
        <v>x</v>
      </c>
    </row>
    <row r="20" spans="1:35" ht="2.1" customHeight="1" x14ac:dyDescent="0.2">
      <c r="F20" s="7"/>
      <c r="H20" s="389"/>
      <c r="I20" s="389"/>
      <c r="J20" s="389"/>
      <c r="X20" s="31"/>
      <c r="Z20" s="323"/>
      <c r="AA20" s="323"/>
    </row>
    <row r="21" spans="1:35" x14ac:dyDescent="0.2">
      <c r="B21" s="3" t="s">
        <v>877</v>
      </c>
      <c r="F21" s="30" t="s">
        <v>43</v>
      </c>
      <c r="H21" s="389"/>
      <c r="I21" s="389"/>
      <c r="J21" s="389"/>
      <c r="L21" s="3" t="s">
        <v>454</v>
      </c>
      <c r="U21" s="79"/>
      <c r="X21" s="31"/>
      <c r="Z21" s="323" t="str">
        <f>IF($F$15="x",IF(OR(U21=$C$228,U21=$C$229,U21=$C$230,U21=$C$231),"x",""),"")</f>
        <v/>
      </c>
      <c r="AA21" s="323" t="str">
        <f>IF($F$15="x",IF(OR(U21=$C$228,U21=$C$229,U21=$C$230,U21=$C$231,U21=$C$232,U21=$C$233),"x",""),"")</f>
        <v/>
      </c>
      <c r="AB21" s="323" t="str">
        <f>IF(OR(U21=$C$226,U21=""),"x",IF(Z21="x","x",IF(AA21="x","x","")))</f>
        <v>x</v>
      </c>
    </row>
    <row r="22" spans="1:35" ht="2.1" customHeight="1" x14ac:dyDescent="0.2">
      <c r="F22" s="7"/>
      <c r="H22" s="389"/>
      <c r="I22" s="389"/>
      <c r="J22" s="389"/>
      <c r="X22" s="31"/>
    </row>
    <row r="23" spans="1:35" x14ac:dyDescent="0.2">
      <c r="B23" s="3" t="s">
        <v>786</v>
      </c>
      <c r="F23" s="30" t="s">
        <v>43</v>
      </c>
      <c r="H23" s="389"/>
      <c r="I23" s="389"/>
      <c r="J23" s="389"/>
      <c r="L23" s="3" t="s">
        <v>456</v>
      </c>
      <c r="V23" s="30" t="s">
        <v>43</v>
      </c>
      <c r="X23" s="31"/>
      <c r="Z23" s="324">
        <f>IF(Kanton="Luzern",1,0)</f>
        <v>0</v>
      </c>
      <c r="AA23" s="323" t="s">
        <v>1066</v>
      </c>
    </row>
    <row r="24" spans="1:35" ht="2.1" customHeight="1" x14ac:dyDescent="0.2">
      <c r="F24" s="27"/>
      <c r="H24" s="389"/>
      <c r="I24" s="389"/>
      <c r="J24" s="389"/>
      <c r="V24" s="27"/>
      <c r="X24" s="31"/>
    </row>
    <row r="25" spans="1:35" x14ac:dyDescent="0.2">
      <c r="B25" s="3" t="s">
        <v>1070</v>
      </c>
      <c r="F25" s="30" t="s">
        <v>43</v>
      </c>
      <c r="H25" s="389"/>
      <c r="I25" s="389"/>
      <c r="J25" s="389"/>
      <c r="L25" s="38" t="s">
        <v>752</v>
      </c>
      <c r="M25" s="38"/>
      <c r="N25" s="38"/>
      <c r="O25" s="38"/>
      <c r="P25" s="38"/>
      <c r="Q25" s="38"/>
      <c r="R25" s="38"/>
      <c r="S25" s="38"/>
      <c r="T25" s="38"/>
      <c r="U25" s="38"/>
      <c r="V25" s="30" t="s">
        <v>43</v>
      </c>
      <c r="X25" s="31"/>
      <c r="Z25" s="324">
        <f>IF(AND(Kanton="Luzern",F17="x",V27&lt;&gt;"x"),1,0)</f>
        <v>0</v>
      </c>
      <c r="AA25" s="323" t="s">
        <v>1045</v>
      </c>
    </row>
    <row r="26" spans="1:35" ht="2.1" customHeight="1" x14ac:dyDescent="0.2">
      <c r="C26" s="4"/>
      <c r="D26" s="4"/>
      <c r="E26" s="4"/>
      <c r="F26" s="4"/>
      <c r="G26" s="4"/>
      <c r="H26" s="389"/>
      <c r="I26" s="389"/>
      <c r="J26" s="389"/>
      <c r="L26" s="38"/>
      <c r="M26" s="38"/>
      <c r="N26" s="38"/>
      <c r="O26" s="38"/>
      <c r="P26" s="38"/>
      <c r="Q26" s="38"/>
      <c r="R26" s="38"/>
      <c r="S26" s="38"/>
      <c r="T26" s="38"/>
      <c r="U26" s="38"/>
      <c r="V26" s="42"/>
      <c r="X26" s="31"/>
    </row>
    <row r="27" spans="1:35" ht="13.5" customHeight="1" x14ac:dyDescent="0.2">
      <c r="C27" s="61"/>
      <c r="D27" s="61"/>
      <c r="E27" s="4"/>
      <c r="F27" s="4"/>
      <c r="G27" s="4"/>
      <c r="H27" s="389"/>
      <c r="I27" s="389"/>
      <c r="J27" s="389"/>
      <c r="L27" s="1" t="s">
        <v>1067</v>
      </c>
      <c r="M27" s="1"/>
      <c r="N27" s="1"/>
      <c r="O27" s="1"/>
      <c r="P27" s="1"/>
      <c r="Q27" s="1"/>
      <c r="R27" s="1"/>
      <c r="S27" s="1"/>
      <c r="T27" s="1"/>
      <c r="U27" s="309"/>
      <c r="V27" s="30" t="s">
        <v>43</v>
      </c>
      <c r="X27" s="31"/>
      <c r="AD27" s="51"/>
    </row>
    <row r="28" spans="1:35" ht="2.1" customHeight="1" x14ac:dyDescent="0.2">
      <c r="C28" s="4"/>
      <c r="D28" s="4"/>
      <c r="E28" s="4"/>
      <c r="F28" s="4"/>
      <c r="G28" s="4"/>
      <c r="X28" s="31"/>
      <c r="Y28" s="38"/>
    </row>
    <row r="29" spans="1:35" ht="13.5" customHeight="1" x14ac:dyDescent="0.2">
      <c r="A29" s="2" t="s">
        <v>455</v>
      </c>
      <c r="C29" s="4"/>
      <c r="D29" s="4"/>
      <c r="E29" s="4"/>
      <c r="F29" s="378"/>
      <c r="G29" s="378"/>
      <c r="H29" s="378"/>
      <c r="I29" s="378"/>
      <c r="J29" s="378"/>
      <c r="K29" s="378"/>
      <c r="L29" s="378"/>
      <c r="M29" s="378"/>
      <c r="N29" s="378"/>
      <c r="O29" s="378"/>
      <c r="P29" s="378"/>
      <c r="X29" s="31"/>
      <c r="Y29" s="38"/>
    </row>
    <row r="30" spans="1:35" ht="2.1" customHeight="1" x14ac:dyDescent="0.2">
      <c r="C30" s="4"/>
      <c r="D30" s="4"/>
      <c r="E30" s="4"/>
      <c r="F30" s="4"/>
      <c r="G30" s="4"/>
      <c r="J30" s="7"/>
      <c r="L30" s="7"/>
      <c r="M30" s="7"/>
      <c r="N30" s="8"/>
      <c r="X30" s="31"/>
      <c r="Y30" s="38"/>
    </row>
    <row r="31" spans="1:35" ht="12" customHeight="1" x14ac:dyDescent="0.2">
      <c r="A31" s="3" t="s">
        <v>71</v>
      </c>
      <c r="F31" s="379" t="s">
        <v>77</v>
      </c>
      <c r="G31" s="379"/>
      <c r="H31" s="379"/>
      <c r="I31" s="379"/>
      <c r="J31" s="379"/>
      <c r="K31" s="379"/>
      <c r="L31" s="379"/>
      <c r="M31" s="379"/>
      <c r="N31" s="379"/>
      <c r="O31" s="379"/>
      <c r="P31" s="379"/>
      <c r="Q31" s="1"/>
      <c r="R31" s="330" t="str">
        <f>IF(V25="x","keine Angabe erford.",IF(AND(OR(F15="x",F17="x",F19="x"),F31=""),"Angabe fehlt",IF(OR(AND(C285="-",F15="x",F31="Einzelbauteilnachweis"),AND(NOT(F15="x"),L51="x"),AND(NOT(Kanton="Schwyz"),L51="x")),"nicht zulässig","")))</f>
        <v/>
      </c>
      <c r="S31" s="330"/>
      <c r="T31" s="330"/>
      <c r="U31" s="330"/>
      <c r="X31" s="31"/>
      <c r="Y31" s="38"/>
      <c r="AI31" s="51" t="s">
        <v>785</v>
      </c>
    </row>
    <row r="32" spans="1:35" ht="1.5" customHeight="1" x14ac:dyDescent="0.25">
      <c r="F32" s="81"/>
      <c r="G32" s="85"/>
      <c r="H32" s="85"/>
      <c r="I32" s="85"/>
      <c r="J32" s="86"/>
      <c r="K32" s="8"/>
      <c r="P32" s="15"/>
      <c r="Q32" s="15"/>
      <c r="R32" s="242"/>
      <c r="S32" s="242"/>
      <c r="T32" s="243"/>
      <c r="U32" s="46"/>
      <c r="X32" s="67"/>
      <c r="Y32" s="38"/>
    </row>
    <row r="33" spans="1:42" ht="13.5" customHeight="1" x14ac:dyDescent="0.25">
      <c r="A33" s="3" t="s">
        <v>72</v>
      </c>
      <c r="F33" s="379" t="s">
        <v>77</v>
      </c>
      <c r="G33" s="379"/>
      <c r="H33" s="379"/>
      <c r="I33" s="379"/>
      <c r="J33" s="379"/>
      <c r="K33" s="379"/>
      <c r="L33" s="379"/>
      <c r="M33" s="379"/>
      <c r="N33" s="379"/>
      <c r="O33" s="379"/>
      <c r="P33" s="379"/>
      <c r="Q33" s="1"/>
      <c r="R33" s="330" t="str">
        <f>IF(AND(F31=C211,NOT(OR(F33=C245,F33=""))),"Nachweis Minergie wählen",IF(AND( F33=C209,F31=C243), "Systemnachweis erford.",   IF(AND(F15="-",F19="-",NOT(F33="") ),"keine Angabe erford.",  IF(AND( C285="-", F33=C210,NOT(KatI=C228),NOT(KatI=C229)),"nur für Wohnbauten",   IF(AND(F33="",NOT(F31="Minergie-Zertifikat"),OR(F15="x",F19="x")),"Angabe fehlt",IF(AND(F33="Nicht erforderlich: Bagatellerweiterung",R47="✘"),"Befreiung im EN-101a zu prüfen.",IF(AND(F33="Nicht erforderlich: Bagatellerweiterung",'EN-101a'!D34="nicht befreit"),"Keine Bagatellerweiterung!",IF(AND(F19="x",U47="Bagatellerweiterung, Nachweis erfüllt.",F33="Standardlösungskombination"),"Bagatellerweiterung wählen",IF(AND(U47="Bagatellerweiterung, Nachweis erfüllt.",NOT(F33="Nicht erforderlich: Bagatellerweiterung")),"Nicht erforderlich: Bagatellerweiterung wählen!","")))))))))</f>
        <v>keine Angabe erford.</v>
      </c>
      <c r="S33" s="330"/>
      <c r="T33" s="330"/>
      <c r="U33" s="330"/>
      <c r="V33" s="110"/>
      <c r="W33" s="110"/>
      <c r="X33" s="67"/>
      <c r="Y33" s="51"/>
    </row>
    <row r="34" spans="1:42" ht="1.5" customHeight="1" x14ac:dyDescent="0.25">
      <c r="F34" s="81"/>
      <c r="G34" s="85"/>
      <c r="H34" s="85"/>
      <c r="I34" s="85"/>
      <c r="J34" s="86"/>
      <c r="K34" s="8"/>
      <c r="P34" s="15"/>
      <c r="Q34" s="15"/>
      <c r="R34" s="242"/>
      <c r="S34" s="242"/>
      <c r="T34" s="243"/>
      <c r="U34" s="46"/>
      <c r="X34" s="67"/>
      <c r="Y34" s="38"/>
    </row>
    <row r="35" spans="1:42" ht="13.5" customHeight="1" x14ac:dyDescent="0.25">
      <c r="A35" s="3" t="s">
        <v>73</v>
      </c>
      <c r="F35" s="379" t="s">
        <v>266</v>
      </c>
      <c r="G35" s="379"/>
      <c r="H35" s="379"/>
      <c r="I35" s="379"/>
      <c r="J35" s="379"/>
      <c r="K35" s="379"/>
      <c r="L35" s="379"/>
      <c r="M35" s="379"/>
      <c r="N35" s="379"/>
      <c r="O35" s="379"/>
      <c r="P35" s="379"/>
      <c r="Q35" s="1"/>
      <c r="R35" s="244" t="str">
        <f>IF(OR(F31=C211,F33=C209,F33="Nicht erforderlich: Bagatellerweiterung",F33=C211, AND(F15="-",F19="-" )),"keine Angabe erford.","")</f>
        <v>keine Angabe erford.</v>
      </c>
      <c r="S35" s="244"/>
      <c r="T35" s="244"/>
      <c r="U35" s="244"/>
      <c r="X35" s="67"/>
      <c r="Y35" s="38"/>
    </row>
    <row r="36" spans="1:42" ht="1.5" customHeight="1" x14ac:dyDescent="0.25">
      <c r="A36" s="7"/>
      <c r="C36" s="7"/>
      <c r="D36" s="7"/>
      <c r="E36" s="7"/>
      <c r="F36" s="81"/>
      <c r="G36" s="81"/>
      <c r="H36" s="81"/>
      <c r="I36" s="81"/>
      <c r="J36" s="81"/>
      <c r="P36" s="15"/>
      <c r="Q36" s="15"/>
      <c r="R36" s="242"/>
      <c r="S36" s="242"/>
      <c r="T36" s="243"/>
      <c r="U36" s="46"/>
      <c r="X36" s="67"/>
      <c r="Y36" s="38"/>
    </row>
    <row r="37" spans="1:42" ht="13.5" customHeight="1" x14ac:dyDescent="0.2">
      <c r="A37" s="3" t="s">
        <v>282</v>
      </c>
      <c r="C37" s="7"/>
      <c r="D37" s="7"/>
      <c r="E37" s="7"/>
      <c r="F37" s="379" t="s">
        <v>90</v>
      </c>
      <c r="G37" s="379"/>
      <c r="H37" s="379"/>
      <c r="I37" s="379"/>
      <c r="J37" s="379"/>
      <c r="K37" s="379"/>
      <c r="L37" s="379"/>
      <c r="M37" s="379"/>
      <c r="N37" s="379"/>
      <c r="O37" s="379"/>
      <c r="P37" s="379"/>
      <c r="Q37" s="1"/>
      <c r="R37" s="390" t="str">
        <f>IF(OR(L51="x",F31=C211,F33=C209,F33="Nicht erforderlich: Bagatellerweiterung", AND(F15="-",F19="-" ) ),"keine Angabe erford.",   IF( OR(F37=C252, F37= C254 ),"Systemnachweis erford.",""))</f>
        <v>keine Angabe erford.</v>
      </c>
      <c r="S37" s="390"/>
      <c r="T37" s="390"/>
      <c r="U37" s="390"/>
      <c r="X37" s="31"/>
      <c r="Y37" s="323"/>
      <c r="Z37" s="324"/>
      <c r="AA37" s="324"/>
      <c r="AB37" s="324"/>
    </row>
    <row r="38" spans="1:42" ht="2.1" customHeight="1" x14ac:dyDescent="0.2">
      <c r="A38" s="7"/>
      <c r="C38" s="7"/>
      <c r="D38" s="7"/>
      <c r="E38" s="7"/>
      <c r="F38" s="8"/>
      <c r="X38" s="31"/>
      <c r="Y38" s="323"/>
      <c r="Z38" s="324"/>
      <c r="AA38" s="324"/>
      <c r="AB38" s="324"/>
    </row>
    <row r="39" spans="1:42" ht="19.5" customHeight="1" x14ac:dyDescent="0.2">
      <c r="A39" s="355" t="str">
        <f>IF(AND((F33=C210),OR(F15="x", F19="x") ),IF(    OR(AND(F35=C221, F37=C255),  AND(F35=C222, F37=C251), AND(F35=C222, F37=C252), AND(F35=C222, F37=C255), AND(F35=C222, F37=C256),    AND(F35=C223, F37=C251), AND(F35=C223, F37=C252), AND(F35=C223, F37=C253), AND(F35=C223, F37=C254), AND(F35=C223, F37=C255), AND(F35=C223, F37=C256), AND(F35=C224, F37=C251), AND(F35=C224, F37=C252), AND(F35=C224, F37=C253), AND(F35=C224, F37=C254), AND(F35=C224, F37=C255), AND(F35=C224, F37=C256), AND(F35=C224, F37=C257), AND(F31=C244,F37=C251),AND(F31=C244,F37=C253), AND(F31=C244,F37=C255),AND(F31=C244,F37=C256),AND(F31=C244,F37=C257),AND(F31=C244,F37=C258),F35="",F37=""  ),IF('EN-101a'!D34="befreit","Bagatellerweiterung, Nachweis erfüllt","Standardlösungskombination nicht zulässig"),""),"")</f>
        <v/>
      </c>
      <c r="B39" s="355"/>
      <c r="C39" s="355"/>
      <c r="D39" s="355"/>
      <c r="E39" s="355"/>
      <c r="F39" s="355"/>
      <c r="G39" s="355"/>
      <c r="H39" s="355"/>
      <c r="I39" s="1"/>
      <c r="J39" s="378" t="str">
        <f>IF(AND(L65="-",OR($F$37=$C$251,$F$37=$C$252,$F$37=$C$257,$F$37=$C$258)),"EN-105 erforderlich","")</f>
        <v/>
      </c>
      <c r="K39" s="378"/>
      <c r="L39" s="378"/>
      <c r="M39" s="378"/>
      <c r="N39" s="378"/>
      <c r="O39" s="378"/>
      <c r="P39" s="378"/>
      <c r="X39" s="383" t="s">
        <v>862</v>
      </c>
      <c r="Y39" s="323"/>
      <c r="Z39" s="324"/>
      <c r="AA39" s="324"/>
      <c r="AB39" s="324"/>
      <c r="AC39" s="51"/>
    </row>
    <row r="40" spans="1:42" ht="2.1" customHeight="1" x14ac:dyDescent="0.2">
      <c r="F40" s="7"/>
      <c r="X40" s="383"/>
      <c r="Y40" s="323"/>
      <c r="Z40" s="324"/>
      <c r="AA40" s="324"/>
      <c r="AB40" s="324"/>
    </row>
    <row r="41" spans="1:42" ht="57" customHeight="1" x14ac:dyDescent="0.2">
      <c r="A41" s="2" t="s">
        <v>445</v>
      </c>
      <c r="B41" s="2"/>
      <c r="G41" s="7"/>
      <c r="L41" s="7" t="s">
        <v>255</v>
      </c>
      <c r="M41" s="7"/>
      <c r="N41" s="7" t="s">
        <v>80</v>
      </c>
      <c r="O41" s="7"/>
      <c r="P41" s="43" t="s">
        <v>437</v>
      </c>
      <c r="Q41" s="7"/>
      <c r="R41" s="7" t="s">
        <v>256</v>
      </c>
      <c r="S41" s="7"/>
      <c r="T41" s="7"/>
      <c r="U41" s="38" t="s">
        <v>466</v>
      </c>
      <c r="X41" s="383"/>
      <c r="Y41" s="323"/>
      <c r="Z41" s="322" t="s">
        <v>441</v>
      </c>
      <c r="AA41" s="322" t="s">
        <v>442</v>
      </c>
      <c r="AB41" s="322" t="s">
        <v>440</v>
      </c>
      <c r="AC41" s="322" t="s">
        <v>962</v>
      </c>
      <c r="AD41" s="322" t="s">
        <v>451</v>
      </c>
      <c r="AE41" s="322" t="s">
        <v>449</v>
      </c>
      <c r="AF41" s="38"/>
      <c r="AG41" s="38"/>
      <c r="AH41" s="38"/>
      <c r="AI41" s="88"/>
      <c r="AJ41" s="88"/>
      <c r="AK41" s="88"/>
      <c r="AL41" s="88"/>
      <c r="AM41" s="88"/>
      <c r="AN41" s="38"/>
      <c r="AO41" s="38"/>
      <c r="AP41" s="38"/>
    </row>
    <row r="42" spans="1:42" ht="2.1" customHeight="1" x14ac:dyDescent="0.2">
      <c r="L42" s="7"/>
      <c r="N42" s="7"/>
      <c r="O42" s="7"/>
      <c r="P42" s="7"/>
      <c r="Q42" s="7"/>
      <c r="R42" s="7"/>
      <c r="S42" s="7"/>
      <c r="T42" s="7"/>
      <c r="X42" s="31"/>
      <c r="Y42" s="323"/>
      <c r="Z42" s="324"/>
      <c r="AA42" s="324"/>
      <c r="AB42" s="324"/>
      <c r="AC42" s="38"/>
      <c r="AD42" s="38"/>
      <c r="AE42" s="38"/>
      <c r="AF42" s="38"/>
      <c r="AG42" s="38"/>
      <c r="AH42" s="38"/>
      <c r="AI42" s="38"/>
      <c r="AJ42" s="38"/>
      <c r="AK42" s="38"/>
      <c r="AL42" s="38"/>
      <c r="AM42" s="38"/>
      <c r="AN42" s="38"/>
      <c r="AO42" s="38"/>
      <c r="AP42" s="38"/>
    </row>
    <row r="43" spans="1:42" ht="15" x14ac:dyDescent="0.2">
      <c r="A43" s="39" t="s">
        <v>274</v>
      </c>
      <c r="B43" s="3" t="s">
        <v>79</v>
      </c>
      <c r="L43" s="12" t="str">
        <f>IF(F31="Minergie-Zertifikat","x","-")</f>
        <v>-</v>
      </c>
      <c r="N43" s="30" t="s">
        <v>43</v>
      </c>
      <c r="O43" s="7"/>
      <c r="P43" s="66" t="str">
        <f>IF(L43="-","",IF(N43="x","✓","✘"))</f>
        <v/>
      </c>
      <c r="Q43" s="90"/>
      <c r="R43" s="66" t="str">
        <f>IF(L43="-","",IF(N43="x","✓","✘"))</f>
        <v/>
      </c>
      <c r="S43" s="31"/>
      <c r="T43" s="74"/>
      <c r="U43" s="9"/>
      <c r="V43" s="9"/>
      <c r="W43" s="9"/>
      <c r="X43" s="129"/>
      <c r="Y43" s="323"/>
      <c r="Z43" s="324">
        <f>IF(AND($L$43="x",N43="-"),1,0)</f>
        <v>0</v>
      </c>
      <c r="AA43" s="324">
        <f>IF(AND(L43="x",P43="-"),1,0)</f>
        <v>0</v>
      </c>
      <c r="AB43" s="324">
        <f>IF(AND(L43="x",R43="✘"),1,0)</f>
        <v>0</v>
      </c>
      <c r="AC43" s="324">
        <f>IF(L43="x",1,0)</f>
        <v>0</v>
      </c>
      <c r="AD43" s="324"/>
      <c r="AE43" s="324"/>
      <c r="AF43" s="38"/>
      <c r="AG43" s="38"/>
      <c r="AH43" s="38"/>
      <c r="AI43" s="38"/>
      <c r="AJ43" s="38"/>
      <c r="AK43" s="38"/>
      <c r="AL43" s="38"/>
      <c r="AM43" s="38"/>
      <c r="AN43" s="38"/>
      <c r="AO43" s="38"/>
      <c r="AP43" s="38"/>
    </row>
    <row r="44" spans="1:42" ht="2.1" customHeight="1" x14ac:dyDescent="0.2">
      <c r="A44" s="39"/>
      <c r="L44" s="7"/>
      <c r="N44" s="7"/>
      <c r="O44" s="7"/>
      <c r="P44" s="66"/>
      <c r="Q44" s="90"/>
      <c r="R44" s="90"/>
      <c r="S44" s="7"/>
      <c r="T44" s="7"/>
      <c r="X44" s="130"/>
      <c r="Y44" s="323"/>
      <c r="Z44" s="324"/>
      <c r="AA44" s="324"/>
      <c r="AB44" s="324"/>
      <c r="AC44" s="324"/>
      <c r="AD44" s="324"/>
      <c r="AE44" s="324"/>
      <c r="AF44" s="38"/>
      <c r="AG44" s="38"/>
      <c r="AH44" s="38"/>
      <c r="AI44" s="38"/>
      <c r="AJ44" s="38"/>
      <c r="AK44" s="38"/>
      <c r="AL44" s="38"/>
      <c r="AM44" s="38"/>
      <c r="AN44" s="38"/>
      <c r="AO44" s="38"/>
      <c r="AP44" s="38"/>
    </row>
    <row r="45" spans="1:42" ht="15.75" x14ac:dyDescent="0.25">
      <c r="A45" s="39"/>
      <c r="B45" s="3" t="s">
        <v>252</v>
      </c>
      <c r="E45" s="4"/>
      <c r="G45" s="7"/>
      <c r="K45" s="4"/>
      <c r="L45" s="7"/>
      <c r="M45" s="7"/>
      <c r="N45" s="7"/>
      <c r="O45" s="7"/>
      <c r="P45" s="66"/>
      <c r="Q45" s="90"/>
      <c r="R45" s="90"/>
      <c r="S45" s="7"/>
      <c r="T45" s="7"/>
      <c r="X45" s="131"/>
      <c r="Y45" s="323"/>
      <c r="Z45" s="324"/>
      <c r="AA45" s="324"/>
      <c r="AB45" s="324"/>
      <c r="AC45" s="324"/>
      <c r="AD45" s="324"/>
      <c r="AE45" s="324"/>
      <c r="AF45" s="38"/>
      <c r="AG45" s="38"/>
      <c r="AH45" s="38"/>
      <c r="AI45" s="38"/>
      <c r="AJ45" s="38"/>
      <c r="AK45" s="38"/>
      <c r="AL45" s="38"/>
      <c r="AM45" s="38"/>
      <c r="AN45" s="38"/>
      <c r="AO45" s="38"/>
      <c r="AP45" s="38"/>
    </row>
    <row r="46" spans="1:42" ht="2.1" customHeight="1" x14ac:dyDescent="0.25">
      <c r="A46" s="39"/>
      <c r="E46" s="4"/>
      <c r="K46" s="4"/>
      <c r="L46" s="7"/>
      <c r="N46" s="7"/>
      <c r="O46" s="7"/>
      <c r="P46" s="66"/>
      <c r="Q46" s="90"/>
      <c r="R46" s="90"/>
      <c r="S46" s="7"/>
      <c r="T46" s="7"/>
      <c r="X46" s="132"/>
      <c r="Y46" s="323"/>
      <c r="Z46" s="324"/>
      <c r="AA46" s="324"/>
      <c r="AB46" s="324"/>
      <c r="AC46" s="324"/>
      <c r="AD46" s="324"/>
      <c r="AE46" s="324"/>
      <c r="AF46" s="38"/>
      <c r="AG46" s="38"/>
      <c r="AH46" s="38"/>
      <c r="AI46" s="38"/>
      <c r="AJ46" s="38"/>
      <c r="AK46" s="38"/>
      <c r="AL46" s="38"/>
      <c r="AM46" s="38"/>
      <c r="AN46" s="38"/>
      <c r="AO46" s="38"/>
      <c r="AP46" s="38"/>
    </row>
    <row r="47" spans="1:42" ht="15.75" x14ac:dyDescent="0.25">
      <c r="A47" s="39" t="s">
        <v>274</v>
      </c>
      <c r="B47" s="118" t="s">
        <v>502</v>
      </c>
      <c r="C47" s="2" t="s">
        <v>924</v>
      </c>
      <c r="D47" s="3" t="s">
        <v>925</v>
      </c>
      <c r="E47" s="4"/>
      <c r="K47" s="4"/>
      <c r="L47" s="12" t="str">
        <f>IF(AND(F33=C210,OR(F15="x",F19="x")),"x",IF(F33="Nicht erforderlich: Bagatellerweiterung","x","-"))</f>
        <v>-</v>
      </c>
      <c r="N47" s="30" t="s">
        <v>43</v>
      </c>
      <c r="O47" s="7"/>
      <c r="P47" s="66" t="str">
        <f>IF(L47="-","",IF(Unterlagen_101a="erfüllt","✓","✘"))</f>
        <v/>
      </c>
      <c r="Q47" s="90"/>
      <c r="R47" s="66" t="str">
        <f>IF(L47="-","",IF(AND(N47="x",'EN-101a'!D70="erfüllt"),"✓","✘"))</f>
        <v/>
      </c>
      <c r="S47" s="31"/>
      <c r="T47" s="74"/>
      <c r="U47" s="9" t="str">
        <f>IF(L47="-","",IF(AD47=1,"Freigabe trotz fehlenden Unterlagen und ohne Kontrolle",IF(AE47=1,"Freigabe trotz einzelnen Abweichungen.",IF(AND('EN-101a'!D34="befreit",F19="x",L47="x",R47="✓"),"Bagatellerweiterung, Nachweis erfüllt.",""))))</f>
        <v/>
      </c>
      <c r="V47" s="9"/>
      <c r="W47" s="9"/>
      <c r="X47" s="131" t="str">
        <f>IF(Bem_101a,"!","")</f>
        <v/>
      </c>
      <c r="Y47" s="323"/>
      <c r="Z47" s="324">
        <f>IF(AND(L47="x",N47="-"),1,0)</f>
        <v>0</v>
      </c>
      <c r="AA47" s="324">
        <f>IF(AND(L47="x",P47="✘"),1,0)</f>
        <v>0</v>
      </c>
      <c r="AB47" s="324">
        <f>IF(AND(L47="x",R47="✘"),1,0)</f>
        <v>0</v>
      </c>
      <c r="AC47" s="324">
        <f>IF(L47="x",1,0)</f>
        <v>0</v>
      </c>
      <c r="AD47" s="324">
        <f>IF('EN-101a'!F68="x",1,0)</f>
        <v>0</v>
      </c>
      <c r="AE47" s="324">
        <f>IF('EN-101a'!F70="x",1,0)</f>
        <v>0</v>
      </c>
      <c r="AF47" s="38"/>
      <c r="AG47" s="38"/>
      <c r="AH47" s="38"/>
      <c r="AI47" s="38"/>
      <c r="AJ47" s="38"/>
      <c r="AK47" s="38"/>
      <c r="AL47" s="38"/>
      <c r="AM47" s="38"/>
      <c r="AN47" s="38"/>
      <c r="AO47" s="38"/>
      <c r="AP47" s="38"/>
    </row>
    <row r="48" spans="1:42" ht="2.1" customHeight="1" x14ac:dyDescent="0.25">
      <c r="A48" s="39"/>
      <c r="B48" s="11"/>
      <c r="L48" s="7"/>
      <c r="N48" s="7"/>
      <c r="P48" s="66"/>
      <c r="Q48" s="2"/>
      <c r="R48" s="2"/>
      <c r="X48" s="131"/>
      <c r="Y48" s="323"/>
      <c r="Z48" s="324"/>
      <c r="AA48" s="324"/>
      <c r="AB48" s="324"/>
      <c r="AC48" s="324"/>
      <c r="AD48" s="324"/>
      <c r="AE48" s="324"/>
      <c r="AF48" s="38"/>
      <c r="AG48" s="38"/>
      <c r="AH48" s="38"/>
      <c r="AI48" s="38"/>
      <c r="AJ48" s="38"/>
      <c r="AK48" s="38"/>
      <c r="AL48" s="38"/>
      <c r="AM48" s="38"/>
      <c r="AN48" s="38"/>
      <c r="AO48" s="38"/>
      <c r="AP48" s="38"/>
    </row>
    <row r="49" spans="1:42" ht="15.75" x14ac:dyDescent="0.25">
      <c r="A49" s="39" t="s">
        <v>274</v>
      </c>
      <c r="B49" s="117" t="s">
        <v>502</v>
      </c>
      <c r="C49" s="2" t="s">
        <v>927</v>
      </c>
      <c r="D49" s="3" t="s">
        <v>943</v>
      </c>
      <c r="L49" s="12" t="str">
        <f>IF(AND(F33=C209,OR(F15="x",F19="x")),"x","-")</f>
        <v>-</v>
      </c>
      <c r="N49" s="30" t="s">
        <v>43</v>
      </c>
      <c r="P49" s="66" t="str">
        <f>IF(L49="-","",IF('EN-101b'!D165="erfüllt","✓","✘"))</f>
        <v/>
      </c>
      <c r="Q49" s="2"/>
      <c r="R49" s="66" t="str">
        <f>IF(L49="-","",IF(AND(N49="x",'EN-101b'!D167="erfüllt"),"✓","✘"))</f>
        <v/>
      </c>
      <c r="S49" s="31"/>
      <c r="U49" s="9" t="str">
        <f>IF(L49="-","",IF(AD49=1,"Freigabe trotz fehlenden Unterlagen und ohne Kontrolle",IF(AE49=1,"Freigabe trotz einzelnen Abweichungen.","")))</f>
        <v/>
      </c>
      <c r="V49" s="9"/>
      <c r="W49" s="9"/>
      <c r="X49" s="131" t="str">
        <f>IF(Bem_101b,"!","")</f>
        <v/>
      </c>
      <c r="Y49" s="323"/>
      <c r="Z49" s="324">
        <f>IF(AND(L49="x",N49="-"),1,0)</f>
        <v>0</v>
      </c>
      <c r="AA49" s="324">
        <f>IF(AND(L49="x",P49="✘"),1,0)</f>
        <v>0</v>
      </c>
      <c r="AB49" s="324">
        <f>IF(AND(L49="x",R49="✘"),1,0)</f>
        <v>0</v>
      </c>
      <c r="AC49" s="324">
        <f>IF(L49="x",1,0)</f>
        <v>0</v>
      </c>
      <c r="AD49" s="324">
        <f>IF('EN-101b'!F165="x",1,0)</f>
        <v>0</v>
      </c>
      <c r="AE49" s="324">
        <f>IF('EN-101b'!F167="x",1,0)</f>
        <v>0</v>
      </c>
      <c r="AF49" s="38"/>
      <c r="AG49" s="38"/>
      <c r="AH49" s="38"/>
      <c r="AI49" s="38"/>
      <c r="AJ49" s="38"/>
      <c r="AK49" s="38"/>
      <c r="AL49" s="38"/>
      <c r="AM49" s="38"/>
      <c r="AN49" s="38"/>
      <c r="AO49" s="38"/>
      <c r="AP49" s="38"/>
    </row>
    <row r="50" spans="1:42" ht="1.5" customHeight="1" x14ac:dyDescent="0.25">
      <c r="A50" s="39"/>
      <c r="B50" s="117"/>
      <c r="L50" s="14"/>
      <c r="N50" s="27"/>
      <c r="P50" s="66"/>
      <c r="Q50" s="2"/>
      <c r="R50" s="66"/>
      <c r="S50" s="31"/>
      <c r="X50" s="131"/>
      <c r="Y50" s="323"/>
      <c r="Z50" s="324">
        <f t="shared" ref="Z50:Z51" si="0">IF(AND(L50="x",N50="-"),1,0)</f>
        <v>0</v>
      </c>
      <c r="AA50" s="324">
        <f t="shared" ref="AA50:AA51" si="1">IF(AND(L50="x",P50="✘"),1,0)</f>
        <v>0</v>
      </c>
      <c r="AB50" s="324">
        <f t="shared" ref="AB50:AB51" si="2">IF(AND(L50="x",R50="✘"),1,0)</f>
        <v>0</v>
      </c>
      <c r="AC50" s="324"/>
      <c r="AD50" s="324"/>
      <c r="AE50" s="324"/>
      <c r="AF50" s="38"/>
      <c r="AG50" s="38"/>
      <c r="AH50" s="38"/>
      <c r="AI50" s="38"/>
      <c r="AJ50" s="38"/>
      <c r="AK50" s="38"/>
      <c r="AL50" s="38"/>
      <c r="AM50" s="38"/>
      <c r="AN50" s="38"/>
      <c r="AO50" s="38"/>
      <c r="AP50" s="38"/>
    </row>
    <row r="51" spans="1:42" ht="15.75" x14ac:dyDescent="0.25">
      <c r="A51" s="39"/>
      <c r="B51" s="118" t="s">
        <v>502</v>
      </c>
      <c r="C51" s="2" t="s">
        <v>928</v>
      </c>
      <c r="D51" s="3" t="s">
        <v>944</v>
      </c>
      <c r="L51" s="12" t="str">
        <f>IF(OR(F33="Nachweistool einfache Bauten (ENteb-Tool)",F31="Nachweistool einfache Bauten (ENteb-Tool)"),"x","-")</f>
        <v>-</v>
      </c>
      <c r="N51" s="30" t="s">
        <v>43</v>
      </c>
      <c r="P51" s="66" t="str">
        <f>IF(L51="-","",IF(Unterlagen_101c="erfüllt","✓","✘"))</f>
        <v/>
      </c>
      <c r="Q51" s="2"/>
      <c r="R51" s="66" t="str">
        <f>IF(L51="-","",IF(AND(N51="x",Ergebnis_EN101c="erfüllt"),"✓","✘"))</f>
        <v/>
      </c>
      <c r="S51" s="31"/>
      <c r="U51" s="391" t="str">
        <f>IF(AD51=1,"Freigabe trotz fehlenden Unterlagen und ohne Kontrolle",IF(AE51=1,"Freigabe trotz einzelnen Abweichungen.",""))</f>
        <v/>
      </c>
      <c r="V51" s="391"/>
      <c r="W51" s="391"/>
      <c r="X51" s="131" t="str">
        <f>IF(Bem_101c,"!","")</f>
        <v/>
      </c>
      <c r="Y51" s="323"/>
      <c r="Z51" s="324">
        <f t="shared" si="0"/>
        <v>0</v>
      </c>
      <c r="AA51" s="324">
        <f t="shared" si="1"/>
        <v>0</v>
      </c>
      <c r="AB51" s="324">
        <f t="shared" si="2"/>
        <v>0</v>
      </c>
      <c r="AC51" s="324">
        <f>IF(L51="x",1,0)</f>
        <v>0</v>
      </c>
      <c r="AD51" s="324">
        <f>IF('EN-101c'!F120="x",1,0)</f>
        <v>0</v>
      </c>
      <c r="AE51" s="324">
        <f>IF('EN-101c'!F122="x",1,0)</f>
        <v>0</v>
      </c>
      <c r="AF51" s="38"/>
      <c r="AG51" s="38"/>
      <c r="AH51" s="38"/>
      <c r="AI51" s="38"/>
      <c r="AJ51" s="38"/>
      <c r="AK51" s="38"/>
      <c r="AL51" s="38"/>
      <c r="AM51" s="38"/>
      <c r="AN51" s="38"/>
      <c r="AO51" s="38"/>
      <c r="AP51" s="38"/>
    </row>
    <row r="52" spans="1:42" ht="1.1499999999999999" customHeight="1" x14ac:dyDescent="0.25">
      <c r="A52" s="39"/>
      <c r="B52" s="117"/>
      <c r="L52" s="14"/>
      <c r="N52" s="27"/>
      <c r="P52" s="66"/>
      <c r="Q52" s="2"/>
      <c r="R52" s="66"/>
      <c r="S52" s="31"/>
      <c r="X52" s="131"/>
      <c r="Y52" s="323"/>
      <c r="Z52" s="324"/>
      <c r="AA52" s="324"/>
      <c r="AB52" s="324"/>
      <c r="AC52" s="324"/>
      <c r="AD52" s="324"/>
      <c r="AE52" s="324"/>
      <c r="AF52" s="38"/>
      <c r="AG52" s="38"/>
      <c r="AH52" s="38"/>
      <c r="AI52" s="38"/>
      <c r="AJ52" s="38"/>
      <c r="AK52" s="38"/>
      <c r="AL52" s="38"/>
      <c r="AM52" s="38"/>
      <c r="AN52" s="38"/>
      <c r="AO52" s="38"/>
      <c r="AP52" s="38"/>
    </row>
    <row r="53" spans="1:42" ht="15.75" x14ac:dyDescent="0.25">
      <c r="A53" s="39"/>
      <c r="B53" s="3" t="s">
        <v>253</v>
      </c>
      <c r="E53" s="4"/>
      <c r="G53" s="7"/>
      <c r="K53" s="4"/>
      <c r="L53" s="7"/>
      <c r="M53" s="7"/>
      <c r="N53" s="7"/>
      <c r="O53" s="7"/>
      <c r="P53" s="66"/>
      <c r="Q53" s="90"/>
      <c r="R53" s="90"/>
      <c r="S53" s="7"/>
      <c r="T53" s="7"/>
      <c r="X53" s="131"/>
      <c r="Y53" s="323"/>
      <c r="Z53" s="324"/>
      <c r="AA53" s="324"/>
      <c r="AB53" s="324"/>
      <c r="AC53" s="324"/>
      <c r="AD53" s="324"/>
      <c r="AE53" s="324"/>
      <c r="AF53" s="38"/>
      <c r="AG53" s="38"/>
      <c r="AH53" s="38"/>
      <c r="AI53" s="38"/>
      <c r="AJ53" s="38"/>
      <c r="AK53" s="38"/>
      <c r="AL53" s="38"/>
      <c r="AM53" s="38"/>
      <c r="AN53" s="38"/>
      <c r="AO53" s="38"/>
      <c r="AP53" s="38"/>
    </row>
    <row r="54" spans="1:42" ht="2.1" customHeight="1" x14ac:dyDescent="0.25">
      <c r="A54" s="39"/>
      <c r="E54" s="4"/>
      <c r="K54" s="4"/>
      <c r="L54" s="7"/>
      <c r="N54" s="7"/>
      <c r="O54" s="7"/>
      <c r="P54" s="66"/>
      <c r="Q54" s="90"/>
      <c r="R54" s="90"/>
      <c r="S54" s="7"/>
      <c r="T54" s="7"/>
      <c r="X54" s="131"/>
      <c r="Y54" s="323"/>
      <c r="Z54" s="324"/>
      <c r="AA54" s="324"/>
      <c r="AB54" s="324"/>
      <c r="AC54" s="324"/>
      <c r="AD54" s="324"/>
      <c r="AE54" s="324"/>
      <c r="AF54" s="38"/>
      <c r="AG54" s="38"/>
      <c r="AH54" s="38"/>
      <c r="AI54" s="38"/>
      <c r="AJ54" s="38"/>
      <c r="AK54" s="38"/>
      <c r="AL54" s="38"/>
      <c r="AM54" s="38"/>
      <c r="AN54" s="38"/>
      <c r="AO54" s="38"/>
      <c r="AP54" s="38"/>
    </row>
    <row r="55" spans="1:42" ht="15.75" x14ac:dyDescent="0.25">
      <c r="A55" s="39" t="s">
        <v>274</v>
      </c>
      <c r="B55" s="117" t="s">
        <v>502</v>
      </c>
      <c r="C55" s="2" t="s">
        <v>929</v>
      </c>
      <c r="D55" s="3" t="s">
        <v>945</v>
      </c>
      <c r="E55" s="4"/>
      <c r="K55" s="4"/>
      <c r="L55" s="12" t="str">
        <f>IF(AND(F31="Einzelbauteilnachweis",OR(F15="x",F19="x")),"x","-")</f>
        <v>-</v>
      </c>
      <c r="N55" s="30" t="s">
        <v>43</v>
      </c>
      <c r="O55" s="7"/>
      <c r="P55" s="66" t="str">
        <f>IF(L55="-","",IF('EN-102a Neubau'!D154="erfüllt","✓","✘"))</f>
        <v/>
      </c>
      <c r="Q55" s="90"/>
      <c r="R55" s="66" t="str">
        <f>IF(L55="-","",IF(AND(N55="x",'EN-102a Neubau'!D156="erfüllt"),"✓","✘"))</f>
        <v/>
      </c>
      <c r="S55" s="31"/>
      <c r="T55" s="7"/>
      <c r="U55" s="9" t="str">
        <f>IF(L55="-","",IF(AD55=1,"Freigabe trotz fehlenden Unterlagen und ohne Kontrolle",IF(AE55=1,"Freigabe trotz einzelnen Abweichungen.","")))</f>
        <v/>
      </c>
      <c r="V55" s="111"/>
      <c r="W55" s="9"/>
      <c r="X55" s="131" t="str">
        <f>IF(Bem_102aN,"!","")</f>
        <v/>
      </c>
      <c r="Y55" s="323"/>
      <c r="Z55" s="324">
        <f>IF(AND(L55="x",N55="-"),1,0)</f>
        <v>0</v>
      </c>
      <c r="AA55" s="324">
        <f>IF(AND(L55="x",P55="✘"),1,0)</f>
        <v>0</v>
      </c>
      <c r="AB55" s="324">
        <f>IF(AND(L55="x",R55="✘"),1,0)</f>
        <v>0</v>
      </c>
      <c r="AC55" s="324">
        <f>IF(L55="x",1,0)</f>
        <v>0</v>
      </c>
      <c r="AD55" s="324">
        <f>IF('EN-102a Neubau'!H154="x",1,0)</f>
        <v>0</v>
      </c>
      <c r="AE55" s="324">
        <f>IF(Freigabe_102aN="x",1,0)</f>
        <v>0</v>
      </c>
      <c r="AF55" s="38"/>
      <c r="AG55" s="307"/>
      <c r="AH55" s="38"/>
      <c r="AI55" s="38"/>
      <c r="AJ55" s="38"/>
      <c r="AK55" s="38"/>
      <c r="AL55" s="38"/>
      <c r="AM55" s="38"/>
      <c r="AN55" s="38"/>
      <c r="AO55" s="38"/>
      <c r="AP55" s="38"/>
    </row>
    <row r="56" spans="1:42" ht="2.1" customHeight="1" x14ac:dyDescent="0.25">
      <c r="A56" s="39"/>
      <c r="B56" s="11"/>
      <c r="E56" s="4"/>
      <c r="K56" s="4"/>
      <c r="L56" s="7"/>
      <c r="N56" s="7"/>
      <c r="O56" s="7"/>
      <c r="P56" s="66"/>
      <c r="Q56" s="90"/>
      <c r="R56" s="90"/>
      <c r="S56" s="7"/>
      <c r="T56" s="7"/>
      <c r="U56" s="3" t="str">
        <f>IF(AD57=1,"Freigabe trotz fehlenden Unterlagen und ohne Kontrolle",IF(AE57=1,"Freigabe trotz einzelnen Abweichungen.",""))</f>
        <v/>
      </c>
      <c r="X56" s="131"/>
      <c r="Y56" s="323"/>
      <c r="Z56" s="324"/>
      <c r="AA56" s="324"/>
      <c r="AB56" s="324"/>
      <c r="AC56" s="324"/>
      <c r="AD56" s="324"/>
      <c r="AE56" s="324"/>
      <c r="AF56" s="38"/>
      <c r="AG56" s="38"/>
      <c r="AH56" s="38"/>
      <c r="AI56" s="38"/>
      <c r="AJ56" s="38"/>
      <c r="AK56" s="38"/>
      <c r="AL56" s="38"/>
      <c r="AM56" s="38"/>
      <c r="AN56" s="38"/>
      <c r="AO56" s="38"/>
      <c r="AP56" s="38"/>
    </row>
    <row r="57" spans="1:42" ht="15.75" customHeight="1" x14ac:dyDescent="0.25">
      <c r="A57" s="39" t="s">
        <v>274</v>
      </c>
      <c r="B57" s="117" t="s">
        <v>502</v>
      </c>
      <c r="C57" s="2" t="s">
        <v>929</v>
      </c>
      <c r="D57" s="3" t="s">
        <v>946</v>
      </c>
      <c r="E57" s="4"/>
      <c r="K57" s="4"/>
      <c r="L57" s="12" t="str">
        <f>IF(AND(OR(F17="x",F21="x"),F31="Einzelbauteilnachweis"),"x","-")</f>
        <v>-</v>
      </c>
      <c r="N57" s="30" t="s">
        <v>43</v>
      </c>
      <c r="O57" s="7"/>
      <c r="P57" s="66" t="str">
        <f>IF(L57="-","",IF( 'EN-102a Umbau'!D147="erfüllt","✓","✘"))</f>
        <v/>
      </c>
      <c r="Q57" s="90"/>
      <c r="R57" s="66" t="str">
        <f>IF(L57="-","",IF(AND(N57="x", 'EN-102a Umbau'!D149="erfüllt"),"✓","✘"))</f>
        <v/>
      </c>
      <c r="S57" s="31"/>
      <c r="T57" s="7"/>
      <c r="U57" s="9" t="str">
        <f>IF(L57="-","",IF(AD57=1,"Freigabe trotz fehlenden Unterlagen und ohne Kontrolle",IF(AE57=1,"Freigabe trotz einzelnen Abweichungen.","")))</f>
        <v/>
      </c>
      <c r="V57" s="111"/>
      <c r="W57" s="9"/>
      <c r="X57" s="131" t="str">
        <f>IF(Bem_102aU,"!","")</f>
        <v/>
      </c>
      <c r="Y57" s="323"/>
      <c r="Z57" s="324">
        <f>IF(AND(L57="x",N57="-"),1,0)</f>
        <v>0</v>
      </c>
      <c r="AA57" s="324">
        <f>IF(AND(L57="x",P57="✘"),1,0)</f>
        <v>0</v>
      </c>
      <c r="AB57" s="324">
        <f>IF(AND(L57="x",R57="✘"),1,0)</f>
        <v>0</v>
      </c>
      <c r="AC57" s="324">
        <f>IF(L57="x",1,0)</f>
        <v>0</v>
      </c>
      <c r="AD57" s="324">
        <f>IF('EN-102a Umbau'!H147="x",1,0)</f>
        <v>0</v>
      </c>
      <c r="AE57" s="324">
        <f>IF('EN-102a Umbau'!H149="x",1,0)</f>
        <v>0</v>
      </c>
      <c r="AF57" s="38"/>
      <c r="AG57" s="38"/>
      <c r="AH57" s="38"/>
      <c r="AI57" s="38"/>
      <c r="AJ57" s="38"/>
      <c r="AK57" s="38"/>
      <c r="AL57" s="38"/>
      <c r="AM57" s="38"/>
      <c r="AN57" s="38"/>
      <c r="AO57" s="38"/>
      <c r="AP57" s="38"/>
    </row>
    <row r="58" spans="1:42" ht="2.1" customHeight="1" x14ac:dyDescent="0.25">
      <c r="A58" s="39"/>
      <c r="B58" s="11"/>
      <c r="L58" s="7"/>
      <c r="N58" s="7"/>
      <c r="P58" s="66"/>
      <c r="Q58" s="2"/>
      <c r="R58" s="2"/>
      <c r="X58" s="131"/>
      <c r="Y58" s="323"/>
      <c r="Z58" s="324"/>
      <c r="AA58" s="324"/>
      <c r="AB58" s="324"/>
      <c r="AC58" s="324"/>
      <c r="AD58" s="324"/>
      <c r="AE58" s="324"/>
      <c r="AF58" s="38"/>
      <c r="AG58" s="38"/>
      <c r="AH58" s="38"/>
      <c r="AI58" s="38"/>
      <c r="AJ58" s="38"/>
      <c r="AK58" s="38"/>
      <c r="AL58" s="38"/>
      <c r="AM58" s="38"/>
      <c r="AN58" s="38"/>
      <c r="AO58" s="38"/>
      <c r="AP58" s="38"/>
    </row>
    <row r="59" spans="1:42" ht="15.75" x14ac:dyDescent="0.25">
      <c r="A59" s="39" t="s">
        <v>274</v>
      </c>
      <c r="B59" s="117" t="s">
        <v>502</v>
      </c>
      <c r="C59" s="2" t="s">
        <v>930</v>
      </c>
      <c r="D59" s="3" t="s">
        <v>947</v>
      </c>
      <c r="L59" s="12" t="str">
        <f>IF(F31="Systemnachweis","x","-")</f>
        <v>-</v>
      </c>
      <c r="N59" s="30" t="s">
        <v>43</v>
      </c>
      <c r="P59" s="66" t="str">
        <f>IF(L59="-","",IF( 'EN-102b'!D270="erfüllt","✓","✘"))</f>
        <v/>
      </c>
      <c r="Q59" s="2"/>
      <c r="R59" s="66" t="str">
        <f>IF(L59="-","",IF(AND(N59="x", 'EN-102b'!D272   ="erfüllt"),"✓","✘"))</f>
        <v/>
      </c>
      <c r="S59" s="31"/>
      <c r="U59" s="9" t="str">
        <f>IF(L59="-","",IF(AD59=1,"Freigabe trotz fehlenden Unterlagen und ohne Kontrolle",IF(AE59=1,"Freigabe trotz einzelnen Abweichungen.","")))</f>
        <v/>
      </c>
      <c r="V59" s="9"/>
      <c r="W59" s="9"/>
      <c r="X59" s="131" t="str">
        <f>IF(Bem_102b,"!","")</f>
        <v/>
      </c>
      <c r="Y59" s="323"/>
      <c r="Z59" s="324">
        <f>IF(AND(L59="x",N59="-"),1,0)</f>
        <v>0</v>
      </c>
      <c r="AA59" s="324">
        <f>IF(AND(L59="x",P59="✘"),1,0)</f>
        <v>0</v>
      </c>
      <c r="AB59" s="324">
        <f>IF(AND(L59="x",R59="✘"),1,0)</f>
        <v>0</v>
      </c>
      <c r="AC59" s="324">
        <f>IF(L59="x",1,0)</f>
        <v>0</v>
      </c>
      <c r="AD59" s="324">
        <f>IF('EN-102b'!F270="x",1,0)</f>
        <v>0</v>
      </c>
      <c r="AE59" s="324">
        <f>IF(Freigabe_102b="x",1,0)</f>
        <v>0</v>
      </c>
      <c r="AF59" s="38"/>
      <c r="AG59" s="38"/>
      <c r="AH59" s="38"/>
      <c r="AI59" s="38"/>
      <c r="AJ59" s="38"/>
      <c r="AK59" s="38"/>
      <c r="AL59" s="38"/>
      <c r="AM59" s="38"/>
      <c r="AN59" s="38"/>
      <c r="AO59" s="38"/>
      <c r="AP59" s="38"/>
    </row>
    <row r="60" spans="1:42" ht="2.1" customHeight="1" x14ac:dyDescent="0.25">
      <c r="A60" s="39"/>
      <c r="L60" s="7"/>
      <c r="N60" s="7"/>
      <c r="P60" s="66"/>
      <c r="Q60" s="2"/>
      <c r="R60" s="2"/>
      <c r="X60" s="131"/>
      <c r="Y60" s="323"/>
      <c r="Z60" s="324"/>
      <c r="AA60" s="324"/>
      <c r="AB60" s="324"/>
      <c r="AC60" s="324"/>
      <c r="AD60" s="324"/>
      <c r="AE60" s="324"/>
      <c r="AF60" s="38"/>
      <c r="AG60" s="38"/>
      <c r="AH60" s="38"/>
      <c r="AI60" s="38"/>
      <c r="AJ60" s="38"/>
      <c r="AK60" s="38"/>
      <c r="AL60" s="38"/>
      <c r="AM60" s="38"/>
      <c r="AN60" s="38"/>
      <c r="AO60" s="38"/>
      <c r="AP60" s="38"/>
    </row>
    <row r="61" spans="1:42" ht="15.75" x14ac:dyDescent="0.25">
      <c r="A61" s="39"/>
      <c r="B61" s="3" t="s">
        <v>254</v>
      </c>
      <c r="E61" s="4"/>
      <c r="G61" s="7"/>
      <c r="K61" s="4"/>
      <c r="L61" s="7"/>
      <c r="M61" s="7"/>
      <c r="N61" s="7"/>
      <c r="O61" s="7"/>
      <c r="P61" s="66"/>
      <c r="Q61" s="90"/>
      <c r="R61" s="90"/>
      <c r="S61" s="7"/>
      <c r="T61" s="7"/>
      <c r="X61" s="131"/>
      <c r="Y61" s="323"/>
      <c r="Z61" s="324"/>
      <c r="AA61" s="324"/>
      <c r="AB61" s="324"/>
      <c r="AC61" s="324"/>
      <c r="AD61" s="324"/>
      <c r="AE61" s="324"/>
      <c r="AF61" s="38"/>
      <c r="AG61" s="38"/>
      <c r="AH61" s="38"/>
      <c r="AI61" s="38"/>
      <c r="AJ61" s="38"/>
      <c r="AK61" s="38"/>
      <c r="AL61" s="38"/>
      <c r="AM61" s="38"/>
      <c r="AN61" s="38"/>
      <c r="AO61" s="38"/>
      <c r="AP61" s="38"/>
    </row>
    <row r="62" spans="1:42" ht="2.1" customHeight="1" x14ac:dyDescent="0.25">
      <c r="A62" s="39"/>
      <c r="E62" s="4"/>
      <c r="K62" s="4"/>
      <c r="L62" s="7"/>
      <c r="N62" s="7"/>
      <c r="O62" s="7"/>
      <c r="P62" s="66"/>
      <c r="Q62" s="90"/>
      <c r="R62" s="90"/>
      <c r="S62" s="7"/>
      <c r="T62" s="7"/>
      <c r="X62" s="131"/>
      <c r="Y62" s="323"/>
      <c r="Z62" s="324"/>
      <c r="AA62" s="324"/>
      <c r="AB62" s="324"/>
      <c r="AC62" s="324"/>
      <c r="AD62" s="324"/>
      <c r="AE62" s="324"/>
      <c r="AF62" s="38"/>
      <c r="AG62" s="38"/>
      <c r="AH62" s="38"/>
      <c r="AI62" s="38"/>
      <c r="AJ62" s="38"/>
      <c r="AK62" s="38"/>
      <c r="AL62" s="38"/>
      <c r="AM62" s="38"/>
      <c r="AN62" s="38"/>
      <c r="AO62" s="38"/>
      <c r="AP62" s="38"/>
    </row>
    <row r="63" spans="1:42" ht="15.75" x14ac:dyDescent="0.25">
      <c r="A63" s="39" t="s">
        <v>274</v>
      </c>
      <c r="B63" s="118" t="s">
        <v>502</v>
      </c>
      <c r="C63" s="2" t="s">
        <v>931</v>
      </c>
      <c r="D63" s="3" t="s">
        <v>948</v>
      </c>
      <c r="E63" s="4"/>
      <c r="K63" s="4"/>
      <c r="L63" s="12" t="str">
        <f>IF(AND(F23="x",L43="x"),"-",IF(F23="x","x",IF(OR(L51="x",V25="x"),"-",IF(AND(OR(F15="x",F19="x",F23="x"),NOT(F31=C245),NOT(F33="Nicht erforderlich: Bagatellerweiterung")),"x","-"))))</f>
        <v>-</v>
      </c>
      <c r="N63" s="30" t="s">
        <v>43</v>
      </c>
      <c r="O63" s="7"/>
      <c r="P63" s="66" t="str">
        <f>IF(L63="-","",IF('EN-103'!D134="erfüllt","✓","✘"))</f>
        <v/>
      </c>
      <c r="Q63" s="90"/>
      <c r="R63" s="66" t="str">
        <f>IF(L63="-","",IF(AND(N63="x",'EN-103'!D136="erfüllt"),"✓","✘"))</f>
        <v/>
      </c>
      <c r="S63" s="31"/>
      <c r="T63" s="7"/>
      <c r="U63" s="9" t="str">
        <f>IF(L63="-","",IF(AD63=1,"Freigabe trotz fehlenden Unterlagen und ohne Kontrolle",IF(AE63=1,"Freigabe trotz einzelnen Abweichungen.","")))</f>
        <v/>
      </c>
      <c r="V63" s="111"/>
      <c r="W63" s="9"/>
      <c r="X63" s="131" t="str">
        <f>IF(Bem_103,"!","")</f>
        <v/>
      </c>
      <c r="Y63" s="323"/>
      <c r="Z63" s="324">
        <f>IF(AND(L63="x",N63="-"),1,0)</f>
        <v>0</v>
      </c>
      <c r="AA63" s="324">
        <f>IF(AND(L63="x",P63="✘"),1,0)</f>
        <v>0</v>
      </c>
      <c r="AB63" s="324">
        <f>IF(AND(L63="x",R63="✘"),1,0)</f>
        <v>0</v>
      </c>
      <c r="AC63" s="324">
        <f>IF(L63="x",1,0)</f>
        <v>0</v>
      </c>
      <c r="AD63" s="324">
        <f>IF('EN-103'!F26="x",1,0)</f>
        <v>0</v>
      </c>
      <c r="AE63" s="324">
        <f>IF('EN-103'!F136="x",1,0)</f>
        <v>0</v>
      </c>
      <c r="AF63" s="38"/>
      <c r="AG63" s="38"/>
      <c r="AH63" s="38"/>
      <c r="AI63" s="38"/>
      <c r="AJ63" s="38"/>
      <c r="AK63" s="38"/>
      <c r="AL63" s="38"/>
      <c r="AM63" s="38"/>
      <c r="AN63" s="38"/>
      <c r="AO63" s="38"/>
      <c r="AP63" s="38"/>
    </row>
    <row r="64" spans="1:42" ht="2.1" customHeight="1" x14ac:dyDescent="0.25">
      <c r="A64" s="39"/>
      <c r="B64" s="11"/>
      <c r="L64" s="7"/>
      <c r="N64" s="7"/>
      <c r="P64" s="66"/>
      <c r="Q64" s="2"/>
      <c r="R64" s="2"/>
      <c r="X64" s="131"/>
      <c r="Y64" s="323"/>
      <c r="Z64" s="324"/>
      <c r="AA64" s="324"/>
      <c r="AB64" s="324"/>
      <c r="AC64" s="324"/>
      <c r="AD64" s="324"/>
      <c r="AE64" s="324"/>
      <c r="AF64" s="38"/>
      <c r="AG64" s="38"/>
      <c r="AH64" s="38"/>
      <c r="AI64" s="38"/>
      <c r="AJ64" s="38"/>
      <c r="AK64" s="38"/>
      <c r="AL64" s="38"/>
      <c r="AM64" s="38"/>
      <c r="AN64" s="38"/>
      <c r="AO64" s="38"/>
      <c r="AP64" s="38"/>
    </row>
    <row r="65" spans="1:42" ht="15.75" x14ac:dyDescent="0.25">
      <c r="A65" s="39" t="s">
        <v>274</v>
      </c>
      <c r="B65" s="118" t="s">
        <v>502</v>
      </c>
      <c r="C65" s="2" t="s">
        <v>932</v>
      </c>
      <c r="D65" s="3" t="s">
        <v>949</v>
      </c>
      <c r="L65" s="30" t="s">
        <v>43</v>
      </c>
      <c r="N65" s="30" t="s">
        <v>43</v>
      </c>
      <c r="P65" s="66" t="str">
        <f>IF(L65="-","",IF('EN-105'!D216="erfüllt","✓","✘"))</f>
        <v/>
      </c>
      <c r="Q65" s="2"/>
      <c r="R65" s="66" t="str">
        <f>IF(L65="-","",IF(AND(N65="x",'EN-105'!D218="erfüllt"),"✓","✘"))</f>
        <v/>
      </c>
      <c r="S65" s="31"/>
      <c r="U65" s="9" t="str">
        <f>IF(L65="-","",IF(AD65=1,"Freigabe trotz fehlenden Unterlagen und ohne Kontrolle",IF(AE65=1,"Freigabe trotz einzelnen Abweichungen.","")))</f>
        <v/>
      </c>
      <c r="V65" s="9"/>
      <c r="W65" s="9"/>
      <c r="X65" s="131" t="str">
        <f>IF(Bem_105,"!","")</f>
        <v/>
      </c>
      <c r="Y65" s="323"/>
      <c r="Z65" s="324">
        <f>IF(AND(L65="x",N65="-"),1,0)</f>
        <v>0</v>
      </c>
      <c r="AA65" s="324">
        <f>IF(AND(L65="x",P65="✘"),1,0)</f>
        <v>0</v>
      </c>
      <c r="AB65" s="324">
        <f>IF(AND(L65="x",R65="✘"),1,0)</f>
        <v>0</v>
      </c>
      <c r="AC65" s="324">
        <f>IF(L65="x",1,0)</f>
        <v>0</v>
      </c>
      <c r="AD65" s="324">
        <f>IF('EN-105'!F33="x",1,0)</f>
        <v>0</v>
      </c>
      <c r="AE65" s="324">
        <f>IF(Freigabe_105="x",1,0)</f>
        <v>0</v>
      </c>
      <c r="AF65" s="38"/>
      <c r="AG65" s="38"/>
      <c r="AH65" s="38"/>
      <c r="AI65" s="38"/>
      <c r="AJ65" s="38"/>
      <c r="AK65" s="38"/>
      <c r="AL65" s="38"/>
      <c r="AM65" s="38"/>
      <c r="AN65" s="38"/>
      <c r="AO65" s="38"/>
      <c r="AP65" s="38"/>
    </row>
    <row r="66" spans="1:42" ht="2.1" customHeight="1" x14ac:dyDescent="0.25">
      <c r="A66" s="39"/>
      <c r="B66" s="11"/>
      <c r="L66" s="7"/>
      <c r="N66" s="7"/>
      <c r="P66" s="66"/>
      <c r="Q66" s="2"/>
      <c r="R66" s="2"/>
      <c r="X66" s="131"/>
      <c r="Y66" s="323"/>
      <c r="Z66" s="324"/>
      <c r="AA66" s="324"/>
      <c r="AB66" s="324"/>
      <c r="AC66" s="324"/>
      <c r="AD66" s="324"/>
      <c r="AE66" s="324"/>
      <c r="AF66" s="38"/>
      <c r="AG66" s="38"/>
      <c r="AH66" s="38"/>
      <c r="AI66" s="38"/>
      <c r="AJ66" s="38"/>
      <c r="AK66" s="38"/>
      <c r="AL66" s="38"/>
      <c r="AM66" s="38"/>
      <c r="AN66" s="38"/>
      <c r="AO66" s="38"/>
      <c r="AP66" s="38"/>
    </row>
    <row r="67" spans="1:42" ht="15.75" x14ac:dyDescent="0.25">
      <c r="A67" s="39" t="s">
        <v>274</v>
      </c>
      <c r="B67" s="117" t="s">
        <v>502</v>
      </c>
      <c r="C67" s="88" t="s">
        <v>933</v>
      </c>
      <c r="D67" s="38" t="s">
        <v>950</v>
      </c>
      <c r="E67" s="4"/>
      <c r="K67" s="4"/>
      <c r="L67" s="30" t="s">
        <v>43</v>
      </c>
      <c r="N67" s="30" t="s">
        <v>43</v>
      </c>
      <c r="P67" s="66" t="str">
        <f>IF(L67="-","",IF(Unterlagen_110="erfüllt","✓","✘"))</f>
        <v/>
      </c>
      <c r="Q67" s="2"/>
      <c r="R67" s="66" t="str">
        <f>IF(L67="-","",IF(AND(N67="x",Ergebnis_110="erfüllt"),"✓","✘"))</f>
        <v/>
      </c>
      <c r="S67" s="31"/>
      <c r="T67" s="153"/>
      <c r="U67" s="246" t="str">
        <f>IF(L67="-","",IF(AD67=1,"Freigabe trotz fehlenden Unterlagen und ohne Kontrolle",IF(AE67=1,"Freigabe trotz einzelnen Abweichungen.","")))</f>
        <v/>
      </c>
      <c r="V67" s="9"/>
      <c r="W67" s="9"/>
      <c r="X67" s="131" t="str">
        <f>IF(Bem_110,"!","")</f>
        <v/>
      </c>
      <c r="Y67" s="323"/>
      <c r="Z67" s="324">
        <f>IF(AND(L67="x",N67="-"),1,0)</f>
        <v>0</v>
      </c>
      <c r="AA67" s="324">
        <f>IF(AND(L67="x",P67="✘"),1,0)</f>
        <v>0</v>
      </c>
      <c r="AB67" s="324">
        <f>IF(AND(L67="x",R67="✘"),1,0)</f>
        <v>0</v>
      </c>
      <c r="AC67" s="324">
        <f>IF(L67="x",1,0)</f>
        <v>0</v>
      </c>
      <c r="AD67" s="324">
        <f>IF('EN-110'!F23="x",1,0)</f>
        <v>0</v>
      </c>
      <c r="AE67" s="324">
        <f>IF(Freigabe_110="x",1,0)</f>
        <v>0</v>
      </c>
      <c r="AF67" s="38"/>
      <c r="AG67" s="38"/>
      <c r="AH67" s="38"/>
      <c r="AI67" s="38"/>
      <c r="AJ67" s="38"/>
      <c r="AK67" s="38"/>
      <c r="AL67" s="38"/>
      <c r="AM67" s="38"/>
      <c r="AN67" s="38"/>
      <c r="AO67" s="38"/>
      <c r="AP67" s="38"/>
    </row>
    <row r="68" spans="1:42" ht="2.1" customHeight="1" x14ac:dyDescent="0.25">
      <c r="A68" s="39"/>
      <c r="B68" s="11"/>
      <c r="E68" s="4"/>
      <c r="K68" s="4"/>
      <c r="L68" s="7"/>
      <c r="N68" s="7"/>
      <c r="O68" s="7"/>
      <c r="P68" s="66"/>
      <c r="Q68" s="90"/>
      <c r="R68" s="90"/>
      <c r="S68" s="7"/>
      <c r="T68" s="7"/>
      <c r="X68" s="131"/>
      <c r="Y68" s="323"/>
      <c r="Z68" s="324">
        <f t="shared" ref="Z68:Z70" si="3">IF(AND(L68="x",N68="-"),1,0)</f>
        <v>0</v>
      </c>
      <c r="AA68" s="324">
        <f t="shared" ref="AA68:AA70" si="4">IF(AND(L68="x",P68="✘"),1,0)</f>
        <v>0</v>
      </c>
      <c r="AB68" s="324">
        <f t="shared" ref="AB68:AB70" si="5">IF(AND(L68="x",R68="✘"),1,0)</f>
        <v>0</v>
      </c>
      <c r="AC68" s="324"/>
      <c r="AD68" s="324"/>
      <c r="AE68" s="324"/>
      <c r="AF68" s="38"/>
      <c r="AG68" s="38"/>
      <c r="AH68" s="38"/>
      <c r="AI68" s="38"/>
      <c r="AJ68" s="38"/>
      <c r="AK68" s="38"/>
      <c r="AL68" s="38"/>
      <c r="AM68" s="38"/>
      <c r="AN68" s="38"/>
      <c r="AO68" s="38"/>
      <c r="AP68" s="38"/>
    </row>
    <row r="69" spans="1:42" ht="15.75" x14ac:dyDescent="0.25">
      <c r="A69" s="39" t="s">
        <v>274</v>
      </c>
      <c r="B69" s="117" t="s">
        <v>502</v>
      </c>
      <c r="C69" s="2" t="s">
        <v>934</v>
      </c>
      <c r="D69" s="3" t="s">
        <v>951</v>
      </c>
      <c r="E69" s="4"/>
      <c r="K69" s="4"/>
      <c r="L69" s="30" t="s">
        <v>43</v>
      </c>
      <c r="N69" s="30" t="s">
        <v>43</v>
      </c>
      <c r="P69" s="66" t="str">
        <f>IF(L69="-","",IF(Unterlagen_134="erfüllt","✓","✘"))</f>
        <v/>
      </c>
      <c r="Q69" s="2"/>
      <c r="R69" s="66" t="str">
        <f>IF(L69="-","",IF(AND(N69="x",Ergebnis_134="erfüllt"),"✓","✘"))</f>
        <v/>
      </c>
      <c r="S69" s="31"/>
      <c r="T69" s="7"/>
      <c r="U69" s="9" t="str">
        <f>IF(L69="-","",IF(AD69=1,"Freigabe trotz fehlenden Unterlagen und ohne Kontrolle",IF(AE69=1,"Freigabe trotz einzelnen Abweichungen.","")))</f>
        <v/>
      </c>
      <c r="V69" s="9"/>
      <c r="W69" s="9"/>
      <c r="X69" s="131"/>
      <c r="Y69" s="323"/>
      <c r="Z69" s="324">
        <f t="shared" si="3"/>
        <v>0</v>
      </c>
      <c r="AA69" s="324">
        <f t="shared" si="4"/>
        <v>0</v>
      </c>
      <c r="AB69" s="324">
        <f t="shared" si="5"/>
        <v>0</v>
      </c>
      <c r="AC69" s="324">
        <f>IF(L69="x",1,0)</f>
        <v>0</v>
      </c>
      <c r="AD69" s="324">
        <f>IF('EN-134'!F54="x",1,0)</f>
        <v>0</v>
      </c>
      <c r="AE69" s="324">
        <f>IF('EN-134'!F56="x",1,0)</f>
        <v>0</v>
      </c>
      <c r="AF69" s="38"/>
      <c r="AG69" s="38"/>
      <c r="AH69" s="38"/>
      <c r="AI69" s="38"/>
      <c r="AJ69" s="38"/>
      <c r="AK69" s="38"/>
      <c r="AL69" s="38"/>
      <c r="AM69" s="38"/>
      <c r="AN69" s="38"/>
      <c r="AO69" s="38"/>
      <c r="AP69" s="38"/>
    </row>
    <row r="70" spans="1:42" ht="2.1" customHeight="1" x14ac:dyDescent="0.25">
      <c r="A70" s="39"/>
      <c r="B70" s="11"/>
      <c r="L70" s="7"/>
      <c r="N70" s="7"/>
      <c r="P70" s="66"/>
      <c r="Q70" s="2"/>
      <c r="R70" s="2"/>
      <c r="X70" s="131"/>
      <c r="Y70" s="323"/>
      <c r="Z70" s="324">
        <f t="shared" si="3"/>
        <v>0</v>
      </c>
      <c r="AA70" s="324">
        <f t="shared" si="4"/>
        <v>0</v>
      </c>
      <c r="AB70" s="324">
        <f t="shared" si="5"/>
        <v>0</v>
      </c>
      <c r="AC70" s="324"/>
      <c r="AD70" s="324"/>
      <c r="AE70" s="324"/>
      <c r="AF70" s="38"/>
      <c r="AG70" s="38"/>
      <c r="AH70" s="38"/>
      <c r="AI70" s="38"/>
      <c r="AJ70" s="38"/>
      <c r="AK70" s="38"/>
      <c r="AL70" s="38"/>
      <c r="AM70" s="38"/>
      <c r="AN70" s="38"/>
      <c r="AO70" s="38"/>
      <c r="AP70" s="38"/>
    </row>
    <row r="71" spans="1:42" ht="15.75" x14ac:dyDescent="0.25">
      <c r="A71" s="39" t="s">
        <v>274</v>
      </c>
      <c r="B71" s="117" t="s">
        <v>502</v>
      </c>
      <c r="C71" s="2" t="s">
        <v>935</v>
      </c>
      <c r="D71" s="3" t="s">
        <v>348</v>
      </c>
      <c r="L71" s="30" t="s">
        <v>43</v>
      </c>
      <c r="N71" s="30" t="s">
        <v>43</v>
      </c>
      <c r="P71" s="66" t="str">
        <f>IF(L71="-","",IF(Unterlagen_135="erfüllt","✓","✘"))</f>
        <v/>
      </c>
      <c r="Q71" s="2"/>
      <c r="R71" s="66" t="str">
        <f>IF(L71="-","",IF(AND(N71="x",Ergebnis_135="erfüllt"),"✓","✘"))</f>
        <v/>
      </c>
      <c r="S71" s="31"/>
      <c r="U71" s="9" t="str">
        <f>IF(L71="-","",IF(AD71=1,"Freigabe trotz fehlenden Unterlagen und ohne Kontrolle",IF(AE71=1,"Freigabe trotz einzelnen Abweichungen.","")))</f>
        <v/>
      </c>
      <c r="V71" s="9"/>
      <c r="W71" s="9"/>
      <c r="X71" s="131" t="str">
        <f>IF(Bem_135,"!","")</f>
        <v/>
      </c>
      <c r="Y71" s="323"/>
      <c r="Z71" s="324">
        <f>IF(AND(L71="x",N71="-"),1,0)</f>
        <v>0</v>
      </c>
      <c r="AA71" s="324">
        <f>IF(AND(L71="x",P71="✘"),1,0)</f>
        <v>0</v>
      </c>
      <c r="AB71" s="324">
        <f>IF(AND(L71="x",R71="✘"),1,0)</f>
        <v>0</v>
      </c>
      <c r="AC71" s="324">
        <f>IF(L71="x",1,0)</f>
        <v>0</v>
      </c>
      <c r="AD71" s="324">
        <f>IF('EN-135'!F56="x",1,0)</f>
        <v>0</v>
      </c>
      <c r="AE71" s="324">
        <f>IF('EN-135'!F58="x",1,0)</f>
        <v>0</v>
      </c>
      <c r="AF71" s="38"/>
      <c r="AG71" s="38"/>
      <c r="AH71" s="38"/>
      <c r="AI71" s="38"/>
      <c r="AJ71" s="38"/>
      <c r="AK71" s="38"/>
      <c r="AL71" s="38"/>
      <c r="AM71" s="38"/>
      <c r="AN71" s="38"/>
      <c r="AO71" s="38"/>
      <c r="AP71" s="38"/>
    </row>
    <row r="72" spans="1:42" ht="2.1" customHeight="1" x14ac:dyDescent="0.25">
      <c r="A72" s="39"/>
      <c r="L72" s="7"/>
      <c r="N72" s="7"/>
      <c r="P72" s="66"/>
      <c r="Q72" s="2"/>
      <c r="R72" s="2"/>
      <c r="X72" s="131"/>
      <c r="Y72" s="323"/>
      <c r="Z72" s="324"/>
      <c r="AA72" s="324"/>
      <c r="AB72" s="324"/>
      <c r="AC72" s="324"/>
      <c r="AD72" s="324"/>
      <c r="AE72" s="324"/>
      <c r="AF72" s="38"/>
      <c r="AG72" s="38"/>
      <c r="AH72" s="38"/>
      <c r="AI72" s="38"/>
      <c r="AJ72" s="38"/>
      <c r="AK72" s="38"/>
      <c r="AL72" s="38"/>
      <c r="AM72" s="38"/>
      <c r="AN72" s="38"/>
      <c r="AO72" s="38"/>
      <c r="AP72" s="38"/>
    </row>
    <row r="73" spans="1:42" ht="15.6" customHeight="1" x14ac:dyDescent="0.25">
      <c r="A73" s="39"/>
      <c r="B73" s="3" t="s">
        <v>257</v>
      </c>
      <c r="E73" s="4"/>
      <c r="G73" s="7"/>
      <c r="K73" s="4"/>
      <c r="L73" s="7"/>
      <c r="M73" s="7"/>
      <c r="N73" s="7"/>
      <c r="O73" s="7"/>
      <c r="P73" s="66"/>
      <c r="Q73" s="90"/>
      <c r="R73" s="90"/>
      <c r="S73" s="7"/>
      <c r="T73" s="7"/>
      <c r="X73" s="131"/>
      <c r="Y73" s="323"/>
      <c r="Z73" s="324"/>
      <c r="AA73" s="324"/>
      <c r="AB73" s="324"/>
      <c r="AC73" s="324"/>
      <c r="AD73" s="325">
        <f>IF('EN-204-LU'!Fehlend_EN204_LU="x",1,0)</f>
        <v>0</v>
      </c>
      <c r="AE73" s="325">
        <f>IF('EN-204-LU'!Freigabe_204_LU="x",1,0)</f>
        <v>0</v>
      </c>
      <c r="AF73" s="38" t="s">
        <v>1034</v>
      </c>
      <c r="AG73" s="38"/>
      <c r="AH73" s="38" t="b">
        <f>C75="EN-204-LU"</f>
        <v>0</v>
      </c>
      <c r="AI73" s="38"/>
      <c r="AJ73" s="38"/>
      <c r="AK73" s="38"/>
      <c r="AL73" s="38"/>
      <c r="AM73" s="38"/>
      <c r="AN73" s="38"/>
      <c r="AO73" s="38"/>
      <c r="AP73" s="38"/>
    </row>
    <row r="74" spans="1:42" ht="2.1" customHeight="1" x14ac:dyDescent="0.25">
      <c r="A74" s="39"/>
      <c r="E74" s="4"/>
      <c r="K74" s="4"/>
      <c r="L74" s="7"/>
      <c r="N74" s="7"/>
      <c r="O74" s="7"/>
      <c r="P74" s="66"/>
      <c r="Q74" s="90"/>
      <c r="R74" s="90"/>
      <c r="S74" s="7"/>
      <c r="T74" s="7"/>
      <c r="X74" s="131"/>
      <c r="Y74" s="323"/>
      <c r="Z74" s="324"/>
      <c r="AA74" s="324"/>
      <c r="AB74" s="324"/>
      <c r="AC74" s="324"/>
      <c r="AD74" s="324"/>
      <c r="AE74" s="324"/>
      <c r="AF74" s="38"/>
      <c r="AG74" s="38"/>
      <c r="AH74" s="38"/>
      <c r="AI74" s="38"/>
      <c r="AJ74" s="38"/>
      <c r="AK74" s="38"/>
      <c r="AL74" s="38"/>
      <c r="AM74" s="38"/>
      <c r="AN74" s="38"/>
      <c r="AO74" s="38"/>
      <c r="AP74" s="38"/>
    </row>
    <row r="75" spans="1:42" ht="15.6" customHeight="1" x14ac:dyDescent="0.25">
      <c r="A75" s="39" t="s">
        <v>274</v>
      </c>
      <c r="B75" s="117" t="str">
        <f>IF(C75="EN-204-LU",HYPERLINK("#'EN-204-LU'!A1","§"),HYPERLINK("#'EN-104'!A1","§"))</f>
        <v>§</v>
      </c>
      <c r="C75" s="2" t="str">
        <f>IF(AND(J5="Luzern",V27&lt;&gt;"x"),"EN-204-LU","EN-104")</f>
        <v>EN-104</v>
      </c>
      <c r="D75" s="3" t="str">
        <f>IF(AND(J5="Luzern",V27&lt;&gt;"x"),"Eigenstromerzeugung für Bauten","Eigenstromerzeugung für Neubauten")</f>
        <v>Eigenstromerzeugung für Neubauten</v>
      </c>
      <c r="E75" s="4"/>
      <c r="K75" s="4"/>
      <c r="L75" s="12" t="str">
        <f>IF(AND(Kanton="LUZERN",NOT(F31=C245),OR(F15="x",AND(F25="x",F17="x"),F19="x"),NOT(V27="x")),"x",IF(OR(L51="x",V25="x"),"-",IF(AND(OR(F15="x",F19="x",),NOT(OR(F31=C245,F33="Nicht erforderlich: Bagatellerweiterung"))),"x","-")))</f>
        <v>-</v>
      </c>
      <c r="N75" s="30" t="s">
        <v>43</v>
      </c>
      <c r="O75" s="7"/>
      <c r="P75" s="66" t="str">
        <f>IF(L75="-","",IF(AND(Kanton="Luzern",NOT(V27="x"),'EN-204-LU'!Unterlagen_204_LU="erfüllt"),"✓",IF('EN-104'!D93="erfüllt","✓","✘")))</f>
        <v/>
      </c>
      <c r="Q75" s="90"/>
      <c r="R75" s="66" t="str">
        <f>IF(L75="-","",IF(AND(Kanton="Luzern",NOT(V27="x"),N75="x",'EN-204-LU'!Ergebnis_204_LU="erfüllt"),"✓",IF(AND(N75="x",Ergebnis_104="erfüllt"),"✓","✘")))</f>
        <v/>
      </c>
      <c r="S75" s="31"/>
      <c r="T75" s="7"/>
      <c r="U75" s="391" t="str">
        <f>IF(L75="-","",IF(SUM(AD72:AD75)&gt;=1,"Freigabe trotz fehlenden Unterlagen und ohne Kontrolle",IF(SUM(AE73:AE75)&gt;=1,"Freigabe trotz einzelnen Abweichungen.","")))</f>
        <v/>
      </c>
      <c r="V75" s="391"/>
      <c r="W75" s="391"/>
      <c r="X75" s="131" t="str">
        <f>IF(OR(Bem_104,'EN-204-LU'!$D$66),"!","")</f>
        <v/>
      </c>
      <c r="Y75" s="323"/>
      <c r="Z75" s="324">
        <f>IF(AND(L75="x",N75="-"),1,0)</f>
        <v>0</v>
      </c>
      <c r="AA75" s="324">
        <f>IF(AND(L75="x",P75="✘"),1,0)</f>
        <v>0</v>
      </c>
      <c r="AB75" s="324">
        <f>IF(AND(L75="x",R75="✘"),1,0)</f>
        <v>0</v>
      </c>
      <c r="AC75" s="324">
        <f>IF(L75="x",1,0)</f>
        <v>0</v>
      </c>
      <c r="AD75" s="324">
        <f>IF('EN-104'!F93="x",1,0)</f>
        <v>0</v>
      </c>
      <c r="AE75" s="324">
        <f>IF('EN-104'!F95="x",1,0)</f>
        <v>0</v>
      </c>
      <c r="AF75" s="38" t="s">
        <v>936</v>
      </c>
      <c r="AG75" s="38"/>
      <c r="AH75" s="38"/>
      <c r="AI75" s="38"/>
      <c r="AJ75" s="38"/>
      <c r="AK75" s="38"/>
      <c r="AL75" s="38"/>
      <c r="AM75" s="38"/>
      <c r="AN75" s="38"/>
      <c r="AO75" s="38"/>
      <c r="AP75" s="38"/>
    </row>
    <row r="76" spans="1:42" ht="2.1" customHeight="1" x14ac:dyDescent="0.25">
      <c r="A76" s="39"/>
      <c r="L76" s="7"/>
      <c r="N76" s="7"/>
      <c r="P76" s="66"/>
      <c r="Q76" s="2"/>
      <c r="R76" s="2"/>
      <c r="X76" s="131"/>
      <c r="Y76" s="323"/>
      <c r="Z76" s="324"/>
      <c r="AA76" s="324"/>
      <c r="AB76" s="324"/>
      <c r="AC76" s="324"/>
      <c r="AD76" s="324"/>
      <c r="AE76" s="324"/>
      <c r="AF76" s="38"/>
      <c r="AG76" s="38"/>
      <c r="AH76" s="38"/>
      <c r="AI76" s="38"/>
      <c r="AJ76" s="38"/>
      <c r="AK76" s="38"/>
      <c r="AL76" s="38"/>
      <c r="AM76" s="38"/>
      <c r="AN76" s="38"/>
      <c r="AO76" s="38"/>
      <c r="AP76" s="38"/>
    </row>
    <row r="77" spans="1:42" ht="15.75" x14ac:dyDescent="0.25">
      <c r="A77" s="39"/>
      <c r="B77" s="3" t="s">
        <v>258</v>
      </c>
      <c r="E77" s="4"/>
      <c r="G77" s="7"/>
      <c r="K77" s="4"/>
      <c r="L77" s="7"/>
      <c r="M77" s="7"/>
      <c r="N77" s="7"/>
      <c r="O77" s="7"/>
      <c r="P77" s="66"/>
      <c r="Q77" s="90"/>
      <c r="R77" s="90"/>
      <c r="S77" s="7"/>
      <c r="T77" s="7"/>
      <c r="X77" s="131"/>
      <c r="Y77" s="323"/>
      <c r="Z77" s="324">
        <f>IF(AND(L77="x",N77="-"),1,0)</f>
        <v>0</v>
      </c>
      <c r="AA77" s="324">
        <f>IF(AND(L77="x",P77="✘"),1,0)</f>
        <v>0</v>
      </c>
      <c r="AB77" s="324">
        <f>IF(AND(L77="x",R77="✘"),1,0)</f>
        <v>0</v>
      </c>
      <c r="AC77" s="324">
        <f>IF(L77="x",1,0)</f>
        <v>0</v>
      </c>
      <c r="AD77" s="324"/>
      <c r="AE77" s="324"/>
      <c r="AF77" s="38"/>
      <c r="AG77" s="38"/>
      <c r="AH77" s="38"/>
      <c r="AI77" s="38"/>
      <c r="AJ77" s="38"/>
      <c r="AK77" s="38"/>
      <c r="AL77" s="38"/>
      <c r="AM77" s="38"/>
      <c r="AN77" s="38"/>
      <c r="AO77" s="38"/>
      <c r="AP77" s="38"/>
    </row>
    <row r="78" spans="1:42" ht="2.1" customHeight="1" x14ac:dyDescent="0.25">
      <c r="A78" s="39"/>
      <c r="E78" s="4"/>
      <c r="K78" s="4"/>
      <c r="L78" s="7"/>
      <c r="N78" s="7"/>
      <c r="O78" s="7"/>
      <c r="P78" s="66"/>
      <c r="Q78" s="90"/>
      <c r="R78" s="90"/>
      <c r="S78" s="7"/>
      <c r="T78" s="7"/>
      <c r="X78" s="131"/>
      <c r="Y78" s="323"/>
      <c r="Z78" s="324"/>
      <c r="AA78" s="324"/>
      <c r="AB78" s="324"/>
      <c r="AC78" s="324"/>
      <c r="AD78" s="324"/>
      <c r="AE78" s="324"/>
      <c r="AF78" s="38"/>
      <c r="AG78" s="38"/>
      <c r="AH78" s="38"/>
      <c r="AI78" s="38"/>
      <c r="AJ78" s="38"/>
      <c r="AK78" s="38"/>
      <c r="AL78" s="38"/>
      <c r="AM78" s="38"/>
      <c r="AN78" s="38"/>
      <c r="AO78" s="38"/>
      <c r="AP78" s="38"/>
    </row>
    <row r="79" spans="1:42" ht="15.75" x14ac:dyDescent="0.25">
      <c r="A79" s="39" t="s">
        <v>274</v>
      </c>
      <c r="B79" s="117" t="s">
        <v>502</v>
      </c>
      <c r="C79" s="2" t="s">
        <v>937</v>
      </c>
      <c r="D79" s="3" t="s">
        <v>952</v>
      </c>
      <c r="E79" s="4"/>
      <c r="K79" s="4"/>
      <c r="L79" s="30" t="s">
        <v>43</v>
      </c>
      <c r="N79" s="30" t="s">
        <v>43</v>
      </c>
      <c r="P79" s="66" t="str">
        <f>IF(L79="-","",IF(Unterlagen_111="erfüllt","✓","✘"))</f>
        <v/>
      </c>
      <c r="Q79" s="2"/>
      <c r="R79" s="66" t="str">
        <f>IF(L79="-","",IF(AND(N79="x",Ergebnis_111="erfüllt"),"✓","✘"))</f>
        <v/>
      </c>
      <c r="S79" s="31"/>
      <c r="T79" s="7"/>
      <c r="U79" s="9" t="str">
        <f>IF(AND(OR(Kanton="Schwyz",Kanton="Nidwalden"),NOT(OR(KatI=C228,KatI=C229))),"Erforderlich bei nicht-Wohnbauten mit EBF &gt; 1000 m²",IF(L79="-","",IF(AD79=1,"Freigabe trotz fehlenden Unterlagen und ohne Kontrolle",IF(AE79=1,"Freigabe trotz einzelnen Abweichungen.",""))))</f>
        <v/>
      </c>
      <c r="V79" s="9"/>
      <c r="W79" s="9"/>
      <c r="X79" s="131" t="str">
        <f>IF(Bem_111,"!","")</f>
        <v/>
      </c>
      <c r="Y79" s="323"/>
      <c r="Z79" s="324">
        <f>IF(AND(L79="x",N79="-"),1,0)</f>
        <v>0</v>
      </c>
      <c r="AA79" s="324">
        <f>IF(AND(L79="x",P79="✘"),1,0)</f>
        <v>0</v>
      </c>
      <c r="AB79" s="324">
        <f>IF(AND(L79="x",R79="✘"),1,0)</f>
        <v>0</v>
      </c>
      <c r="AC79" s="324">
        <f>IF(L79="x",1,0)</f>
        <v>0</v>
      </c>
      <c r="AD79" s="324">
        <f>IF('EN-111'!F23="x",1,0)</f>
        <v>0</v>
      </c>
      <c r="AE79" s="324">
        <f>IF(Freigabe_111="x",1,0)</f>
        <v>0</v>
      </c>
      <c r="AF79" s="38"/>
      <c r="AG79" s="38"/>
      <c r="AH79" s="38"/>
      <c r="AI79" s="38"/>
      <c r="AJ79" s="38"/>
      <c r="AK79" s="38"/>
      <c r="AL79" s="38"/>
      <c r="AM79" s="38"/>
      <c r="AN79" s="38"/>
      <c r="AO79" s="38"/>
      <c r="AP79" s="38"/>
    </row>
    <row r="80" spans="1:42" ht="2.1" customHeight="1" x14ac:dyDescent="0.25">
      <c r="A80" s="39"/>
      <c r="L80" s="7"/>
      <c r="N80" s="7"/>
      <c r="P80" s="66"/>
      <c r="Q80" s="2"/>
      <c r="R80" s="2"/>
      <c r="X80" s="131"/>
      <c r="Y80" s="323"/>
      <c r="Z80" s="324"/>
      <c r="AA80" s="324"/>
      <c r="AB80" s="324"/>
      <c r="AC80" s="324"/>
      <c r="AD80" s="324"/>
      <c r="AE80" s="324"/>
      <c r="AF80" s="38"/>
      <c r="AG80" s="38"/>
      <c r="AH80" s="38"/>
      <c r="AI80" s="38"/>
      <c r="AJ80" s="38"/>
      <c r="AK80" s="38"/>
      <c r="AL80" s="38"/>
      <c r="AM80" s="38"/>
      <c r="AN80" s="38"/>
      <c r="AO80" s="38"/>
      <c r="AP80" s="38"/>
    </row>
    <row r="81" spans="1:42" ht="15.75" x14ac:dyDescent="0.25">
      <c r="A81" s="39"/>
      <c r="B81" s="38" t="s">
        <v>68</v>
      </c>
      <c r="E81" s="4"/>
      <c r="G81" s="7"/>
      <c r="K81" s="4"/>
      <c r="L81" s="7"/>
      <c r="M81" s="7"/>
      <c r="N81" s="7"/>
      <c r="O81" s="7"/>
      <c r="P81" s="66"/>
      <c r="Q81" s="90"/>
      <c r="R81" s="90"/>
      <c r="S81" s="7"/>
      <c r="T81" s="7"/>
      <c r="X81" s="131"/>
      <c r="Y81" s="323"/>
      <c r="Z81" s="324"/>
      <c r="AA81" s="324"/>
      <c r="AB81" s="324"/>
      <c r="AC81" s="324"/>
      <c r="AD81" s="324">
        <f>IF('EN-120-ZG'!H92="x",1,0)</f>
        <v>0</v>
      </c>
      <c r="AE81" s="324">
        <f>IF('EN-120-ZG'!I94="x",1,0)</f>
        <v>0</v>
      </c>
      <c r="AF81" s="38" t="s">
        <v>1027</v>
      </c>
      <c r="AG81" s="38"/>
      <c r="AH81" s="38"/>
      <c r="AI81" s="38"/>
      <c r="AJ81" s="38"/>
      <c r="AK81" s="38"/>
      <c r="AL81" s="38"/>
      <c r="AM81" s="38"/>
      <c r="AN81" s="38"/>
      <c r="AO81" s="38"/>
      <c r="AP81" s="38"/>
    </row>
    <row r="82" spans="1:42" ht="2.1" customHeight="1" x14ac:dyDescent="0.25">
      <c r="A82" s="39"/>
      <c r="E82" s="4"/>
      <c r="K82" s="4"/>
      <c r="L82" s="7"/>
      <c r="N82" s="7"/>
      <c r="O82" s="7"/>
      <c r="P82" s="66"/>
      <c r="Q82" s="90"/>
      <c r="R82" s="90"/>
      <c r="S82" s="7"/>
      <c r="T82" s="7"/>
      <c r="X82" s="131"/>
      <c r="Y82" s="323"/>
      <c r="Z82" s="324"/>
      <c r="AA82" s="324"/>
      <c r="AB82" s="324"/>
      <c r="AC82" s="324"/>
      <c r="AD82" s="324"/>
      <c r="AE82" s="324"/>
      <c r="AF82" s="38"/>
      <c r="AG82" s="38"/>
      <c r="AH82" s="38"/>
      <c r="AI82" s="38"/>
      <c r="AJ82" s="38"/>
      <c r="AK82" s="38"/>
      <c r="AL82" s="38"/>
      <c r="AM82" s="38"/>
      <c r="AN82" s="38"/>
      <c r="AO82" s="38"/>
      <c r="AP82" s="38"/>
    </row>
    <row r="83" spans="1:42" ht="15.75" x14ac:dyDescent="0.25">
      <c r="A83" s="39" t="s">
        <v>274</v>
      </c>
      <c r="B83" s="117" t="str">
        <f>IF(Kanton="ZUG", HYPERLINK("#'EN-120-ZG'!A1", "§"), HYPERLINK("#'EN-120 '!A1", "§"))</f>
        <v>§</v>
      </c>
      <c r="C83" s="2" t="str">
        <f>IF(J5="Zug","EN-120-ZG","EN-120")</f>
        <v>EN-120</v>
      </c>
      <c r="D83" s="3" t="s">
        <v>926</v>
      </c>
      <c r="E83" s="4"/>
      <c r="K83" s="4"/>
      <c r="L83" s="12" t="str">
        <f>IF(AND(F23="x",L43="x"),"-",IF(AND(F23="x",NOT(Kanton="Luzern")),"x","-"))</f>
        <v>-</v>
      </c>
      <c r="N83" s="30" t="s">
        <v>43</v>
      </c>
      <c r="O83" s="7"/>
      <c r="P83" s="66" t="str">
        <f>IF(L83="-","",IF(AND(Kanton="Zug",'EN-120-ZG'!Unterlagen_120_ZG="erfüllt"),"✓",IF(Unterlagen_120="erfüllt","✓","✘")))</f>
        <v/>
      </c>
      <c r="Q83" s="90"/>
      <c r="R83" s="66" t="str">
        <f>IF(L83="-","",IF(AND(Kanton="Zug",N83="x",'EN-120-ZG'!Ergebnis_120_ZG="erfüllt"),"✓",IF(AND(N83="x",Ergebnis_120="erfüllt"),"✓","✘")))</f>
        <v/>
      </c>
      <c r="S83" s="31"/>
      <c r="T83" s="46"/>
      <c r="U83" s="9" t="str">
        <f>IF(AND(Kanton="Luzern",F23="x"),"Meldepflicht: www.energiemeldungen.lu.ch",IF(L83="-","",IF(AND(Kanton="Zug",AD81=1),"Freigabe trotz fehlenden Unterlagen und ohne Kontrolle",IF(AND(Kanton="Zug",AE81=1),"Freigabe trotz einzelnen Abweichungen.",IF(AD83=1,"Freigabe trotz fehlenden Unterlagen und ohne Kontrolle",IF(AE83=1,"Freigabe trotz einzelnen Abweichungen.",""))))))</f>
        <v/>
      </c>
      <c r="V83" s="245"/>
      <c r="W83" s="9"/>
      <c r="X83" s="131" t="str">
        <f>IF(Kanton="Zug",IF('EN-120-ZG'!Bem_120_ZG,"!",""),IF(Bem_120,"!",""))</f>
        <v/>
      </c>
      <c r="Y83" s="323"/>
      <c r="Z83" s="324">
        <f>IF(AND(L83="x",N83="-"),1,0)</f>
        <v>0</v>
      </c>
      <c r="AA83" s="324">
        <f>IF(AND(L83="x",P83="✘"),1,0)</f>
        <v>0</v>
      </c>
      <c r="AB83" s="324">
        <f>IF(AND(L83="x",R83="✘"),1,0)</f>
        <v>0</v>
      </c>
      <c r="AC83" s="324">
        <f>IF(L83="x",1,0)</f>
        <v>0</v>
      </c>
      <c r="AD83" s="324">
        <f>IF('EN-120 '!H132="x",1,0)</f>
        <v>0</v>
      </c>
      <c r="AE83" s="324">
        <f>IF('EN-120 '!I134="x",1,0)</f>
        <v>0</v>
      </c>
      <c r="AF83" s="38" t="s">
        <v>1028</v>
      </c>
      <c r="AG83" s="38"/>
      <c r="AH83" s="38"/>
      <c r="AI83" s="38"/>
      <c r="AJ83" s="38"/>
      <c r="AK83" s="38"/>
      <c r="AL83" s="38"/>
      <c r="AM83" s="38"/>
      <c r="AN83" s="38"/>
      <c r="AO83" s="38"/>
      <c r="AP83" s="38"/>
    </row>
    <row r="84" spans="1:42" ht="2.1" customHeight="1" x14ac:dyDescent="0.25">
      <c r="A84" s="39"/>
      <c r="L84" s="7"/>
      <c r="N84" s="7"/>
      <c r="P84" s="66"/>
      <c r="Q84" s="2"/>
      <c r="R84" s="2"/>
      <c r="X84" s="131"/>
      <c r="Y84" s="323"/>
      <c r="Z84" s="324"/>
      <c r="AA84" s="324"/>
      <c r="AB84" s="324"/>
      <c r="AC84" s="324"/>
      <c r="AD84" s="324"/>
      <c r="AE84" s="324"/>
      <c r="AF84" s="38"/>
      <c r="AG84" s="38"/>
      <c r="AH84" s="38"/>
      <c r="AI84" s="38"/>
      <c r="AJ84" s="38"/>
      <c r="AK84" s="38"/>
      <c r="AL84" s="38"/>
      <c r="AM84" s="38"/>
      <c r="AN84" s="38"/>
      <c r="AO84" s="38"/>
      <c r="AP84" s="38"/>
    </row>
    <row r="85" spans="1:42" ht="15.75" x14ac:dyDescent="0.25">
      <c r="A85" s="39"/>
      <c r="B85" s="3" t="s">
        <v>259</v>
      </c>
      <c r="E85" s="4"/>
      <c r="G85" s="7"/>
      <c r="K85" s="4"/>
      <c r="L85" s="7"/>
      <c r="M85" s="7"/>
      <c r="N85" s="7"/>
      <c r="O85" s="7"/>
      <c r="P85" s="66"/>
      <c r="Q85" s="90"/>
      <c r="R85" s="90"/>
      <c r="S85" s="7"/>
      <c r="T85" s="7"/>
      <c r="X85" s="131"/>
      <c r="Y85" s="323"/>
      <c r="Z85" s="324"/>
      <c r="AA85" s="324"/>
      <c r="AB85" s="324"/>
      <c r="AC85" s="324"/>
      <c r="AD85" s="324"/>
      <c r="AE85" s="324"/>
      <c r="AF85" s="38"/>
      <c r="AG85" s="38"/>
      <c r="AH85" s="38"/>
      <c r="AI85" s="38"/>
      <c r="AJ85" s="38"/>
      <c r="AK85" s="38"/>
      <c r="AL85" s="38"/>
      <c r="AM85" s="38"/>
      <c r="AN85" s="38"/>
      <c r="AO85" s="38"/>
      <c r="AP85" s="38"/>
    </row>
    <row r="86" spans="1:42" ht="2.1" customHeight="1" x14ac:dyDescent="0.25">
      <c r="A86" s="39"/>
      <c r="E86" s="4"/>
      <c r="K86" s="4"/>
      <c r="L86" s="7"/>
      <c r="N86" s="7"/>
      <c r="O86" s="7"/>
      <c r="P86" s="66"/>
      <c r="Q86" s="90"/>
      <c r="R86" s="90"/>
      <c r="S86" s="7"/>
      <c r="T86" s="7"/>
      <c r="X86" s="131"/>
      <c r="Y86" s="323"/>
      <c r="Z86" s="324"/>
      <c r="AA86" s="324"/>
      <c r="AB86" s="324"/>
      <c r="AC86" s="324"/>
      <c r="AD86" s="324"/>
      <c r="AE86" s="324"/>
      <c r="AF86" s="38"/>
      <c r="AG86" s="38"/>
      <c r="AH86" s="38"/>
      <c r="AI86" s="38"/>
      <c r="AJ86" s="38"/>
      <c r="AK86" s="38"/>
      <c r="AL86" s="38"/>
      <c r="AM86" s="38"/>
      <c r="AN86" s="38"/>
      <c r="AO86" s="38"/>
      <c r="AP86" s="38"/>
    </row>
    <row r="87" spans="1:42" ht="15.75" x14ac:dyDescent="0.25">
      <c r="A87" s="39" t="s">
        <v>274</v>
      </c>
      <c r="B87" s="117" t="s">
        <v>502</v>
      </c>
      <c r="C87" s="2" t="s">
        <v>938</v>
      </c>
      <c r="D87" s="3" t="s">
        <v>953</v>
      </c>
      <c r="E87" s="4"/>
      <c r="K87" s="4"/>
      <c r="L87" s="30" t="s">
        <v>43</v>
      </c>
      <c r="N87" s="30" t="s">
        <v>43</v>
      </c>
      <c r="P87" s="66" t="str">
        <f>IF(L87="-","",IF(Unterlagen_112="erfüllt","✓","✘"))</f>
        <v/>
      </c>
      <c r="Q87" s="2"/>
      <c r="R87" s="66" t="str">
        <f>IF(L87="-","",IF(AND(N87="x",Ergebnis_112="erfüllt"),"✓","✘"))</f>
        <v/>
      </c>
      <c r="S87" s="31"/>
      <c r="T87" s="7"/>
      <c r="U87" s="9" t="str">
        <f>IF(L87="-","",IF(AD87=1,"Freigabe trotz fehlenden Unterlagen und ohne Kontrolle",IF(AE87=1,"Freigabe trotz einzelnen Abweichungen.","")))</f>
        <v/>
      </c>
      <c r="V87" s="9"/>
      <c r="W87" s="9"/>
      <c r="X87" s="131" t="str">
        <f>IF(Bem_112,"!","")</f>
        <v/>
      </c>
      <c r="Y87" s="323"/>
      <c r="Z87" s="324">
        <f>IF(AND(L87="x",N87="-"),1,0)</f>
        <v>0</v>
      </c>
      <c r="AA87" s="324">
        <f>IF(AND(L87="x",P87="✘"),1,0)</f>
        <v>0</v>
      </c>
      <c r="AB87" s="324">
        <f>IF(AND(L87="x",R87="✘"),1,0)</f>
        <v>0</v>
      </c>
      <c r="AC87" s="324">
        <f>IF(L87="x",1,0)</f>
        <v>0</v>
      </c>
      <c r="AD87" s="324">
        <f>IF('EN-112'!F23="x",1,0)</f>
        <v>0</v>
      </c>
      <c r="AE87" s="324">
        <f>IF('EN-112'!F25="x",1,0)</f>
        <v>0</v>
      </c>
      <c r="AF87" s="38"/>
      <c r="AG87" s="38"/>
      <c r="AH87" s="38"/>
      <c r="AI87" s="38"/>
      <c r="AJ87" s="38"/>
      <c r="AK87" s="38"/>
      <c r="AL87" s="38"/>
      <c r="AM87" s="38"/>
      <c r="AN87" s="38"/>
      <c r="AO87" s="38"/>
      <c r="AP87" s="38"/>
    </row>
    <row r="88" spans="1:42" ht="2.1" customHeight="1" x14ac:dyDescent="0.25">
      <c r="A88" s="39"/>
      <c r="B88" s="11"/>
      <c r="L88" s="7"/>
      <c r="N88" s="7"/>
      <c r="P88" s="66"/>
      <c r="Q88" s="2"/>
      <c r="R88" s="2"/>
      <c r="X88" s="131"/>
      <c r="Y88" s="323"/>
      <c r="Z88" s="324"/>
      <c r="AA88" s="324"/>
      <c r="AB88" s="324"/>
      <c r="AC88" s="324"/>
      <c r="AD88" s="324"/>
      <c r="AE88" s="324"/>
      <c r="AF88" s="38"/>
      <c r="AG88" s="38"/>
      <c r="AH88" s="38"/>
      <c r="AI88" s="38"/>
      <c r="AJ88" s="38"/>
      <c r="AK88" s="38"/>
      <c r="AL88" s="38"/>
      <c r="AM88" s="38"/>
      <c r="AN88" s="38"/>
      <c r="AO88" s="38"/>
      <c r="AP88" s="38"/>
    </row>
    <row r="89" spans="1:42" ht="15.75" x14ac:dyDescent="0.25">
      <c r="A89" s="39" t="s">
        <v>274</v>
      </c>
      <c r="B89" s="117" t="s">
        <v>502</v>
      </c>
      <c r="C89" s="2" t="s">
        <v>939</v>
      </c>
      <c r="D89" s="3" t="s">
        <v>339</v>
      </c>
      <c r="L89" s="30" t="s">
        <v>43</v>
      </c>
      <c r="N89" s="30" t="s">
        <v>43</v>
      </c>
      <c r="P89" s="66" t="str">
        <f>IF(L89="-","",IF(Unterlagen_130="erfüllt","✓","✘"))</f>
        <v/>
      </c>
      <c r="Q89" s="91"/>
      <c r="R89" s="66" t="str">
        <f>IF(L89="-","",IF(AND(N89="x",Ergebnis_130="erfüllt"),"✓","✘"))</f>
        <v/>
      </c>
      <c r="S89" s="31"/>
      <c r="T89" s="46"/>
      <c r="U89" s="9" t="str">
        <f>IF(L89="-","",IF(AD89=1,"Freigabe trotz fehlenden Unterlagen und ohne Kontrolle",IF(AE89=1,"Freigabe trotz einzelnen Abweichungen.",IF(OR(Kanton="Luzern",Kanton="Schwyz",Kanton="Nidwalden",Kanton="Zug"),"Keine Vorgaben für den gewählten Kanton.",""))))</f>
        <v/>
      </c>
      <c r="V89" s="9"/>
      <c r="W89" s="245"/>
      <c r="X89" s="131" t="str">
        <f>IF(Bem_130,"!","")</f>
        <v/>
      </c>
      <c r="Y89" s="323"/>
      <c r="Z89" s="324"/>
      <c r="AA89" s="324"/>
      <c r="AB89" s="324"/>
      <c r="AC89" s="324"/>
      <c r="AD89" s="324"/>
      <c r="AE89" s="324"/>
      <c r="AF89" s="38"/>
      <c r="AG89" s="38"/>
      <c r="AH89" s="38"/>
      <c r="AI89" s="38"/>
      <c r="AJ89" s="38"/>
      <c r="AK89" s="38"/>
      <c r="AL89" s="38"/>
      <c r="AM89" s="38"/>
      <c r="AN89" s="38"/>
      <c r="AO89" s="38"/>
      <c r="AP89" s="38"/>
    </row>
    <row r="90" spans="1:42" ht="2.1" customHeight="1" x14ac:dyDescent="0.25">
      <c r="A90" s="34"/>
      <c r="B90" s="11"/>
      <c r="L90" s="7"/>
      <c r="N90" s="7"/>
      <c r="P90" s="66"/>
      <c r="Q90" s="2"/>
      <c r="R90" s="2"/>
      <c r="X90" s="131"/>
      <c r="Y90" s="323"/>
      <c r="Z90" s="324"/>
      <c r="AA90" s="324"/>
      <c r="AB90" s="324"/>
      <c r="AC90" s="324"/>
      <c r="AD90" s="324"/>
      <c r="AE90" s="324"/>
      <c r="AF90" s="38"/>
      <c r="AG90" s="38"/>
      <c r="AH90" s="38"/>
      <c r="AI90" s="38"/>
      <c r="AJ90" s="38"/>
      <c r="AK90" s="38"/>
      <c r="AL90" s="38"/>
      <c r="AM90" s="38"/>
      <c r="AN90" s="38"/>
      <c r="AO90" s="38"/>
      <c r="AP90" s="38"/>
    </row>
    <row r="91" spans="1:42" ht="15.75" x14ac:dyDescent="0.25">
      <c r="A91" s="34" t="s">
        <v>274</v>
      </c>
      <c r="B91" s="117" t="s">
        <v>502</v>
      </c>
      <c r="C91" s="2" t="s">
        <v>940</v>
      </c>
      <c r="D91" s="3" t="s">
        <v>341</v>
      </c>
      <c r="E91" s="4"/>
      <c r="K91" s="4"/>
      <c r="L91" s="30" t="s">
        <v>43</v>
      </c>
      <c r="N91" s="30" t="s">
        <v>43</v>
      </c>
      <c r="P91" s="66" t="str">
        <f>IF(L91="-","",IF(Unterlagen_131="erfüllt","✓","✘"))</f>
        <v/>
      </c>
      <c r="Q91" s="2"/>
      <c r="R91" s="66" t="str">
        <f>IF(L91="-","",IF(AND(N91="x",Ergebnis_131="erfüllt"),"✓","✘"))</f>
        <v/>
      </c>
      <c r="S91" s="31"/>
      <c r="T91" s="7"/>
      <c r="U91" s="9" t="str">
        <f>IF(L91="-","",IF(AD91=1,"Freigabe trotz fehlenden Unterlagen und ohne Kontrolle",IF(AE91=1,"Freigabe trotz einzelnen Abweichungen.","")))</f>
        <v/>
      </c>
      <c r="V91" s="9"/>
      <c r="W91" s="9"/>
      <c r="X91" s="131" t="str">
        <f>IF(Bem_131,"!","")</f>
        <v/>
      </c>
      <c r="Y91" s="323"/>
      <c r="Z91" s="324">
        <f>IF(AND(L91="x",N91="-"),1,0)</f>
        <v>0</v>
      </c>
      <c r="AA91" s="324">
        <f>IF(AND(L91="x",P91="✘"),1,0)</f>
        <v>0</v>
      </c>
      <c r="AB91" s="324">
        <f>IF(AND(L91="x",R91="✘"),1,0)</f>
        <v>0</v>
      </c>
      <c r="AC91" s="324">
        <f>IF(L91="x",1,0)</f>
        <v>0</v>
      </c>
      <c r="AD91" s="324">
        <f>IF(Fehlend_EN131="x",1,0)</f>
        <v>0</v>
      </c>
      <c r="AE91" s="324">
        <f>IF(Freigabe_131="x",1,0)</f>
        <v>0</v>
      </c>
      <c r="AF91" s="38"/>
      <c r="AG91" s="38"/>
      <c r="AH91" s="38"/>
      <c r="AI91" s="38"/>
      <c r="AJ91" s="38"/>
      <c r="AK91" s="38"/>
      <c r="AL91" s="38"/>
      <c r="AM91" s="38"/>
      <c r="AN91" s="38"/>
      <c r="AO91" s="38"/>
      <c r="AP91" s="38"/>
    </row>
    <row r="92" spans="1:42" ht="2.1" customHeight="1" x14ac:dyDescent="0.25">
      <c r="A92" s="34"/>
      <c r="B92" s="11"/>
      <c r="E92" s="4"/>
      <c r="K92" s="4"/>
      <c r="L92" s="7"/>
      <c r="N92" s="7"/>
      <c r="O92" s="7"/>
      <c r="P92" s="66"/>
      <c r="Q92" s="90"/>
      <c r="R92" s="90"/>
      <c r="S92" s="7"/>
      <c r="T92" s="7"/>
      <c r="X92" s="131"/>
      <c r="Y92" s="323"/>
      <c r="Z92" s="324"/>
      <c r="AA92" s="324"/>
      <c r="AB92" s="324"/>
      <c r="AC92" s="324"/>
      <c r="AD92" s="324"/>
      <c r="AE92" s="324"/>
      <c r="AF92" s="38"/>
      <c r="AG92" s="38"/>
      <c r="AH92" s="38"/>
      <c r="AI92" s="38"/>
      <c r="AJ92" s="38"/>
      <c r="AK92" s="38"/>
      <c r="AL92" s="38"/>
      <c r="AM92" s="38"/>
      <c r="AN92" s="38"/>
      <c r="AO92" s="38"/>
      <c r="AP92" s="38"/>
    </row>
    <row r="93" spans="1:42" ht="15.75" x14ac:dyDescent="0.25">
      <c r="A93" s="34" t="s">
        <v>274</v>
      </c>
      <c r="B93" s="117" t="s">
        <v>502</v>
      </c>
      <c r="C93" s="2" t="s">
        <v>941</v>
      </c>
      <c r="D93" s="3" t="s">
        <v>342</v>
      </c>
      <c r="E93" s="4"/>
      <c r="K93" s="4"/>
      <c r="L93" s="30" t="s">
        <v>43</v>
      </c>
      <c r="N93" s="30" t="s">
        <v>43</v>
      </c>
      <c r="P93" s="66" t="str">
        <f>IF(L93="-","",IF(Unterlagen_132="erfüllt","✓","✘"))</f>
        <v/>
      </c>
      <c r="Q93" s="2"/>
      <c r="R93" s="66" t="str">
        <f>IF(L93="-","",IF(AND(N93="x",Ergebnis_132="erfüllt"),"✓","✘"))</f>
        <v/>
      </c>
      <c r="S93" s="31"/>
      <c r="T93" s="7"/>
      <c r="U93" s="9" t="str">
        <f>IF(L93="-","",IF(AD93=1,"Freigabe trotz fehlenden Unterlagen und ohne Kontrolle",IF(AE93=1,"Freigabe trotz einzelnen Abweichungen.","")))</f>
        <v/>
      </c>
      <c r="V93" s="9"/>
      <c r="W93" s="9"/>
      <c r="X93" s="131" t="str">
        <f>IF(Bem_132,"!","")</f>
        <v/>
      </c>
      <c r="Y93" s="323"/>
      <c r="Z93" s="324">
        <f>IF(AND(L93="x",N93="-"),1,0)</f>
        <v>0</v>
      </c>
      <c r="AA93" s="324">
        <f>IF(AND(L93="x",P93="✘"),1,0)</f>
        <v>0</v>
      </c>
      <c r="AB93" s="324">
        <f>IF(AND(L93="x",R93="✘"),1,0)</f>
        <v>0</v>
      </c>
      <c r="AC93" s="324">
        <f>IF(L93="x",1,0)</f>
        <v>0</v>
      </c>
      <c r="AD93" s="324">
        <f>IF(Fehlend_EN132="x",1,0)</f>
        <v>0</v>
      </c>
      <c r="AE93" s="324">
        <f>IF(Freigabe_132="x",1,0)</f>
        <v>0</v>
      </c>
      <c r="AF93" s="38"/>
      <c r="AG93" s="38"/>
      <c r="AH93" s="38"/>
      <c r="AI93" s="38"/>
      <c r="AJ93" s="38"/>
      <c r="AK93" s="38"/>
      <c r="AL93" s="38"/>
      <c r="AM93" s="38"/>
      <c r="AN93" s="38"/>
      <c r="AO93" s="38"/>
      <c r="AP93" s="38"/>
    </row>
    <row r="94" spans="1:42" ht="2.1" customHeight="1" x14ac:dyDescent="0.25">
      <c r="A94" s="34"/>
      <c r="B94" s="11"/>
      <c r="L94" s="7"/>
      <c r="N94" s="7"/>
      <c r="P94" s="66"/>
      <c r="Q94" s="2"/>
      <c r="R94" s="2"/>
      <c r="X94" s="131"/>
      <c r="Y94" s="323"/>
      <c r="Z94" s="324"/>
      <c r="AA94" s="324"/>
      <c r="AB94" s="324"/>
      <c r="AC94" s="324"/>
      <c r="AD94" s="324"/>
      <c r="AE94" s="324"/>
      <c r="AF94" s="38"/>
      <c r="AG94" s="38"/>
      <c r="AH94" s="38"/>
      <c r="AI94" s="38"/>
      <c r="AJ94" s="38"/>
      <c r="AK94" s="38"/>
      <c r="AL94" s="38"/>
      <c r="AM94" s="38"/>
      <c r="AN94" s="38"/>
      <c r="AO94" s="38"/>
      <c r="AP94" s="38"/>
    </row>
    <row r="95" spans="1:42" ht="15.75" x14ac:dyDescent="0.25">
      <c r="A95" s="34" t="s">
        <v>274</v>
      </c>
      <c r="B95" s="117" t="s">
        <v>502</v>
      </c>
      <c r="C95" s="2" t="s">
        <v>942</v>
      </c>
      <c r="D95" s="3" t="s">
        <v>954</v>
      </c>
      <c r="L95" s="30" t="s">
        <v>43</v>
      </c>
      <c r="N95" s="30" t="s">
        <v>43</v>
      </c>
      <c r="P95" s="66" t="str">
        <f>IF(L95="-","",IF(Unterlagen_133="erfüllt","✓","✘"))</f>
        <v/>
      </c>
      <c r="Q95" s="2"/>
      <c r="R95" s="66" t="str">
        <f>IF(L95="-","",IF(AND(N95="x",Ergebnis_133="erfüllt"),"✓","✘"))</f>
        <v/>
      </c>
      <c r="S95" s="31"/>
      <c r="U95" s="9" t="str">
        <f>IF(L95="-","",IF(AD95=1,"Freigabe trotz fehlenden Unterlagen und ohne Kontrolle",IF(AE95=1,"Freigabe trotz einzelnen Abweichungen.","")))</f>
        <v/>
      </c>
      <c r="V95" s="9"/>
      <c r="W95" s="9"/>
      <c r="X95" s="131" t="str">
        <f>IF(Bem_133,"!","")</f>
        <v/>
      </c>
      <c r="Y95" s="323"/>
      <c r="Z95" s="324">
        <f>IF(AND(L95="x",N95="-"),1,0)</f>
        <v>0</v>
      </c>
      <c r="AA95" s="324">
        <f>IF(AND(L95="x",P95="✘"),1,0)</f>
        <v>0</v>
      </c>
      <c r="AB95" s="324">
        <f>IF(AND(L95="x",R95="✘"),1,0)</f>
        <v>0</v>
      </c>
      <c r="AC95" s="324">
        <f>IF(L95="x",1,0)</f>
        <v>0</v>
      </c>
      <c r="AD95" s="324">
        <f>IF('EN-133'!F54="x",1,0)</f>
        <v>0</v>
      </c>
      <c r="AE95" s="324">
        <f>IF('EN-133'!F56="x",1,0)</f>
        <v>0</v>
      </c>
      <c r="AF95" s="38"/>
      <c r="AG95" s="38"/>
      <c r="AH95" s="38"/>
      <c r="AI95" s="38"/>
      <c r="AJ95" s="38"/>
      <c r="AK95" s="38"/>
      <c r="AL95" s="38"/>
      <c r="AM95" s="38"/>
      <c r="AN95" s="38"/>
      <c r="AO95" s="38"/>
      <c r="AP95" s="38"/>
    </row>
    <row r="96" spans="1:42" ht="2.1" customHeight="1" x14ac:dyDescent="0.25">
      <c r="A96" s="34"/>
      <c r="B96" s="11"/>
      <c r="L96" s="7"/>
      <c r="N96" s="7"/>
      <c r="P96" s="66"/>
      <c r="Q96" s="2"/>
      <c r="R96" s="2"/>
      <c r="X96" s="131"/>
      <c r="Y96" s="323"/>
      <c r="Z96" s="324"/>
      <c r="AA96" s="324"/>
      <c r="AB96" s="324"/>
      <c r="AC96" s="324"/>
      <c r="AD96" s="324"/>
      <c r="AE96" s="324"/>
      <c r="AF96" s="38"/>
      <c r="AG96" s="38"/>
      <c r="AH96" s="38"/>
      <c r="AI96" s="38"/>
      <c r="AJ96" s="38"/>
      <c r="AK96" s="38"/>
      <c r="AL96" s="38"/>
      <c r="AM96" s="38"/>
      <c r="AN96" s="38"/>
      <c r="AO96" s="38"/>
      <c r="AP96" s="38"/>
    </row>
    <row r="97" spans="1:42" ht="15.75" x14ac:dyDescent="0.25">
      <c r="A97" s="34"/>
      <c r="B97" s="117" t="s">
        <v>502</v>
      </c>
      <c r="C97" s="88" t="s">
        <v>869</v>
      </c>
      <c r="D97" s="38" t="s">
        <v>955</v>
      </c>
      <c r="E97" s="38"/>
      <c r="F97" s="38"/>
      <c r="G97" s="38"/>
      <c r="H97" s="38"/>
      <c r="I97" s="38"/>
      <c r="J97" s="38"/>
      <c r="L97" s="12" t="str">
        <f>V23</f>
        <v>-</v>
      </c>
      <c r="N97" s="27"/>
      <c r="P97" s="66" t="str">
        <f>IF(L97="-","",IF(Unterlagen_BA="erfüllt","✓","✘"))</f>
        <v/>
      </c>
      <c r="Q97" s="2"/>
      <c r="R97" s="66" t="str">
        <f>IF(L97="-","",IF(Ergebnis_BA="erfüllt","✓","✘"))</f>
        <v/>
      </c>
      <c r="S97" s="31"/>
      <c r="U97" s="9" t="str">
        <f>IF(L97="-","",IF(AD97=1,"Freigabe trotz fehlenden Unterlagen und ohne Kontrolle",IF(AE97=1,"Freigabe trotz einzelnen Abweichungen.","")))</f>
        <v/>
      </c>
      <c r="V97" s="9"/>
      <c r="W97" s="9"/>
      <c r="X97" s="131" t="str">
        <f>IF(Bem_BA,"!","")</f>
        <v/>
      </c>
      <c r="Y97" s="323"/>
      <c r="Z97" s="324">
        <f>IF(AND(L97="x",N97="-"),1,0)</f>
        <v>0</v>
      </c>
      <c r="AA97" s="324">
        <f>IF(AND(L97="x",P97="✘"),1,0)</f>
        <v>0</v>
      </c>
      <c r="AB97" s="324">
        <f>IF(AND(L97="x",R97="✘"),1,0)</f>
        <v>0</v>
      </c>
      <c r="AC97" s="324">
        <f>IF(L97="x",1,0)</f>
        <v>0</v>
      </c>
      <c r="AD97" s="324">
        <f>IF('EN-134'!F56="x",1,0)</f>
        <v>0</v>
      </c>
      <c r="AE97" s="324">
        <f>IF('EN-134'!F58="x",1,0)</f>
        <v>0</v>
      </c>
      <c r="AF97" s="38"/>
      <c r="AG97" s="38"/>
      <c r="AH97" s="38"/>
      <c r="AI97" s="38"/>
      <c r="AJ97" s="38"/>
      <c r="AK97" s="38"/>
      <c r="AL97" s="38"/>
      <c r="AM97" s="38"/>
      <c r="AN97" s="38"/>
      <c r="AO97" s="38"/>
      <c r="AP97" s="38"/>
    </row>
    <row r="98" spans="1:42" ht="15.75" customHeight="1" x14ac:dyDescent="0.25">
      <c r="P98" s="2"/>
      <c r="Q98" s="2"/>
      <c r="R98" s="66"/>
      <c r="S98" s="31"/>
      <c r="U98" s="402" t="str">
        <f>IF(AND(L116="X",OR('EN-101a'!F70="x",'EN-101b'!F167="x",'EN-101c'!F122,'EN-102a Neubau'!H156="x",'EN-102a Umbau'!H149="x",'EN-102b'!F272="x",'EN-103'!F1363="x",'EN-104'!F95="x",'EN-105'!F218="x",'EN-110'!F60="x",'EN-111'!F60="x",'EN-112'!F60="x",'EN-120 '!H134="x",'EN-120-ZG'!H94="x",'EN-130'!F56="x",'EN-131'!F56="x",'EN-132'!F56="x",'EN-133'!F56="x",'EN-134'!F56="x",'EN-135'!F56="x",BA!F60="x",'EN-103'!F26="x",'EN-105'!F33="x",'EN-110'!F23="x",'EN-111'!F23="x",'EN-112'!F23="x",'EN-130'!F54="x",'EN-131'!F54="x",'EN-132'!F54="x",'EN-133'!F54="x",'EN-134'!F54="x",'EN-135'!F54="x",BA!F23="x")),"Teilweise wurden EN-Formulare trotz Abweichungen freigegeben: Auflagen an die Baufreigabe sind entsprechend auf Seite 2 zu verfassen.","")</f>
        <v/>
      </c>
      <c r="V98" s="402"/>
      <c r="W98" s="402"/>
      <c r="X98" s="132"/>
      <c r="AC98" s="38"/>
      <c r="AD98" s="38" t="s">
        <v>1025</v>
      </c>
      <c r="AE98" s="38" t="s">
        <v>1026</v>
      </c>
      <c r="AF98" s="38"/>
      <c r="AG98" s="38"/>
      <c r="AH98" s="38"/>
      <c r="AI98" s="38"/>
      <c r="AJ98" s="38"/>
      <c r="AK98" s="38"/>
      <c r="AL98" s="38"/>
      <c r="AM98" s="38"/>
      <c r="AN98" s="38"/>
      <c r="AO98" s="38"/>
      <c r="AP98" s="38"/>
    </row>
    <row r="99" spans="1:42" ht="15.75" customHeight="1" x14ac:dyDescent="0.25">
      <c r="R99" s="31"/>
      <c r="S99" s="31"/>
      <c r="U99" s="403"/>
      <c r="V99" s="403"/>
      <c r="W99" s="403"/>
      <c r="X99" s="133"/>
      <c r="AC99" s="38"/>
      <c r="AD99" s="400" t="str">
        <f>IF(OR('EN-101a'!F70="x",'EN-101b'!F167="x",'EN-101c'!F122,'EN-102a Neubau'!H156="x",'EN-102a Umbau'!H149="x",'EN-102b'!F272="x",'EN-103'!F136="x",'EN-104'!F95="x",'EN-105'!F218="x",'EN-110'!F60="x",'EN-111'!F60="x",'EN-112'!F60="x",'EN-120 '!H134="x",'EN-120-ZG'!H94="x",'EN-130'!F56="x",'EN-131'!F56="x",'EN-132'!F56="x",'EN-133'!F56="x",'EN-134'!F56="x",'EN-135'!F56="x",BA!F60="x"),"x","")</f>
        <v/>
      </c>
      <c r="AE99" s="400" t="str">
        <f>IF(OR('EN-103'!F26="x",'EN-105'!F33="x",'EN-110'!F23="x",'EN-111'!F23="x",'EN-112'!F23="x",'EN-130'!F54="x",'EN-131'!F54="x",'EN-132'!F54="x",'EN-133'!F54="x",'EN-134'!F54="x",'EN-135'!F54="x",BA!F23="x"),"x","")</f>
        <v/>
      </c>
      <c r="AF99" s="38"/>
      <c r="AG99" s="38"/>
      <c r="AH99" s="38"/>
      <c r="AI99" s="88"/>
      <c r="AJ99" s="38"/>
      <c r="AK99" s="38"/>
      <c r="AL99" s="38"/>
      <c r="AM99" s="38"/>
      <c r="AN99" s="38"/>
      <c r="AO99" s="38"/>
      <c r="AP99" s="38"/>
    </row>
    <row r="100" spans="1:42" ht="1.5" customHeight="1" x14ac:dyDescent="0.2">
      <c r="A100" s="208"/>
      <c r="B100" s="1"/>
      <c r="C100" s="1"/>
      <c r="D100" s="1"/>
      <c r="E100" s="1"/>
      <c r="F100" s="1"/>
      <c r="G100" s="1"/>
      <c r="H100" s="1"/>
      <c r="I100" s="1"/>
      <c r="J100" s="1"/>
      <c r="K100" s="1"/>
      <c r="L100" s="209"/>
      <c r="M100" s="64"/>
      <c r="N100" s="209"/>
      <c r="O100" s="1"/>
      <c r="P100" s="1"/>
      <c r="Q100" s="1"/>
      <c r="R100" s="1"/>
      <c r="S100" s="1"/>
      <c r="T100" s="1"/>
      <c r="U100" s="149"/>
      <c r="V100" s="149"/>
      <c r="W100" s="149"/>
      <c r="X100" s="70"/>
      <c r="AC100" s="38"/>
      <c r="AD100" s="400"/>
      <c r="AE100" s="400"/>
      <c r="AF100" s="38"/>
      <c r="AG100" s="38"/>
      <c r="AH100" s="38"/>
      <c r="AI100" s="38"/>
      <c r="AJ100" s="38"/>
      <c r="AK100" s="38"/>
      <c r="AL100" s="38"/>
      <c r="AM100" s="38"/>
      <c r="AN100" s="38"/>
      <c r="AO100" s="38"/>
      <c r="AP100" s="38"/>
    </row>
    <row r="101" spans="1:42" x14ac:dyDescent="0.2">
      <c r="A101" s="2" t="s">
        <v>38</v>
      </c>
      <c r="N101" s="53"/>
      <c r="O101" s="54"/>
      <c r="P101" s="54"/>
      <c r="Q101" s="54"/>
      <c r="R101" s="54"/>
      <c r="S101" s="54"/>
      <c r="T101" s="54"/>
      <c r="U101" s="54"/>
      <c r="V101" s="54"/>
      <c r="W101" s="54"/>
      <c r="X101" s="71"/>
      <c r="Y101" s="323"/>
      <c r="Z101" s="324"/>
      <c r="AA101" s="324"/>
      <c r="AB101" s="324"/>
      <c r="AC101" s="38"/>
      <c r="AD101" s="38"/>
      <c r="AE101" s="38"/>
      <c r="AF101" s="38"/>
      <c r="AG101" s="38"/>
      <c r="AH101" s="38"/>
      <c r="AI101" s="38"/>
      <c r="AJ101" s="38"/>
      <c r="AK101" s="38"/>
      <c r="AL101" s="38"/>
      <c r="AM101" s="38"/>
      <c r="AN101" s="38"/>
      <c r="AO101" s="38"/>
      <c r="AP101" s="38"/>
    </row>
    <row r="102" spans="1:42" ht="1.5" customHeight="1" x14ac:dyDescent="0.2">
      <c r="A102" s="2"/>
      <c r="L102" s="2"/>
      <c r="N102" s="54"/>
      <c r="O102" s="54"/>
      <c r="P102" s="54"/>
      <c r="Q102" s="54"/>
      <c r="R102" s="54"/>
      <c r="S102" s="54"/>
      <c r="T102" s="54"/>
      <c r="U102" s="53"/>
      <c r="V102" s="53"/>
      <c r="W102" s="54"/>
      <c r="X102" s="71"/>
      <c r="Y102" s="323"/>
      <c r="Z102" s="324"/>
      <c r="AA102" s="324"/>
      <c r="AB102" s="324"/>
      <c r="AC102" s="38"/>
      <c r="AD102" s="38"/>
      <c r="AE102" s="38"/>
      <c r="AF102" s="38"/>
      <c r="AG102" s="38"/>
      <c r="AH102" s="38"/>
      <c r="AI102" s="38"/>
      <c r="AJ102" s="38"/>
      <c r="AK102" s="38"/>
      <c r="AL102" s="38"/>
      <c r="AM102" s="38"/>
      <c r="AN102" s="38"/>
      <c r="AO102" s="38"/>
      <c r="AP102" s="38"/>
    </row>
    <row r="103" spans="1:42" ht="15.75" customHeight="1" x14ac:dyDescent="0.2">
      <c r="B103" s="3" t="s">
        <v>311</v>
      </c>
      <c r="E103" s="388" t="str">
        <f>IF(AND(COUNTIF(F15:F23,"x")&gt;1,AC103=0),"nicht erfüllt",IF(Z103=0,"erfüllt","nicht erfüllt"))</f>
        <v>erfüllt</v>
      </c>
      <c r="F103" s="388"/>
      <c r="G103" s="388"/>
      <c r="H103" s="388"/>
      <c r="I103" s="388"/>
      <c r="J103" s="388"/>
      <c r="L103" s="387" t="s">
        <v>443</v>
      </c>
      <c r="M103" s="387"/>
      <c r="N103" s="387"/>
      <c r="O103" s="387"/>
      <c r="P103" s="387"/>
      <c r="Q103" s="387"/>
      <c r="R103" s="387"/>
      <c r="S103" s="387"/>
      <c r="T103" s="387"/>
      <c r="U103" s="387"/>
      <c r="V103" s="387"/>
      <c r="W103" s="387"/>
      <c r="X103" s="72"/>
      <c r="Y103" s="323"/>
      <c r="Z103" s="326">
        <f>SUM(Z43:Z97)</f>
        <v>0</v>
      </c>
      <c r="AA103" s="326">
        <f>SUM(AA43:AA97)</f>
        <v>0</v>
      </c>
      <c r="AB103" s="326">
        <f>SUM(AB43:AB97)</f>
        <v>0</v>
      </c>
      <c r="AC103" s="326">
        <f>SUM(AC43:AC97)</f>
        <v>0</v>
      </c>
      <c r="AD103" s="326">
        <f>SUM(AD43:AD97)</f>
        <v>0</v>
      </c>
      <c r="AE103" s="38"/>
      <c r="AF103" s="38"/>
      <c r="AG103" s="38"/>
      <c r="AH103" s="38"/>
      <c r="AI103" s="38"/>
      <c r="AJ103" s="38"/>
      <c r="AK103" s="38"/>
      <c r="AL103" s="38"/>
      <c r="AM103" s="38"/>
      <c r="AN103" s="38"/>
      <c r="AO103" s="38"/>
      <c r="AP103" s="38"/>
    </row>
    <row r="104" spans="1:42" ht="1.5" customHeight="1" x14ac:dyDescent="0.2">
      <c r="H104" s="87"/>
      <c r="L104" s="387"/>
      <c r="M104" s="387"/>
      <c r="N104" s="387"/>
      <c r="O104" s="387"/>
      <c r="P104" s="387"/>
      <c r="Q104" s="387"/>
      <c r="R104" s="387"/>
      <c r="S104" s="387"/>
      <c r="T104" s="387"/>
      <c r="U104" s="387"/>
      <c r="V104" s="387"/>
      <c r="W104" s="387"/>
      <c r="X104" s="72"/>
      <c r="Y104" s="323"/>
      <c r="Z104" s="324"/>
      <c r="AA104" s="324"/>
      <c r="AB104" s="324"/>
      <c r="AC104" s="38"/>
      <c r="AD104" s="38"/>
      <c r="AE104" s="38"/>
      <c r="AF104" s="38"/>
      <c r="AG104" s="38"/>
      <c r="AH104" s="38"/>
      <c r="AI104" s="38"/>
      <c r="AJ104" s="38"/>
      <c r="AK104" s="38"/>
      <c r="AL104" s="38"/>
      <c r="AM104" s="38"/>
      <c r="AN104" s="38"/>
      <c r="AO104" s="38"/>
      <c r="AP104" s="38"/>
    </row>
    <row r="105" spans="1:42" ht="14.25" customHeight="1" x14ac:dyDescent="0.2">
      <c r="B105" s="38" t="s">
        <v>439</v>
      </c>
      <c r="E105" s="388" t="str">
        <f>IF(AND(COUNTIF(F15:F23,"x")&gt;1,AC103=0),"nicht erfüllt",IF(AA103=0,"erfüllt","nicht erfüllt"))</f>
        <v>erfüllt</v>
      </c>
      <c r="F105" s="388"/>
      <c r="G105" s="388"/>
      <c r="H105" s="388"/>
      <c r="I105" s="388"/>
      <c r="J105" s="388"/>
      <c r="L105" s="387"/>
      <c r="M105" s="387"/>
      <c r="N105" s="387"/>
      <c r="O105" s="387"/>
      <c r="P105" s="387"/>
      <c r="Q105" s="387"/>
      <c r="R105" s="387"/>
      <c r="S105" s="387"/>
      <c r="T105" s="387"/>
      <c r="U105" s="387"/>
      <c r="V105" s="387"/>
      <c r="W105" s="387"/>
      <c r="X105" s="72"/>
      <c r="Y105" s="323"/>
      <c r="Z105" s="324"/>
      <c r="AA105" s="324"/>
      <c r="AB105" s="324"/>
      <c r="AC105" s="38"/>
      <c r="AD105" s="38"/>
      <c r="AE105" s="38"/>
      <c r="AF105" s="38"/>
      <c r="AG105" s="38"/>
      <c r="AH105" s="38"/>
      <c r="AI105" s="38"/>
      <c r="AJ105" s="38"/>
      <c r="AK105" s="38"/>
      <c r="AL105" s="38"/>
      <c r="AM105" s="38"/>
      <c r="AN105" s="38"/>
      <c r="AO105" s="38"/>
      <c r="AP105" s="38"/>
    </row>
    <row r="106" spans="1:42" ht="2.1" customHeight="1" x14ac:dyDescent="0.2">
      <c r="L106" s="387"/>
      <c r="M106" s="387"/>
      <c r="N106" s="387"/>
      <c r="O106" s="387"/>
      <c r="P106" s="387"/>
      <c r="Q106" s="387"/>
      <c r="R106" s="387"/>
      <c r="S106" s="387"/>
      <c r="T106" s="387"/>
      <c r="U106" s="387"/>
      <c r="V106" s="387"/>
      <c r="W106" s="387"/>
      <c r="X106" s="72"/>
      <c r="Y106" s="323"/>
      <c r="Z106" s="324"/>
      <c r="AA106" s="324"/>
      <c r="AB106" s="324"/>
      <c r="AC106" s="38"/>
      <c r="AD106" s="38"/>
      <c r="AE106" s="38"/>
      <c r="AF106" s="38"/>
      <c r="AG106" s="38"/>
      <c r="AH106" s="38"/>
      <c r="AI106" s="38"/>
      <c r="AJ106" s="38"/>
      <c r="AK106" s="38"/>
      <c r="AL106" s="38"/>
      <c r="AM106" s="38"/>
      <c r="AN106" s="38"/>
      <c r="AO106" s="38"/>
      <c r="AP106" s="38"/>
    </row>
    <row r="107" spans="1:42" ht="15.75" customHeight="1" x14ac:dyDescent="0.2">
      <c r="B107" s="3" t="s">
        <v>251</v>
      </c>
      <c r="E107" s="388" t="str">
        <f>IF(AND(COUNTIF(F15:F23,"x")&gt;1,AC103=0),"nicht erfüllt",IF(AND(AB103=0,AA103=0,Z103=0),"erfüllt","nicht erfüllt"))</f>
        <v>erfüllt</v>
      </c>
      <c r="F107" s="388"/>
      <c r="G107" s="388"/>
      <c r="H107" s="388"/>
      <c r="I107" s="388"/>
      <c r="J107" s="388"/>
      <c r="L107" s="387"/>
      <c r="M107" s="387"/>
      <c r="N107" s="387"/>
      <c r="O107" s="387"/>
      <c r="P107" s="387"/>
      <c r="Q107" s="387"/>
      <c r="R107" s="387"/>
      <c r="S107" s="387"/>
      <c r="T107" s="387"/>
      <c r="U107" s="387"/>
      <c r="V107" s="387"/>
      <c r="W107" s="387"/>
      <c r="X107" s="72"/>
      <c r="Y107" s="323"/>
      <c r="Z107" s="324"/>
      <c r="AA107" s="324"/>
      <c r="AB107" s="324"/>
      <c r="AC107" s="38"/>
      <c r="AD107" s="38"/>
      <c r="AE107" s="38"/>
      <c r="AF107" s="38"/>
      <c r="AG107" s="38"/>
      <c r="AH107" s="38"/>
      <c r="AI107" s="38"/>
      <c r="AJ107" s="38"/>
      <c r="AK107" s="38"/>
      <c r="AL107" s="38"/>
      <c r="AM107" s="38"/>
      <c r="AN107" s="38"/>
      <c r="AO107" s="38"/>
      <c r="AP107" s="38"/>
    </row>
    <row r="108" spans="1:42" ht="1.5" customHeight="1" x14ac:dyDescent="0.2">
      <c r="E108" s="87"/>
      <c r="F108" s="87"/>
      <c r="G108" s="87"/>
      <c r="H108" s="87"/>
      <c r="I108" s="87"/>
      <c r="J108" s="87"/>
      <c r="L108" s="182"/>
      <c r="M108" s="182"/>
      <c r="N108" s="182"/>
      <c r="O108" s="182"/>
      <c r="P108" s="182"/>
      <c r="Q108" s="182"/>
      <c r="R108" s="182"/>
      <c r="S108" s="182"/>
      <c r="T108" s="182"/>
      <c r="U108" s="182"/>
      <c r="V108" s="182"/>
      <c r="W108" s="182"/>
      <c r="X108" s="72"/>
      <c r="Y108" s="323"/>
      <c r="Z108" s="324"/>
      <c r="AA108" s="324"/>
      <c r="AB108" s="324"/>
    </row>
    <row r="109" spans="1:42" ht="13.5" customHeight="1" x14ac:dyDescent="0.2">
      <c r="E109" s="87"/>
      <c r="F109" s="87"/>
      <c r="G109" s="87"/>
      <c r="H109" s="87"/>
      <c r="I109" s="87"/>
      <c r="J109" s="87"/>
      <c r="L109" s="182"/>
      <c r="M109" s="182"/>
      <c r="N109" s="182"/>
      <c r="O109" s="182"/>
      <c r="P109" s="182"/>
      <c r="Q109" s="182"/>
      <c r="R109" s="182"/>
      <c r="S109" s="182"/>
      <c r="T109" s="182"/>
      <c r="U109" s="182"/>
      <c r="V109" s="182"/>
      <c r="W109" s="182"/>
      <c r="X109" s="72"/>
      <c r="Y109" s="323"/>
      <c r="Z109" s="324"/>
      <c r="AA109" s="324"/>
      <c r="AB109" s="324"/>
    </row>
    <row r="110" spans="1:42" ht="1.5" customHeight="1" x14ac:dyDescent="0.2">
      <c r="E110" s="87"/>
      <c r="F110" s="87"/>
      <c r="G110" s="87"/>
      <c r="H110" s="87"/>
      <c r="I110" s="87"/>
      <c r="J110" s="87"/>
      <c r="L110" s="182"/>
      <c r="M110" s="182"/>
      <c r="N110" s="182"/>
      <c r="O110" s="182"/>
      <c r="P110" s="182"/>
      <c r="Q110" s="182"/>
      <c r="R110" s="182"/>
      <c r="S110" s="182"/>
      <c r="T110" s="182"/>
      <c r="U110" s="182"/>
      <c r="V110" s="182"/>
      <c r="W110" s="182"/>
      <c r="X110" s="72"/>
      <c r="Y110" s="323"/>
      <c r="Z110" s="324"/>
      <c r="AA110" s="324"/>
      <c r="AB110" s="324"/>
    </row>
    <row r="111" spans="1:42" ht="13.5" customHeight="1" x14ac:dyDescent="0.2">
      <c r="B111" s="3" t="s">
        <v>432</v>
      </c>
      <c r="E111" s="355" t="str">
        <f>IF(ISTEXT(Kontrollbeauftragter),Kontrollbeauftragter,"")</f>
        <v/>
      </c>
      <c r="F111" s="355"/>
      <c r="G111" s="355"/>
      <c r="H111" s="355"/>
      <c r="I111" s="355"/>
      <c r="J111" s="355"/>
      <c r="K111" s="44"/>
      <c r="L111" s="3" t="s">
        <v>41</v>
      </c>
      <c r="N111" s="104"/>
      <c r="O111" s="104"/>
      <c r="P111" s="104"/>
      <c r="Q111" s="104"/>
      <c r="R111" s="104"/>
      <c r="S111" s="104"/>
      <c r="T111" s="104"/>
      <c r="U111" s="385"/>
      <c r="V111" s="105"/>
      <c r="W111" s="106"/>
      <c r="X111" s="107"/>
    </row>
    <row r="112" spans="1:42" ht="3" customHeight="1" x14ac:dyDescent="0.2">
      <c r="N112" s="104"/>
      <c r="O112" s="104"/>
      <c r="P112" s="104"/>
      <c r="Q112" s="104"/>
      <c r="R112" s="104"/>
      <c r="S112" s="104"/>
      <c r="T112" s="104"/>
      <c r="U112" s="385"/>
      <c r="V112" s="105"/>
      <c r="W112" s="106"/>
      <c r="X112" s="107"/>
    </row>
    <row r="113" spans="1:41" ht="12.95" customHeight="1" x14ac:dyDescent="0.2">
      <c r="B113" s="3" t="s">
        <v>40</v>
      </c>
      <c r="E113" s="401">
        <f ca="1">TODAY()</f>
        <v>45866</v>
      </c>
      <c r="F113" s="401"/>
      <c r="G113" s="401"/>
      <c r="H113" s="401"/>
      <c r="I113" s="401"/>
      <c r="J113" s="401"/>
      <c r="K113" s="44"/>
      <c r="N113" s="106"/>
      <c r="O113" s="106"/>
      <c r="P113" s="106"/>
      <c r="Q113" s="106"/>
      <c r="R113" s="106"/>
      <c r="S113" s="106"/>
      <c r="T113" s="108"/>
      <c r="U113" s="386"/>
      <c r="V113" s="109"/>
      <c r="W113" s="108"/>
      <c r="X113" s="266"/>
    </row>
    <row r="114" spans="1:41" ht="13.5" customHeight="1" x14ac:dyDescent="0.2">
      <c r="L114" s="47"/>
      <c r="N114" s="384"/>
      <c r="O114" s="384"/>
      <c r="P114" s="384"/>
      <c r="Q114" s="384"/>
      <c r="R114" s="384"/>
      <c r="S114" s="384"/>
      <c r="T114" s="384"/>
      <c r="U114" s="384"/>
      <c r="V114" s="384"/>
      <c r="W114" s="384"/>
      <c r="X114" s="73"/>
    </row>
    <row r="115" spans="1:41" ht="13.5" customHeight="1" x14ac:dyDescent="0.2">
      <c r="A115" s="34"/>
      <c r="L115" s="55"/>
      <c r="M115" s="54"/>
      <c r="N115" s="55"/>
    </row>
    <row r="116" spans="1:41" ht="13.5" customHeight="1" x14ac:dyDescent="0.2">
      <c r="A116" s="286" t="s">
        <v>542</v>
      </c>
      <c r="B116" s="286"/>
      <c r="C116" s="286"/>
      <c r="D116" s="2"/>
      <c r="E116" s="260"/>
      <c r="H116" s="51"/>
      <c r="L116" s="264" t="str">
        <f>IF(OR('EN-101a'!F70="x",'EN-101b'!F167="x",'EN-101c'!F122,'EN-102a Neubau'!H156="x",'EN-102a Umbau'!H149="x",'EN-102b'!F272="x",'EN-103'!F1363="x",'EN-104'!F95="x",'EN-105'!F218="x",'EN-110'!F60="x",'EN-111'!F60="x",'EN-112'!F60="x",'EN-120 '!H134="x",'EN-120-ZG'!H94="x",'EN-130'!F56="x",'EN-131'!F56="x",'EN-132'!F56="x",'EN-133'!F56="x",'EN-134'!F56="x",'EN-135'!F56="x",BA!F60="x",'EN-103'!F26="x",'EN-105'!F33="x",'EN-110'!F23="x",'EN-111'!F23="x",'EN-112'!F23="x",'EN-130'!F54="x",'EN-131'!F54="x",'EN-132'!F54="x",'EN-133'!F54="x",'EN-134'!F54="x",'EN-135'!F54="x",BA!F23="x"),"x","")</f>
        <v/>
      </c>
      <c r="M116" s="54"/>
      <c r="N116" s="55"/>
    </row>
    <row r="117" spans="1:41" ht="4.9000000000000004" customHeight="1" x14ac:dyDescent="0.2">
      <c r="A117" s="2"/>
      <c r="B117" s="2"/>
      <c r="C117" s="2"/>
      <c r="D117" s="2"/>
      <c r="E117" s="260"/>
      <c r="H117" s="51"/>
      <c r="L117" s="55"/>
      <c r="M117" s="54"/>
      <c r="N117" s="55"/>
    </row>
    <row r="118" spans="1:41" ht="13.5" customHeight="1" x14ac:dyDescent="0.2">
      <c r="A118" s="338" t="s">
        <v>876</v>
      </c>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row>
    <row r="119" spans="1:41" ht="13.5" customHeight="1" x14ac:dyDescent="0.2">
      <c r="A119" s="338"/>
      <c r="B119" s="338"/>
      <c r="C119" s="338"/>
      <c r="D119" s="338"/>
      <c r="E119" s="338"/>
      <c r="F119" s="338"/>
      <c r="G119" s="338"/>
      <c r="H119" s="338"/>
      <c r="I119" s="338"/>
      <c r="J119" s="338"/>
      <c r="K119" s="338"/>
      <c r="L119" s="338"/>
      <c r="M119" s="338"/>
      <c r="N119" s="338"/>
      <c r="O119" s="338"/>
      <c r="P119" s="338"/>
      <c r="Q119" s="338"/>
      <c r="R119" s="338"/>
      <c r="S119" s="338"/>
      <c r="T119" s="338"/>
      <c r="U119" s="338"/>
      <c r="V119" s="338"/>
      <c r="W119" s="338"/>
    </row>
    <row r="120" spans="1:41" ht="13.5" customHeight="1" x14ac:dyDescent="0.25">
      <c r="A120" s="338"/>
      <c r="B120" s="338"/>
      <c r="C120" s="338"/>
      <c r="D120" s="338"/>
      <c r="E120" s="338"/>
      <c r="F120" s="338"/>
      <c r="G120" s="338"/>
      <c r="H120" s="338"/>
      <c r="I120" s="338"/>
      <c r="J120" s="338"/>
      <c r="K120" s="338"/>
      <c r="L120" s="338"/>
      <c r="M120" s="338"/>
      <c r="N120" s="338"/>
      <c r="O120" s="338"/>
      <c r="P120" s="338"/>
      <c r="Q120" s="338"/>
      <c r="R120" s="338"/>
      <c r="S120" s="338"/>
      <c r="T120" s="338"/>
      <c r="U120" s="338"/>
      <c r="V120" s="338"/>
      <c r="W120" s="338"/>
      <c r="AJ120"/>
    </row>
    <row r="121" spans="1:41" ht="13.5" customHeight="1" x14ac:dyDescent="0.2">
      <c r="A121" s="2"/>
      <c r="B121" s="2"/>
      <c r="C121" s="2"/>
      <c r="D121" s="2"/>
      <c r="E121" s="260"/>
      <c r="H121" s="51"/>
      <c r="L121" s="55"/>
      <c r="M121" s="54"/>
      <c r="N121" s="55"/>
    </row>
    <row r="122" spans="1:41" ht="13.5" customHeight="1" x14ac:dyDescent="0.2">
      <c r="A122" s="357" t="str">
        <f>CONCATENATE(IF(AE122=0,"",AF122),IF(AE123=0,"",AF123),IF(AE124=0,"",AF124),IF(AE125=0,"",AF125),IF(AE126=0,"",AF126),IF(AE127=0,"",AF127),IF(AE128=0,"",AF128),IF(AE129=0,"",AF129),IF(AE130=0,"",AF130),IF(AE131=0,"",AF131),IF(AE132=0,"",AF132),IF(AE133=0,"",AF133),IF(AE134=0,"",AF134),IF(AE135=0,"",AF135),IF(AE136=0,"",AF136),IF(AE137=0,"",AF137),IF(AE138=0,"",AF138),IF(AE139=0,"",AF139),IF(AE140=0,"",AF140),IF(AE141=0,"",AF141),IF(AE142=0,"",AF142),IF(AE143=0,"",AF143))</f>
        <v/>
      </c>
      <c r="B122" s="392"/>
      <c r="C122" s="392"/>
      <c r="D122" s="392"/>
      <c r="E122" s="392"/>
      <c r="F122" s="392"/>
      <c r="G122" s="392"/>
      <c r="H122" s="392"/>
      <c r="I122" s="392"/>
      <c r="J122" s="392"/>
      <c r="K122" s="392"/>
      <c r="L122" s="392"/>
      <c r="M122" s="392"/>
      <c r="N122" s="392"/>
      <c r="O122" s="392"/>
      <c r="P122" s="392"/>
      <c r="Q122" s="392"/>
      <c r="R122" s="392"/>
      <c r="S122" s="392"/>
      <c r="T122" s="392"/>
      <c r="U122" s="392"/>
      <c r="V122" s="392"/>
      <c r="W122" s="393"/>
      <c r="AD122" s="3" t="s">
        <v>863</v>
      </c>
      <c r="AE122" s="3">
        <f>Auflagen_101a</f>
        <v>0</v>
      </c>
      <c r="AF122" s="3" t="str">
        <f>IF(ISTEXT(AE122),CONCATENATE(AD122,": ",AE122,CHAR(10)),"")</f>
        <v/>
      </c>
      <c r="AH122" s="380" t="s">
        <v>870</v>
      </c>
      <c r="AI122" s="380"/>
      <c r="AJ122" s="380"/>
      <c r="AK122" s="380"/>
      <c r="AL122" s="380"/>
      <c r="AM122" s="380"/>
      <c r="AN122" s="380"/>
      <c r="AO122" s="380"/>
    </row>
    <row r="123" spans="1:41" ht="13.5" customHeight="1" x14ac:dyDescent="0.2">
      <c r="A123" s="394"/>
      <c r="B123" s="395"/>
      <c r="C123" s="395"/>
      <c r="D123" s="395"/>
      <c r="E123" s="395"/>
      <c r="F123" s="395"/>
      <c r="G123" s="395"/>
      <c r="H123" s="395"/>
      <c r="I123" s="395"/>
      <c r="J123" s="395"/>
      <c r="K123" s="395"/>
      <c r="L123" s="395"/>
      <c r="M123" s="395"/>
      <c r="N123" s="395"/>
      <c r="O123" s="395"/>
      <c r="P123" s="395"/>
      <c r="Q123" s="395"/>
      <c r="R123" s="395"/>
      <c r="S123" s="395"/>
      <c r="T123" s="395"/>
      <c r="U123" s="395"/>
      <c r="V123" s="395"/>
      <c r="W123" s="396"/>
      <c r="AD123" s="3" t="s">
        <v>864</v>
      </c>
      <c r="AE123" s="3">
        <f>Auflagen_101b</f>
        <v>0</v>
      </c>
      <c r="AF123" s="3" t="str">
        <f t="shared" ref="AF123:AF143" si="6">IF(ISTEXT(AE123),CONCATENATE(AD123,": ",AE123,CHAR(10)),"")</f>
        <v/>
      </c>
      <c r="AH123" s="380"/>
      <c r="AI123" s="380"/>
      <c r="AJ123" s="380"/>
      <c r="AK123" s="380"/>
      <c r="AL123" s="380"/>
      <c r="AM123" s="380"/>
      <c r="AN123" s="380"/>
      <c r="AO123" s="380"/>
    </row>
    <row r="124" spans="1:41" ht="13.5" customHeight="1" x14ac:dyDescent="0.2">
      <c r="A124" s="394"/>
      <c r="B124" s="395"/>
      <c r="C124" s="395"/>
      <c r="D124" s="395"/>
      <c r="E124" s="395"/>
      <c r="F124" s="395"/>
      <c r="G124" s="395"/>
      <c r="H124" s="395"/>
      <c r="I124" s="395"/>
      <c r="J124" s="395"/>
      <c r="K124" s="395"/>
      <c r="L124" s="395"/>
      <c r="M124" s="395"/>
      <c r="N124" s="395"/>
      <c r="O124" s="395"/>
      <c r="P124" s="395"/>
      <c r="Q124" s="395"/>
      <c r="R124" s="395"/>
      <c r="S124" s="395"/>
      <c r="T124" s="395"/>
      <c r="U124" s="395"/>
      <c r="V124" s="395"/>
      <c r="W124" s="396"/>
      <c r="AD124" s="3" t="s">
        <v>865</v>
      </c>
      <c r="AE124" s="3">
        <f>Auflagen_101c</f>
        <v>0</v>
      </c>
      <c r="AF124" s="3" t="str">
        <f t="shared" si="6"/>
        <v/>
      </c>
      <c r="AH124" s="380"/>
      <c r="AI124" s="380"/>
      <c r="AJ124" s="380"/>
      <c r="AK124" s="380"/>
      <c r="AL124" s="380"/>
      <c r="AM124" s="380"/>
      <c r="AN124" s="380"/>
      <c r="AO124" s="380"/>
    </row>
    <row r="125" spans="1:41" ht="13.5" customHeight="1" x14ac:dyDescent="0.2">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6"/>
      <c r="AD125" s="3" t="s">
        <v>866</v>
      </c>
      <c r="AE125" s="3">
        <f>Auflagen_102aN</f>
        <v>0</v>
      </c>
      <c r="AF125" s="3" t="str">
        <f t="shared" si="6"/>
        <v/>
      </c>
      <c r="AH125" s="380"/>
      <c r="AI125" s="380"/>
      <c r="AJ125" s="380"/>
      <c r="AK125" s="380"/>
      <c r="AL125" s="380"/>
      <c r="AM125" s="380"/>
      <c r="AN125" s="380"/>
      <c r="AO125" s="380"/>
    </row>
    <row r="126" spans="1:41" ht="13.15" customHeight="1" x14ac:dyDescent="0.2">
      <c r="A126" s="394"/>
      <c r="B126" s="395"/>
      <c r="C126" s="395"/>
      <c r="D126" s="395"/>
      <c r="E126" s="395"/>
      <c r="F126" s="395"/>
      <c r="G126" s="395"/>
      <c r="H126" s="395"/>
      <c r="I126" s="395"/>
      <c r="J126" s="395"/>
      <c r="K126" s="395"/>
      <c r="L126" s="395"/>
      <c r="M126" s="395"/>
      <c r="N126" s="395"/>
      <c r="O126" s="395"/>
      <c r="P126" s="395"/>
      <c r="Q126" s="395"/>
      <c r="R126" s="395"/>
      <c r="S126" s="395"/>
      <c r="T126" s="395"/>
      <c r="U126" s="395"/>
      <c r="V126" s="395"/>
      <c r="W126" s="396"/>
      <c r="AD126" s="3" t="s">
        <v>867</v>
      </c>
      <c r="AE126" s="3">
        <f>Auflagen_102aU</f>
        <v>0</v>
      </c>
      <c r="AF126" s="3" t="str">
        <f t="shared" si="6"/>
        <v/>
      </c>
      <c r="AH126" s="380"/>
      <c r="AI126" s="380"/>
      <c r="AJ126" s="380"/>
      <c r="AK126" s="380"/>
      <c r="AL126" s="380"/>
      <c r="AM126" s="380"/>
      <c r="AN126" s="380"/>
      <c r="AO126" s="380"/>
    </row>
    <row r="127" spans="1:41" ht="13.9" customHeight="1" x14ac:dyDescent="0.2">
      <c r="A127" s="394"/>
      <c r="B127" s="395"/>
      <c r="C127" s="395"/>
      <c r="D127" s="395"/>
      <c r="E127" s="395"/>
      <c r="F127" s="395"/>
      <c r="G127" s="395"/>
      <c r="H127" s="395"/>
      <c r="I127" s="395"/>
      <c r="J127" s="395"/>
      <c r="K127" s="395"/>
      <c r="L127" s="395"/>
      <c r="M127" s="395"/>
      <c r="N127" s="395"/>
      <c r="O127" s="395"/>
      <c r="P127" s="395"/>
      <c r="Q127" s="395"/>
      <c r="R127" s="395"/>
      <c r="S127" s="395"/>
      <c r="T127" s="395"/>
      <c r="U127" s="395"/>
      <c r="V127" s="395"/>
      <c r="W127" s="396"/>
      <c r="AD127" s="3" t="s">
        <v>868</v>
      </c>
      <c r="AE127" s="3">
        <f>Auflagen_102b</f>
        <v>0</v>
      </c>
      <c r="AF127" s="3" t="str">
        <f t="shared" si="6"/>
        <v/>
      </c>
      <c r="AH127" s="380"/>
      <c r="AI127" s="380"/>
      <c r="AJ127" s="380"/>
      <c r="AK127" s="380"/>
      <c r="AL127" s="380"/>
      <c r="AM127" s="380"/>
      <c r="AN127" s="380"/>
      <c r="AO127" s="380"/>
    </row>
    <row r="128" spans="1:41" ht="13.9" customHeight="1" x14ac:dyDescent="0.2">
      <c r="A128" s="394"/>
      <c r="B128" s="395"/>
      <c r="C128" s="395"/>
      <c r="D128" s="395"/>
      <c r="E128" s="395"/>
      <c r="F128" s="395"/>
      <c r="G128" s="395"/>
      <c r="H128" s="395"/>
      <c r="I128" s="395"/>
      <c r="J128" s="395"/>
      <c r="K128" s="395"/>
      <c r="L128" s="395"/>
      <c r="M128" s="395"/>
      <c r="N128" s="395"/>
      <c r="O128" s="395"/>
      <c r="P128" s="395"/>
      <c r="Q128" s="395"/>
      <c r="R128" s="395"/>
      <c r="S128" s="395"/>
      <c r="T128" s="395"/>
      <c r="U128" s="395"/>
      <c r="V128" s="395"/>
      <c r="W128" s="396"/>
      <c r="X128" s="73"/>
      <c r="AD128" s="3">
        <v>103</v>
      </c>
      <c r="AE128" s="3">
        <f>Auflagen_103</f>
        <v>0</v>
      </c>
      <c r="AF128" s="3" t="str">
        <f t="shared" si="6"/>
        <v/>
      </c>
      <c r="AH128" s="380"/>
      <c r="AI128" s="380"/>
      <c r="AJ128" s="380"/>
      <c r="AK128" s="380"/>
      <c r="AL128" s="380"/>
      <c r="AM128" s="380"/>
      <c r="AN128" s="380"/>
      <c r="AO128" s="380"/>
    </row>
    <row r="129" spans="1:41" ht="13.5" customHeight="1" x14ac:dyDescent="0.2">
      <c r="A129" s="394"/>
      <c r="B129" s="395"/>
      <c r="C129" s="395"/>
      <c r="D129" s="395"/>
      <c r="E129" s="395"/>
      <c r="F129" s="395"/>
      <c r="G129" s="395"/>
      <c r="H129" s="395"/>
      <c r="I129" s="395"/>
      <c r="J129" s="395"/>
      <c r="K129" s="395"/>
      <c r="L129" s="395"/>
      <c r="M129" s="395"/>
      <c r="N129" s="395"/>
      <c r="O129" s="395"/>
      <c r="P129" s="395"/>
      <c r="Q129" s="395"/>
      <c r="R129" s="395"/>
      <c r="S129" s="395"/>
      <c r="T129" s="395"/>
      <c r="U129" s="395"/>
      <c r="V129" s="395"/>
      <c r="W129" s="396"/>
      <c r="AD129" s="3">
        <v>104</v>
      </c>
      <c r="AE129" s="3">
        <f>Auflagen_104</f>
        <v>0</v>
      </c>
      <c r="AF129" s="3" t="str">
        <f t="shared" si="6"/>
        <v/>
      </c>
      <c r="AH129" s="380"/>
      <c r="AI129" s="380"/>
      <c r="AJ129" s="380"/>
      <c r="AK129" s="380"/>
      <c r="AL129" s="380"/>
      <c r="AM129" s="380"/>
      <c r="AN129" s="380"/>
      <c r="AO129" s="380"/>
    </row>
    <row r="130" spans="1:41" ht="13.5" customHeight="1" x14ac:dyDescent="0.2">
      <c r="A130" s="394"/>
      <c r="B130" s="395"/>
      <c r="C130" s="395"/>
      <c r="D130" s="395"/>
      <c r="E130" s="395"/>
      <c r="F130" s="395"/>
      <c r="G130" s="395"/>
      <c r="H130" s="395"/>
      <c r="I130" s="395"/>
      <c r="J130" s="395"/>
      <c r="K130" s="395"/>
      <c r="L130" s="395"/>
      <c r="M130" s="395"/>
      <c r="N130" s="395"/>
      <c r="O130" s="395"/>
      <c r="P130" s="395"/>
      <c r="Q130" s="395"/>
      <c r="R130" s="395"/>
      <c r="S130" s="395"/>
      <c r="T130" s="395"/>
      <c r="U130" s="395"/>
      <c r="V130" s="395"/>
      <c r="W130" s="396"/>
      <c r="AD130" s="3" t="s">
        <v>1036</v>
      </c>
      <c r="AE130" s="3">
        <f>'EN-204-LU'!Auflagen_110</f>
        <v>0</v>
      </c>
      <c r="AF130" s="3" t="str">
        <f t="shared" si="6"/>
        <v/>
      </c>
      <c r="AH130" s="380"/>
      <c r="AI130" s="380"/>
      <c r="AJ130" s="380"/>
      <c r="AK130" s="380"/>
      <c r="AL130" s="380"/>
      <c r="AM130" s="380"/>
      <c r="AN130" s="380"/>
      <c r="AO130" s="380"/>
    </row>
    <row r="131" spans="1:41" ht="13.5" customHeight="1" x14ac:dyDescent="0.2">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6"/>
      <c r="AD131" s="3">
        <v>105</v>
      </c>
      <c r="AE131" s="3">
        <f>Auflagen_105</f>
        <v>0</v>
      </c>
      <c r="AF131" s="3" t="str">
        <f t="shared" si="6"/>
        <v/>
      </c>
      <c r="AH131" s="380"/>
      <c r="AI131" s="380"/>
      <c r="AJ131" s="380"/>
      <c r="AK131" s="380"/>
      <c r="AL131" s="380"/>
      <c r="AM131" s="380"/>
      <c r="AN131" s="380"/>
      <c r="AO131" s="380"/>
    </row>
    <row r="132" spans="1:41" ht="13.5" customHeight="1" x14ac:dyDescent="0.2">
      <c r="A132" s="394"/>
      <c r="B132" s="395"/>
      <c r="C132" s="395"/>
      <c r="D132" s="395"/>
      <c r="E132" s="395"/>
      <c r="F132" s="395"/>
      <c r="G132" s="395"/>
      <c r="H132" s="395"/>
      <c r="I132" s="395"/>
      <c r="J132" s="395"/>
      <c r="K132" s="395"/>
      <c r="L132" s="395"/>
      <c r="M132" s="395"/>
      <c r="N132" s="395"/>
      <c r="O132" s="395"/>
      <c r="P132" s="395"/>
      <c r="Q132" s="395"/>
      <c r="R132" s="395"/>
      <c r="S132" s="395"/>
      <c r="T132" s="395"/>
      <c r="U132" s="395"/>
      <c r="V132" s="395"/>
      <c r="W132" s="396"/>
      <c r="AD132" s="3">
        <v>110</v>
      </c>
      <c r="AE132" s="3">
        <f>Auflagen_110</f>
        <v>0</v>
      </c>
      <c r="AF132" s="3" t="str">
        <f t="shared" si="6"/>
        <v/>
      </c>
      <c r="AH132" s="380"/>
      <c r="AI132" s="380"/>
      <c r="AJ132" s="380"/>
      <c r="AK132" s="380"/>
      <c r="AL132" s="380"/>
      <c r="AM132" s="380"/>
      <c r="AN132" s="380"/>
      <c r="AO132" s="380"/>
    </row>
    <row r="133" spans="1:41" ht="13.5" customHeight="1" x14ac:dyDescent="0.2">
      <c r="A133" s="394"/>
      <c r="B133" s="395"/>
      <c r="C133" s="395"/>
      <c r="D133" s="395"/>
      <c r="E133" s="395"/>
      <c r="F133" s="395"/>
      <c r="G133" s="395"/>
      <c r="H133" s="395"/>
      <c r="I133" s="395"/>
      <c r="J133" s="395"/>
      <c r="K133" s="395"/>
      <c r="L133" s="395"/>
      <c r="M133" s="395"/>
      <c r="N133" s="395"/>
      <c r="O133" s="395"/>
      <c r="P133" s="395"/>
      <c r="Q133" s="395"/>
      <c r="R133" s="395"/>
      <c r="S133" s="395"/>
      <c r="T133" s="395"/>
      <c r="U133" s="395"/>
      <c r="V133" s="395"/>
      <c r="W133" s="396"/>
      <c r="AD133" s="3">
        <v>111</v>
      </c>
      <c r="AE133" s="3">
        <f>Auflagen_111</f>
        <v>0</v>
      </c>
      <c r="AF133" s="3" t="str">
        <f t="shared" si="6"/>
        <v/>
      </c>
      <c r="AH133" s="380"/>
      <c r="AI133" s="380"/>
      <c r="AJ133" s="380"/>
      <c r="AK133" s="380"/>
      <c r="AL133" s="380"/>
      <c r="AM133" s="380"/>
      <c r="AN133" s="380"/>
      <c r="AO133" s="380"/>
    </row>
    <row r="134" spans="1:41" ht="13.5" customHeight="1" x14ac:dyDescent="0.2">
      <c r="A134" s="394"/>
      <c r="B134" s="395"/>
      <c r="C134" s="395"/>
      <c r="D134" s="395"/>
      <c r="E134" s="395"/>
      <c r="F134" s="395"/>
      <c r="G134" s="395"/>
      <c r="H134" s="395"/>
      <c r="I134" s="395"/>
      <c r="J134" s="395"/>
      <c r="K134" s="395"/>
      <c r="L134" s="395"/>
      <c r="M134" s="395"/>
      <c r="N134" s="395"/>
      <c r="O134" s="395"/>
      <c r="P134" s="395"/>
      <c r="Q134" s="395"/>
      <c r="R134" s="395"/>
      <c r="S134" s="395"/>
      <c r="T134" s="395"/>
      <c r="U134" s="395"/>
      <c r="V134" s="395"/>
      <c r="W134" s="396"/>
      <c r="AD134" s="3">
        <v>112</v>
      </c>
      <c r="AE134" s="3">
        <f>Auflagen_112</f>
        <v>0</v>
      </c>
      <c r="AF134" s="3" t="str">
        <f t="shared" si="6"/>
        <v/>
      </c>
      <c r="AH134" s="380"/>
      <c r="AI134" s="380"/>
      <c r="AJ134" s="380"/>
      <c r="AK134" s="380"/>
      <c r="AL134" s="380"/>
      <c r="AM134" s="380"/>
      <c r="AN134" s="380"/>
      <c r="AO134" s="380"/>
    </row>
    <row r="135" spans="1:41" ht="13.15" customHeight="1" x14ac:dyDescent="0.2">
      <c r="A135" s="394"/>
      <c r="B135" s="395"/>
      <c r="C135" s="395"/>
      <c r="D135" s="395"/>
      <c r="E135" s="395"/>
      <c r="F135" s="395"/>
      <c r="G135" s="395"/>
      <c r="H135" s="395"/>
      <c r="I135" s="395"/>
      <c r="J135" s="395"/>
      <c r="K135" s="395"/>
      <c r="L135" s="395"/>
      <c r="M135" s="395"/>
      <c r="N135" s="395"/>
      <c r="O135" s="395"/>
      <c r="P135" s="395"/>
      <c r="Q135" s="395"/>
      <c r="R135" s="395"/>
      <c r="S135" s="395"/>
      <c r="T135" s="395"/>
      <c r="U135" s="395"/>
      <c r="V135" s="395"/>
      <c r="W135" s="396"/>
      <c r="AD135" s="3">
        <v>120</v>
      </c>
      <c r="AE135" s="3">
        <f>Auflagen_120</f>
        <v>0</v>
      </c>
      <c r="AF135" s="3" t="str">
        <f t="shared" si="6"/>
        <v/>
      </c>
    </row>
    <row r="136" spans="1:41" ht="13.5" customHeight="1" x14ac:dyDescent="0.2">
      <c r="A136" s="394"/>
      <c r="B136" s="395"/>
      <c r="C136" s="395"/>
      <c r="D136" s="395"/>
      <c r="E136" s="395"/>
      <c r="F136" s="395"/>
      <c r="G136" s="395"/>
      <c r="H136" s="395"/>
      <c r="I136" s="395"/>
      <c r="J136" s="395"/>
      <c r="K136" s="395"/>
      <c r="L136" s="395"/>
      <c r="M136" s="395"/>
      <c r="N136" s="395"/>
      <c r="O136" s="395"/>
      <c r="P136" s="395"/>
      <c r="Q136" s="395"/>
      <c r="R136" s="395"/>
      <c r="S136" s="395"/>
      <c r="T136" s="395"/>
      <c r="U136" s="395"/>
      <c r="V136" s="395"/>
      <c r="W136" s="396"/>
      <c r="AD136" s="3" t="s">
        <v>1035</v>
      </c>
      <c r="AE136" s="3">
        <f>'EN-120-ZG'!Auflagen_120_ZG</f>
        <v>0</v>
      </c>
      <c r="AF136" s="3" t="str">
        <f t="shared" si="6"/>
        <v/>
      </c>
    </row>
    <row r="137" spans="1:41" ht="13.5" customHeight="1" x14ac:dyDescent="0.2">
      <c r="A137" s="394"/>
      <c r="B137" s="395"/>
      <c r="C137" s="395"/>
      <c r="D137" s="395"/>
      <c r="E137" s="395"/>
      <c r="F137" s="395"/>
      <c r="G137" s="395"/>
      <c r="H137" s="395"/>
      <c r="I137" s="395"/>
      <c r="J137" s="395"/>
      <c r="K137" s="395"/>
      <c r="L137" s="395"/>
      <c r="M137" s="395"/>
      <c r="N137" s="395"/>
      <c r="O137" s="395"/>
      <c r="P137" s="395"/>
      <c r="Q137" s="395"/>
      <c r="R137" s="395"/>
      <c r="S137" s="395"/>
      <c r="T137" s="395"/>
      <c r="U137" s="395"/>
      <c r="V137" s="395"/>
      <c r="W137" s="396"/>
      <c r="AD137" s="3">
        <v>130</v>
      </c>
      <c r="AE137" s="3">
        <f>Auflagen_130</f>
        <v>0</v>
      </c>
      <c r="AF137" s="3" t="str">
        <f t="shared" si="6"/>
        <v/>
      </c>
    </row>
    <row r="138" spans="1:41" ht="13.5" customHeight="1" x14ac:dyDescent="0.2">
      <c r="A138" s="394"/>
      <c r="B138" s="395"/>
      <c r="C138" s="395"/>
      <c r="D138" s="395"/>
      <c r="E138" s="395"/>
      <c r="F138" s="395"/>
      <c r="G138" s="395"/>
      <c r="H138" s="395"/>
      <c r="I138" s="395"/>
      <c r="J138" s="395"/>
      <c r="K138" s="395"/>
      <c r="L138" s="395"/>
      <c r="M138" s="395"/>
      <c r="N138" s="395"/>
      <c r="O138" s="395"/>
      <c r="P138" s="395"/>
      <c r="Q138" s="395"/>
      <c r="R138" s="395"/>
      <c r="S138" s="395"/>
      <c r="T138" s="395"/>
      <c r="U138" s="395"/>
      <c r="V138" s="395"/>
      <c r="W138" s="396"/>
      <c r="AD138" s="3">
        <v>131</v>
      </c>
      <c r="AE138" s="3">
        <f>Auflagen_131</f>
        <v>0</v>
      </c>
      <c r="AF138" s="3" t="str">
        <f t="shared" si="6"/>
        <v/>
      </c>
    </row>
    <row r="139" spans="1:41" ht="13.5" customHeight="1" x14ac:dyDescent="0.2">
      <c r="A139" s="394"/>
      <c r="B139" s="395"/>
      <c r="C139" s="395"/>
      <c r="D139" s="395"/>
      <c r="E139" s="395"/>
      <c r="F139" s="395"/>
      <c r="G139" s="395"/>
      <c r="H139" s="395"/>
      <c r="I139" s="395"/>
      <c r="J139" s="395"/>
      <c r="K139" s="395"/>
      <c r="L139" s="395"/>
      <c r="M139" s="395"/>
      <c r="N139" s="395"/>
      <c r="O139" s="395"/>
      <c r="P139" s="395"/>
      <c r="Q139" s="395"/>
      <c r="R139" s="395"/>
      <c r="S139" s="395"/>
      <c r="T139" s="395"/>
      <c r="U139" s="395"/>
      <c r="V139" s="395"/>
      <c r="W139" s="396"/>
      <c r="AD139" s="3">
        <v>132</v>
      </c>
      <c r="AE139" s="3">
        <f>Auflagen_132</f>
        <v>0</v>
      </c>
      <c r="AF139" s="3" t="str">
        <f t="shared" si="6"/>
        <v/>
      </c>
    </row>
    <row r="140" spans="1:41" ht="13.5" customHeight="1" x14ac:dyDescent="0.2">
      <c r="A140" s="394"/>
      <c r="B140" s="395"/>
      <c r="C140" s="395"/>
      <c r="D140" s="395"/>
      <c r="E140" s="395"/>
      <c r="F140" s="395"/>
      <c r="G140" s="395"/>
      <c r="H140" s="395"/>
      <c r="I140" s="395"/>
      <c r="J140" s="395"/>
      <c r="K140" s="395"/>
      <c r="L140" s="395"/>
      <c r="M140" s="395"/>
      <c r="N140" s="395"/>
      <c r="O140" s="395"/>
      <c r="P140" s="395"/>
      <c r="Q140" s="395"/>
      <c r="R140" s="395"/>
      <c r="S140" s="395"/>
      <c r="T140" s="395"/>
      <c r="U140" s="395"/>
      <c r="V140" s="395"/>
      <c r="W140" s="396"/>
      <c r="AD140" s="3">
        <v>133</v>
      </c>
      <c r="AE140" s="3">
        <f>Auflagen_133</f>
        <v>0</v>
      </c>
      <c r="AF140" s="3" t="str">
        <f t="shared" si="6"/>
        <v/>
      </c>
    </row>
    <row r="141" spans="1:41" ht="13.15" customHeight="1" x14ac:dyDescent="0.2">
      <c r="A141" s="394"/>
      <c r="B141" s="395"/>
      <c r="C141" s="395"/>
      <c r="D141" s="395"/>
      <c r="E141" s="395"/>
      <c r="F141" s="395"/>
      <c r="G141" s="395"/>
      <c r="H141" s="395"/>
      <c r="I141" s="395"/>
      <c r="J141" s="395"/>
      <c r="K141" s="395"/>
      <c r="L141" s="395"/>
      <c r="M141" s="395"/>
      <c r="N141" s="395"/>
      <c r="O141" s="395"/>
      <c r="P141" s="395"/>
      <c r="Q141" s="395"/>
      <c r="R141" s="395"/>
      <c r="S141" s="395"/>
      <c r="T141" s="395"/>
      <c r="U141" s="395"/>
      <c r="V141" s="395"/>
      <c r="W141" s="396"/>
      <c r="AD141" s="3">
        <v>134</v>
      </c>
      <c r="AE141" s="3">
        <f>Auflagen_134</f>
        <v>0</v>
      </c>
      <c r="AF141" s="3" t="str">
        <f t="shared" si="6"/>
        <v/>
      </c>
    </row>
    <row r="142" spans="1:41" ht="13.5" customHeight="1" x14ac:dyDescent="0.2">
      <c r="A142" s="394"/>
      <c r="B142" s="395"/>
      <c r="C142" s="395"/>
      <c r="D142" s="395"/>
      <c r="E142" s="395"/>
      <c r="F142" s="395"/>
      <c r="G142" s="395"/>
      <c r="H142" s="395"/>
      <c r="I142" s="395"/>
      <c r="J142" s="395"/>
      <c r="K142" s="395"/>
      <c r="L142" s="395"/>
      <c r="M142" s="395"/>
      <c r="N142" s="395"/>
      <c r="O142" s="395"/>
      <c r="P142" s="395"/>
      <c r="Q142" s="395"/>
      <c r="R142" s="395"/>
      <c r="S142" s="395"/>
      <c r="T142" s="395"/>
      <c r="U142" s="395"/>
      <c r="V142" s="395"/>
      <c r="W142" s="396"/>
      <c r="AD142" s="3">
        <v>135</v>
      </c>
      <c r="AE142" s="3">
        <f>Auflagen_135</f>
        <v>0</v>
      </c>
      <c r="AF142" s="3" t="str">
        <f t="shared" si="6"/>
        <v/>
      </c>
    </row>
    <row r="143" spans="1:41" ht="13.5" customHeight="1" x14ac:dyDescent="0.2">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6"/>
      <c r="X143" s="73"/>
      <c r="AD143" s="3" t="s">
        <v>869</v>
      </c>
      <c r="AE143" s="3">
        <f>Auflagen_BA</f>
        <v>0</v>
      </c>
      <c r="AF143" s="3" t="str">
        <f t="shared" si="6"/>
        <v/>
      </c>
    </row>
    <row r="144" spans="1:41" ht="13.5" customHeight="1" x14ac:dyDescent="0.2">
      <c r="A144" s="394"/>
      <c r="B144" s="395"/>
      <c r="C144" s="395"/>
      <c r="D144" s="395"/>
      <c r="E144" s="395"/>
      <c r="F144" s="395"/>
      <c r="G144" s="395"/>
      <c r="H144" s="395"/>
      <c r="I144" s="395"/>
      <c r="J144" s="395"/>
      <c r="K144" s="395"/>
      <c r="L144" s="395"/>
      <c r="M144" s="395"/>
      <c r="N144" s="395"/>
      <c r="O144" s="395"/>
      <c r="P144" s="395"/>
      <c r="Q144" s="395"/>
      <c r="R144" s="395"/>
      <c r="S144" s="395"/>
      <c r="T144" s="395"/>
      <c r="U144" s="395"/>
      <c r="V144" s="395"/>
      <c r="W144" s="396"/>
    </row>
    <row r="145" spans="1:23" ht="13.5" customHeight="1" x14ac:dyDescent="0.2">
      <c r="A145" s="394"/>
      <c r="B145" s="395"/>
      <c r="C145" s="395"/>
      <c r="D145" s="395"/>
      <c r="E145" s="395"/>
      <c r="F145" s="395"/>
      <c r="G145" s="395"/>
      <c r="H145" s="395"/>
      <c r="I145" s="395"/>
      <c r="J145" s="395"/>
      <c r="K145" s="395"/>
      <c r="L145" s="395"/>
      <c r="M145" s="395"/>
      <c r="N145" s="395"/>
      <c r="O145" s="395"/>
      <c r="P145" s="395"/>
      <c r="Q145" s="395"/>
      <c r="R145" s="395"/>
      <c r="S145" s="395"/>
      <c r="T145" s="395"/>
      <c r="U145" s="395"/>
      <c r="V145" s="395"/>
      <c r="W145" s="396"/>
    </row>
    <row r="146" spans="1:23" ht="13.5" customHeight="1" x14ac:dyDescent="0.2">
      <c r="A146" s="394"/>
      <c r="B146" s="395"/>
      <c r="C146" s="395"/>
      <c r="D146" s="395"/>
      <c r="E146" s="395"/>
      <c r="F146" s="395"/>
      <c r="G146" s="395"/>
      <c r="H146" s="395"/>
      <c r="I146" s="395"/>
      <c r="J146" s="395"/>
      <c r="K146" s="395"/>
      <c r="L146" s="395"/>
      <c r="M146" s="395"/>
      <c r="N146" s="395"/>
      <c r="O146" s="395"/>
      <c r="P146" s="395"/>
      <c r="Q146" s="395"/>
      <c r="R146" s="395"/>
      <c r="S146" s="395"/>
      <c r="T146" s="395"/>
      <c r="U146" s="395"/>
      <c r="V146" s="395"/>
      <c r="W146" s="396"/>
    </row>
    <row r="147" spans="1:23" ht="13.5" customHeight="1" x14ac:dyDescent="0.2">
      <c r="A147" s="394"/>
      <c r="B147" s="395"/>
      <c r="C147" s="395"/>
      <c r="D147" s="395"/>
      <c r="E147" s="395"/>
      <c r="F147" s="395"/>
      <c r="G147" s="395"/>
      <c r="H147" s="395"/>
      <c r="I147" s="395"/>
      <c r="J147" s="395"/>
      <c r="K147" s="395"/>
      <c r="L147" s="395"/>
      <c r="M147" s="395"/>
      <c r="N147" s="395"/>
      <c r="O147" s="395"/>
      <c r="P147" s="395"/>
      <c r="Q147" s="395"/>
      <c r="R147" s="395"/>
      <c r="S147" s="395"/>
      <c r="T147" s="395"/>
      <c r="U147" s="395"/>
      <c r="V147" s="395"/>
      <c r="W147" s="396"/>
    </row>
    <row r="148" spans="1:23" ht="13.5" customHeight="1" x14ac:dyDescent="0.2">
      <c r="A148" s="394"/>
      <c r="B148" s="395"/>
      <c r="C148" s="395"/>
      <c r="D148" s="395"/>
      <c r="E148" s="395"/>
      <c r="F148" s="395"/>
      <c r="G148" s="395"/>
      <c r="H148" s="395"/>
      <c r="I148" s="395"/>
      <c r="J148" s="395"/>
      <c r="K148" s="395"/>
      <c r="L148" s="395"/>
      <c r="M148" s="395"/>
      <c r="N148" s="395"/>
      <c r="O148" s="395"/>
      <c r="P148" s="395"/>
      <c r="Q148" s="395"/>
      <c r="R148" s="395"/>
      <c r="S148" s="395"/>
      <c r="T148" s="395"/>
      <c r="U148" s="395"/>
      <c r="V148" s="395"/>
      <c r="W148" s="396"/>
    </row>
    <row r="149" spans="1:23" ht="13.5" customHeight="1" x14ac:dyDescent="0.2">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6"/>
    </row>
    <row r="150" spans="1:23" ht="13.5" customHeight="1" x14ac:dyDescent="0.2">
      <c r="A150" s="394"/>
      <c r="B150" s="395"/>
      <c r="C150" s="395"/>
      <c r="D150" s="395"/>
      <c r="E150" s="395"/>
      <c r="F150" s="395"/>
      <c r="G150" s="395"/>
      <c r="H150" s="395"/>
      <c r="I150" s="395"/>
      <c r="J150" s="395"/>
      <c r="K150" s="395"/>
      <c r="L150" s="395"/>
      <c r="M150" s="395"/>
      <c r="N150" s="395"/>
      <c r="O150" s="395"/>
      <c r="P150" s="395"/>
      <c r="Q150" s="395"/>
      <c r="R150" s="395"/>
      <c r="S150" s="395"/>
      <c r="T150" s="395"/>
      <c r="U150" s="395"/>
      <c r="V150" s="395"/>
      <c r="W150" s="396"/>
    </row>
    <row r="151" spans="1:23" ht="13.5" customHeight="1" x14ac:dyDescent="0.2">
      <c r="A151" s="394"/>
      <c r="B151" s="395"/>
      <c r="C151" s="395"/>
      <c r="D151" s="395"/>
      <c r="E151" s="395"/>
      <c r="F151" s="395"/>
      <c r="G151" s="395"/>
      <c r="H151" s="395"/>
      <c r="I151" s="395"/>
      <c r="J151" s="395"/>
      <c r="K151" s="395"/>
      <c r="L151" s="395"/>
      <c r="M151" s="395"/>
      <c r="N151" s="395"/>
      <c r="O151" s="395"/>
      <c r="P151" s="395"/>
      <c r="Q151" s="395"/>
      <c r="R151" s="395"/>
      <c r="S151" s="395"/>
      <c r="T151" s="395"/>
      <c r="U151" s="395"/>
      <c r="V151" s="395"/>
      <c r="W151" s="396"/>
    </row>
    <row r="152" spans="1:23" ht="13.5" customHeight="1" x14ac:dyDescent="0.2">
      <c r="A152" s="394"/>
      <c r="B152" s="395"/>
      <c r="C152" s="395"/>
      <c r="D152" s="395"/>
      <c r="E152" s="395"/>
      <c r="F152" s="395"/>
      <c r="G152" s="395"/>
      <c r="H152" s="395"/>
      <c r="I152" s="395"/>
      <c r="J152" s="395"/>
      <c r="K152" s="395"/>
      <c r="L152" s="395"/>
      <c r="M152" s="395"/>
      <c r="N152" s="395"/>
      <c r="O152" s="395"/>
      <c r="P152" s="395"/>
      <c r="Q152" s="395"/>
      <c r="R152" s="395"/>
      <c r="S152" s="395"/>
      <c r="T152" s="395"/>
      <c r="U152" s="395"/>
      <c r="V152" s="395"/>
      <c r="W152" s="396"/>
    </row>
    <row r="153" spans="1:23" ht="13.5" customHeight="1" x14ac:dyDescent="0.2">
      <c r="A153" s="394"/>
      <c r="B153" s="395"/>
      <c r="C153" s="395"/>
      <c r="D153" s="395"/>
      <c r="E153" s="395"/>
      <c r="F153" s="395"/>
      <c r="G153" s="395"/>
      <c r="H153" s="395"/>
      <c r="I153" s="395"/>
      <c r="J153" s="395"/>
      <c r="K153" s="395"/>
      <c r="L153" s="395"/>
      <c r="M153" s="395"/>
      <c r="N153" s="395"/>
      <c r="O153" s="395"/>
      <c r="P153" s="395"/>
      <c r="Q153" s="395"/>
      <c r="R153" s="395"/>
      <c r="S153" s="395"/>
      <c r="T153" s="395"/>
      <c r="U153" s="395"/>
      <c r="V153" s="395"/>
      <c r="W153" s="396"/>
    </row>
    <row r="154" spans="1:23" ht="13.15" customHeight="1" x14ac:dyDescent="0.2">
      <c r="A154" s="394"/>
      <c r="B154" s="395"/>
      <c r="C154" s="395"/>
      <c r="D154" s="395"/>
      <c r="E154" s="395"/>
      <c r="F154" s="395"/>
      <c r="G154" s="395"/>
      <c r="H154" s="395"/>
      <c r="I154" s="395"/>
      <c r="J154" s="395"/>
      <c r="K154" s="395"/>
      <c r="L154" s="395"/>
      <c r="M154" s="395"/>
      <c r="N154" s="395"/>
      <c r="O154" s="395"/>
      <c r="P154" s="395"/>
      <c r="Q154" s="395"/>
      <c r="R154" s="395"/>
      <c r="S154" s="395"/>
      <c r="T154" s="395"/>
      <c r="U154" s="395"/>
      <c r="V154" s="395"/>
      <c r="W154" s="396"/>
    </row>
    <row r="155" spans="1:23" ht="13.5" customHeight="1" x14ac:dyDescent="0.2">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6"/>
    </row>
    <row r="156" spans="1:23" ht="13.5" customHeight="1" x14ac:dyDescent="0.2">
      <c r="A156" s="394"/>
      <c r="B156" s="395"/>
      <c r="C156" s="395"/>
      <c r="D156" s="395"/>
      <c r="E156" s="395"/>
      <c r="F156" s="395"/>
      <c r="G156" s="395"/>
      <c r="H156" s="395"/>
      <c r="I156" s="395"/>
      <c r="J156" s="395"/>
      <c r="K156" s="395"/>
      <c r="L156" s="395"/>
      <c r="M156" s="395"/>
      <c r="N156" s="395"/>
      <c r="O156" s="395"/>
      <c r="P156" s="395"/>
      <c r="Q156" s="395"/>
      <c r="R156" s="395"/>
      <c r="S156" s="395"/>
      <c r="T156" s="395"/>
      <c r="U156" s="395"/>
      <c r="V156" s="395"/>
      <c r="W156" s="396"/>
    </row>
    <row r="157" spans="1:23" ht="13.5" customHeight="1" x14ac:dyDescent="0.2">
      <c r="A157" s="394"/>
      <c r="B157" s="395"/>
      <c r="C157" s="395"/>
      <c r="D157" s="395"/>
      <c r="E157" s="395"/>
      <c r="F157" s="395"/>
      <c r="G157" s="395"/>
      <c r="H157" s="395"/>
      <c r="I157" s="395"/>
      <c r="J157" s="395"/>
      <c r="K157" s="395"/>
      <c r="L157" s="395"/>
      <c r="M157" s="395"/>
      <c r="N157" s="395"/>
      <c r="O157" s="395"/>
      <c r="P157" s="395"/>
      <c r="Q157" s="395"/>
      <c r="R157" s="395"/>
      <c r="S157" s="395"/>
      <c r="T157" s="395"/>
      <c r="U157" s="395"/>
      <c r="V157" s="395"/>
      <c r="W157" s="396"/>
    </row>
    <row r="158" spans="1:23" ht="13.5" customHeight="1" x14ac:dyDescent="0.2">
      <c r="A158" s="394"/>
      <c r="B158" s="395"/>
      <c r="C158" s="395"/>
      <c r="D158" s="395"/>
      <c r="E158" s="395"/>
      <c r="F158" s="395"/>
      <c r="G158" s="395"/>
      <c r="H158" s="395"/>
      <c r="I158" s="395"/>
      <c r="J158" s="395"/>
      <c r="K158" s="395"/>
      <c r="L158" s="395"/>
      <c r="M158" s="395"/>
      <c r="N158" s="395"/>
      <c r="O158" s="395"/>
      <c r="P158" s="395"/>
      <c r="Q158" s="395"/>
      <c r="R158" s="395"/>
      <c r="S158" s="395"/>
      <c r="T158" s="395"/>
      <c r="U158" s="395"/>
      <c r="V158" s="395"/>
      <c r="W158" s="396"/>
    </row>
    <row r="159" spans="1:23" ht="13.5" customHeight="1" x14ac:dyDescent="0.2">
      <c r="A159" s="394"/>
      <c r="B159" s="395"/>
      <c r="C159" s="395"/>
      <c r="D159" s="395"/>
      <c r="E159" s="395"/>
      <c r="F159" s="395"/>
      <c r="G159" s="395"/>
      <c r="H159" s="395"/>
      <c r="I159" s="395"/>
      <c r="J159" s="395"/>
      <c r="K159" s="395"/>
      <c r="L159" s="395"/>
      <c r="M159" s="395"/>
      <c r="N159" s="395"/>
      <c r="O159" s="395"/>
      <c r="P159" s="395"/>
      <c r="Q159" s="395"/>
      <c r="R159" s="395"/>
      <c r="S159" s="395"/>
      <c r="T159" s="395"/>
      <c r="U159" s="395"/>
      <c r="V159" s="395"/>
      <c r="W159" s="396"/>
    </row>
    <row r="160" spans="1:23" ht="13.15" customHeight="1" x14ac:dyDescent="0.2">
      <c r="A160" s="394"/>
      <c r="B160" s="395"/>
      <c r="C160" s="395"/>
      <c r="D160" s="395"/>
      <c r="E160" s="395"/>
      <c r="F160" s="395"/>
      <c r="G160" s="395"/>
      <c r="H160" s="395"/>
      <c r="I160" s="395"/>
      <c r="J160" s="395"/>
      <c r="K160" s="395"/>
      <c r="L160" s="395"/>
      <c r="M160" s="395"/>
      <c r="N160" s="395"/>
      <c r="O160" s="395"/>
      <c r="P160" s="395"/>
      <c r="Q160" s="395"/>
      <c r="R160" s="395"/>
      <c r="S160" s="395"/>
      <c r="T160" s="395"/>
      <c r="U160" s="395"/>
      <c r="V160" s="395"/>
      <c r="W160" s="396"/>
    </row>
    <row r="161" spans="1:24" ht="13.5" customHeight="1" x14ac:dyDescent="0.2">
      <c r="A161" s="394"/>
      <c r="B161" s="395"/>
      <c r="C161" s="395"/>
      <c r="D161" s="395"/>
      <c r="E161" s="395"/>
      <c r="F161" s="395"/>
      <c r="G161" s="395"/>
      <c r="H161" s="395"/>
      <c r="I161" s="395"/>
      <c r="J161" s="395"/>
      <c r="K161" s="395"/>
      <c r="L161" s="395"/>
      <c r="M161" s="395"/>
      <c r="N161" s="395"/>
      <c r="O161" s="395"/>
      <c r="P161" s="395"/>
      <c r="Q161" s="395"/>
      <c r="R161" s="395"/>
      <c r="S161" s="395"/>
      <c r="T161" s="395"/>
      <c r="U161" s="395"/>
      <c r="V161" s="395"/>
      <c r="W161" s="396"/>
    </row>
    <row r="162" spans="1:24" ht="13.5" customHeight="1" x14ac:dyDescent="0.2">
      <c r="A162" s="394"/>
      <c r="B162" s="395"/>
      <c r="C162" s="395"/>
      <c r="D162" s="395"/>
      <c r="E162" s="395"/>
      <c r="F162" s="395"/>
      <c r="G162" s="395"/>
      <c r="H162" s="395"/>
      <c r="I162" s="395"/>
      <c r="J162" s="395"/>
      <c r="K162" s="395"/>
      <c r="L162" s="395"/>
      <c r="M162" s="395"/>
      <c r="N162" s="395"/>
      <c r="O162" s="395"/>
      <c r="P162" s="395"/>
      <c r="Q162" s="395"/>
      <c r="R162" s="395"/>
      <c r="S162" s="395"/>
      <c r="T162" s="395"/>
      <c r="U162" s="395"/>
      <c r="V162" s="395"/>
      <c r="W162" s="396"/>
      <c r="X162" s="73"/>
    </row>
    <row r="163" spans="1:24" ht="13.5" customHeight="1" x14ac:dyDescent="0.2">
      <c r="A163" s="394"/>
      <c r="B163" s="395"/>
      <c r="C163" s="395"/>
      <c r="D163" s="395"/>
      <c r="E163" s="395"/>
      <c r="F163" s="395"/>
      <c r="G163" s="395"/>
      <c r="H163" s="395"/>
      <c r="I163" s="395"/>
      <c r="J163" s="395"/>
      <c r="K163" s="395"/>
      <c r="L163" s="395"/>
      <c r="M163" s="395"/>
      <c r="N163" s="395"/>
      <c r="O163" s="395"/>
      <c r="P163" s="395"/>
      <c r="Q163" s="395"/>
      <c r="R163" s="395"/>
      <c r="S163" s="395"/>
      <c r="T163" s="395"/>
      <c r="U163" s="395"/>
      <c r="V163" s="395"/>
      <c r="W163" s="396"/>
    </row>
    <row r="164" spans="1:24" ht="13.5" customHeight="1" x14ac:dyDescent="0.2">
      <c r="A164" s="394"/>
      <c r="B164" s="395"/>
      <c r="C164" s="395"/>
      <c r="D164" s="395"/>
      <c r="E164" s="395"/>
      <c r="F164" s="395"/>
      <c r="G164" s="395"/>
      <c r="H164" s="395"/>
      <c r="I164" s="395"/>
      <c r="J164" s="395"/>
      <c r="K164" s="395"/>
      <c r="L164" s="395"/>
      <c r="M164" s="395"/>
      <c r="N164" s="395"/>
      <c r="O164" s="395"/>
      <c r="P164" s="395"/>
      <c r="Q164" s="395"/>
      <c r="R164" s="395"/>
      <c r="S164" s="395"/>
      <c r="T164" s="395"/>
      <c r="U164" s="395"/>
      <c r="V164" s="395"/>
      <c r="W164" s="396"/>
    </row>
    <row r="165" spans="1:24" ht="13.5" customHeight="1" x14ac:dyDescent="0.2">
      <c r="A165" s="394"/>
      <c r="B165" s="395"/>
      <c r="C165" s="395"/>
      <c r="D165" s="395"/>
      <c r="E165" s="395"/>
      <c r="F165" s="395"/>
      <c r="G165" s="395"/>
      <c r="H165" s="395"/>
      <c r="I165" s="395"/>
      <c r="J165" s="395"/>
      <c r="K165" s="395"/>
      <c r="L165" s="395"/>
      <c r="M165" s="395"/>
      <c r="N165" s="395"/>
      <c r="O165" s="395"/>
      <c r="P165" s="395"/>
      <c r="Q165" s="395"/>
      <c r="R165" s="395"/>
      <c r="S165" s="395"/>
      <c r="T165" s="395"/>
      <c r="U165" s="395"/>
      <c r="V165" s="395"/>
      <c r="W165" s="396"/>
    </row>
    <row r="166" spans="1:24" ht="13.5" customHeight="1" x14ac:dyDescent="0.2">
      <c r="A166" s="394"/>
      <c r="B166" s="395"/>
      <c r="C166" s="395"/>
      <c r="D166" s="395"/>
      <c r="E166" s="395"/>
      <c r="F166" s="395"/>
      <c r="G166" s="395"/>
      <c r="H166" s="395"/>
      <c r="I166" s="395"/>
      <c r="J166" s="395"/>
      <c r="K166" s="395"/>
      <c r="L166" s="395"/>
      <c r="M166" s="395"/>
      <c r="N166" s="395"/>
      <c r="O166" s="395"/>
      <c r="P166" s="395"/>
      <c r="Q166" s="395"/>
      <c r="R166" s="395"/>
      <c r="S166" s="395"/>
      <c r="T166" s="395"/>
      <c r="U166" s="395"/>
      <c r="V166" s="395"/>
      <c r="W166" s="396"/>
    </row>
    <row r="167" spans="1:24" ht="13.15" customHeight="1" x14ac:dyDescent="0.2">
      <c r="A167" s="394"/>
      <c r="B167" s="395"/>
      <c r="C167" s="395"/>
      <c r="D167" s="395"/>
      <c r="E167" s="395"/>
      <c r="F167" s="395"/>
      <c r="G167" s="395"/>
      <c r="H167" s="395"/>
      <c r="I167" s="395"/>
      <c r="J167" s="395"/>
      <c r="K167" s="395"/>
      <c r="L167" s="395"/>
      <c r="M167" s="395"/>
      <c r="N167" s="395"/>
      <c r="O167" s="395"/>
      <c r="P167" s="395"/>
      <c r="Q167" s="395"/>
      <c r="R167" s="395"/>
      <c r="S167" s="395"/>
      <c r="T167" s="395"/>
      <c r="U167" s="395"/>
      <c r="V167" s="395"/>
      <c r="W167" s="396"/>
    </row>
    <row r="168" spans="1:24" ht="13.5" customHeight="1" x14ac:dyDescent="0.2">
      <c r="A168" s="394"/>
      <c r="B168" s="395"/>
      <c r="C168" s="395"/>
      <c r="D168" s="395"/>
      <c r="E168" s="395"/>
      <c r="F168" s="395"/>
      <c r="G168" s="395"/>
      <c r="H168" s="395"/>
      <c r="I168" s="395"/>
      <c r="J168" s="395"/>
      <c r="K168" s="395"/>
      <c r="L168" s="395"/>
      <c r="M168" s="395"/>
      <c r="N168" s="395"/>
      <c r="O168" s="395"/>
      <c r="P168" s="395"/>
      <c r="Q168" s="395"/>
      <c r="R168" s="395"/>
      <c r="S168" s="395"/>
      <c r="T168" s="395"/>
      <c r="U168" s="395"/>
      <c r="V168" s="395"/>
      <c r="W168" s="396"/>
    </row>
    <row r="169" spans="1:24" ht="13.5" customHeight="1" x14ac:dyDescent="0.2">
      <c r="A169" s="394"/>
      <c r="B169" s="395"/>
      <c r="C169" s="395"/>
      <c r="D169" s="395"/>
      <c r="E169" s="395"/>
      <c r="F169" s="395"/>
      <c r="G169" s="395"/>
      <c r="H169" s="395"/>
      <c r="I169" s="395"/>
      <c r="J169" s="395"/>
      <c r="K169" s="395"/>
      <c r="L169" s="395"/>
      <c r="M169" s="395"/>
      <c r="N169" s="395"/>
      <c r="O169" s="395"/>
      <c r="P169" s="395"/>
      <c r="Q169" s="395"/>
      <c r="R169" s="395"/>
      <c r="S169" s="395"/>
      <c r="T169" s="395"/>
      <c r="U169" s="395"/>
      <c r="V169" s="395"/>
      <c r="W169" s="396"/>
    </row>
    <row r="170" spans="1:24" ht="13.5" customHeight="1" x14ac:dyDescent="0.2">
      <c r="A170" s="394"/>
      <c r="B170" s="395"/>
      <c r="C170" s="395"/>
      <c r="D170" s="395"/>
      <c r="E170" s="395"/>
      <c r="F170" s="395"/>
      <c r="G170" s="395"/>
      <c r="H170" s="395"/>
      <c r="I170" s="395"/>
      <c r="J170" s="395"/>
      <c r="K170" s="395"/>
      <c r="L170" s="395"/>
      <c r="M170" s="395"/>
      <c r="N170" s="395"/>
      <c r="O170" s="395"/>
      <c r="P170" s="395"/>
      <c r="Q170" s="395"/>
      <c r="R170" s="395"/>
      <c r="S170" s="395"/>
      <c r="T170" s="395"/>
      <c r="U170" s="395"/>
      <c r="V170" s="395"/>
      <c r="W170" s="396"/>
    </row>
    <row r="171" spans="1:24" ht="13.15" customHeight="1" x14ac:dyDescent="0.2">
      <c r="A171" s="394"/>
      <c r="B171" s="395"/>
      <c r="C171" s="395"/>
      <c r="D171" s="395"/>
      <c r="E171" s="395"/>
      <c r="F171" s="395"/>
      <c r="G171" s="395"/>
      <c r="H171" s="395"/>
      <c r="I171" s="395"/>
      <c r="J171" s="395"/>
      <c r="K171" s="395"/>
      <c r="L171" s="395"/>
      <c r="M171" s="395"/>
      <c r="N171" s="395"/>
      <c r="O171" s="395"/>
      <c r="P171" s="395"/>
      <c r="Q171" s="395"/>
      <c r="R171" s="395"/>
      <c r="S171" s="395"/>
      <c r="T171" s="395"/>
      <c r="U171" s="395"/>
      <c r="V171" s="395"/>
      <c r="W171" s="396"/>
    </row>
    <row r="172" spans="1:24" ht="13.5" customHeight="1" x14ac:dyDescent="0.2">
      <c r="A172" s="394"/>
      <c r="B172" s="395"/>
      <c r="C172" s="395"/>
      <c r="D172" s="395"/>
      <c r="E172" s="395"/>
      <c r="F172" s="395"/>
      <c r="G172" s="395"/>
      <c r="H172" s="395"/>
      <c r="I172" s="395"/>
      <c r="J172" s="395"/>
      <c r="K172" s="395"/>
      <c r="L172" s="395"/>
      <c r="M172" s="395"/>
      <c r="N172" s="395"/>
      <c r="O172" s="395"/>
      <c r="P172" s="395"/>
      <c r="Q172" s="395"/>
      <c r="R172" s="395"/>
      <c r="S172" s="395"/>
      <c r="T172" s="395"/>
      <c r="U172" s="395"/>
      <c r="V172" s="395"/>
      <c r="W172" s="396"/>
    </row>
    <row r="173" spans="1:24" ht="13.5" customHeight="1" x14ac:dyDescent="0.2">
      <c r="A173" s="394"/>
      <c r="B173" s="395"/>
      <c r="C173" s="395"/>
      <c r="D173" s="395"/>
      <c r="E173" s="395"/>
      <c r="F173" s="395"/>
      <c r="G173" s="395"/>
      <c r="H173" s="395"/>
      <c r="I173" s="395"/>
      <c r="J173" s="395"/>
      <c r="K173" s="395"/>
      <c r="L173" s="395"/>
      <c r="M173" s="395"/>
      <c r="N173" s="395"/>
      <c r="O173" s="395"/>
      <c r="P173" s="395"/>
      <c r="Q173" s="395"/>
      <c r="R173" s="395"/>
      <c r="S173" s="395"/>
      <c r="T173" s="395"/>
      <c r="U173" s="395"/>
      <c r="V173" s="395"/>
      <c r="W173" s="396"/>
    </row>
    <row r="174" spans="1:24" ht="13.5" customHeight="1" x14ac:dyDescent="0.2">
      <c r="A174" s="394"/>
      <c r="B174" s="395"/>
      <c r="C174" s="395"/>
      <c r="D174" s="395"/>
      <c r="E174" s="395"/>
      <c r="F174" s="395"/>
      <c r="G174" s="395"/>
      <c r="H174" s="395"/>
      <c r="I174" s="395"/>
      <c r="J174" s="395"/>
      <c r="K174" s="395"/>
      <c r="L174" s="395"/>
      <c r="M174" s="395"/>
      <c r="N174" s="395"/>
      <c r="O174" s="395"/>
      <c r="P174" s="395"/>
      <c r="Q174" s="395"/>
      <c r="R174" s="395"/>
      <c r="S174" s="395"/>
      <c r="T174" s="395"/>
      <c r="U174" s="395"/>
      <c r="V174" s="395"/>
      <c r="W174" s="396"/>
    </row>
    <row r="175" spans="1:24" ht="13.5" customHeight="1" x14ac:dyDescent="0.2">
      <c r="A175" s="394"/>
      <c r="B175" s="395"/>
      <c r="C175" s="395"/>
      <c r="D175" s="395"/>
      <c r="E175" s="395"/>
      <c r="F175" s="395"/>
      <c r="G175" s="395"/>
      <c r="H175" s="395"/>
      <c r="I175" s="395"/>
      <c r="J175" s="395"/>
      <c r="K175" s="395"/>
      <c r="L175" s="395"/>
      <c r="M175" s="395"/>
      <c r="N175" s="395"/>
      <c r="O175" s="395"/>
      <c r="P175" s="395"/>
      <c r="Q175" s="395"/>
      <c r="R175" s="395"/>
      <c r="S175" s="395"/>
      <c r="T175" s="395"/>
      <c r="U175" s="395"/>
      <c r="V175" s="395"/>
      <c r="W175" s="396"/>
    </row>
    <row r="176" spans="1:24" ht="13.5" customHeight="1" x14ac:dyDescent="0.2">
      <c r="A176" s="394"/>
      <c r="B176" s="395"/>
      <c r="C176" s="395"/>
      <c r="D176" s="395"/>
      <c r="E176" s="395"/>
      <c r="F176" s="395"/>
      <c r="G176" s="395"/>
      <c r="H176" s="395"/>
      <c r="I176" s="395"/>
      <c r="J176" s="395"/>
      <c r="K176" s="395"/>
      <c r="L176" s="395"/>
      <c r="M176" s="395"/>
      <c r="N176" s="395"/>
      <c r="O176" s="395"/>
      <c r="P176" s="395"/>
      <c r="Q176" s="395"/>
      <c r="R176" s="395"/>
      <c r="S176" s="395"/>
      <c r="T176" s="395"/>
      <c r="U176" s="395"/>
      <c r="V176" s="395"/>
      <c r="W176" s="396"/>
    </row>
    <row r="177" spans="1:24" ht="13.15" customHeight="1" x14ac:dyDescent="0.2">
      <c r="A177" s="394"/>
      <c r="B177" s="395"/>
      <c r="C177" s="395"/>
      <c r="D177" s="395"/>
      <c r="E177" s="395"/>
      <c r="F177" s="395"/>
      <c r="G177" s="395"/>
      <c r="H177" s="395"/>
      <c r="I177" s="395"/>
      <c r="J177" s="395"/>
      <c r="K177" s="395"/>
      <c r="L177" s="395"/>
      <c r="M177" s="395"/>
      <c r="N177" s="395"/>
      <c r="O177" s="395"/>
      <c r="P177" s="395"/>
      <c r="Q177" s="395"/>
      <c r="R177" s="395"/>
      <c r="S177" s="395"/>
      <c r="T177" s="395"/>
      <c r="U177" s="395"/>
      <c r="V177" s="395"/>
      <c r="W177" s="396"/>
    </row>
    <row r="178" spans="1:24" ht="13.5" customHeight="1" x14ac:dyDescent="0.2">
      <c r="A178" s="394"/>
      <c r="B178" s="395"/>
      <c r="C178" s="395"/>
      <c r="D178" s="395"/>
      <c r="E178" s="395"/>
      <c r="F178" s="395"/>
      <c r="G178" s="395"/>
      <c r="H178" s="395"/>
      <c r="I178" s="395"/>
      <c r="J178" s="395"/>
      <c r="K178" s="395"/>
      <c r="L178" s="395"/>
      <c r="M178" s="395"/>
      <c r="N178" s="395"/>
      <c r="O178" s="395"/>
      <c r="P178" s="395"/>
      <c r="Q178" s="395"/>
      <c r="R178" s="395"/>
      <c r="S178" s="395"/>
      <c r="T178" s="395"/>
      <c r="U178" s="395"/>
      <c r="V178" s="395"/>
      <c r="W178" s="396"/>
    </row>
    <row r="179" spans="1:24" ht="13.5" customHeight="1" x14ac:dyDescent="0.2">
      <c r="A179" s="394"/>
      <c r="B179" s="395"/>
      <c r="C179" s="395"/>
      <c r="D179" s="395"/>
      <c r="E179" s="395"/>
      <c r="F179" s="395"/>
      <c r="G179" s="395"/>
      <c r="H179" s="395"/>
      <c r="I179" s="395"/>
      <c r="J179" s="395"/>
      <c r="K179" s="395"/>
      <c r="L179" s="395"/>
      <c r="M179" s="395"/>
      <c r="N179" s="395"/>
      <c r="O179" s="395"/>
      <c r="P179" s="395"/>
      <c r="Q179" s="395"/>
      <c r="R179" s="395"/>
      <c r="S179" s="395"/>
      <c r="T179" s="395"/>
      <c r="U179" s="395"/>
      <c r="V179" s="395"/>
      <c r="W179" s="396"/>
      <c r="X179" s="73"/>
    </row>
    <row r="180" spans="1:24" ht="13.5" customHeight="1" x14ac:dyDescent="0.2">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6"/>
    </row>
    <row r="181" spans="1:24" ht="13.5" customHeight="1" x14ac:dyDescent="0.2">
      <c r="A181" s="397"/>
      <c r="B181" s="398"/>
      <c r="C181" s="398"/>
      <c r="D181" s="398"/>
      <c r="E181" s="398"/>
      <c r="F181" s="398"/>
      <c r="G181" s="398"/>
      <c r="H181" s="398"/>
      <c r="I181" s="398"/>
      <c r="J181" s="398"/>
      <c r="K181" s="398"/>
      <c r="L181" s="398"/>
      <c r="M181" s="398"/>
      <c r="N181" s="398"/>
      <c r="O181" s="398"/>
      <c r="P181" s="398"/>
      <c r="Q181" s="398"/>
      <c r="R181" s="398"/>
      <c r="S181" s="398"/>
      <c r="T181" s="398"/>
      <c r="U181" s="398"/>
      <c r="V181" s="398"/>
      <c r="W181" s="399"/>
    </row>
    <row r="182" spans="1:24" ht="13.5" customHeight="1" x14ac:dyDescent="0.2"/>
    <row r="183" spans="1:24" ht="13.5" customHeight="1" x14ac:dyDescent="0.2"/>
    <row r="184" spans="1:24" ht="13.5" customHeight="1" x14ac:dyDescent="0.2"/>
    <row r="185" spans="1:24" ht="13.5" customHeight="1" x14ac:dyDescent="0.2"/>
    <row r="186" spans="1:24" ht="13.5" customHeight="1" x14ac:dyDescent="0.2"/>
    <row r="187" spans="1:24" ht="13.5" customHeight="1" x14ac:dyDescent="0.2"/>
    <row r="188" spans="1:24" ht="13.5" customHeight="1" x14ac:dyDescent="0.2"/>
    <row r="189" spans="1:24" ht="13.5" customHeight="1" x14ac:dyDescent="0.2"/>
    <row r="190" spans="1:24" ht="13.15" customHeight="1" x14ac:dyDescent="0.2"/>
    <row r="191" spans="1:24" ht="13.5" customHeight="1" x14ac:dyDescent="0.2"/>
    <row r="192" spans="1:24" ht="13.5" customHeight="1" x14ac:dyDescent="0.2"/>
    <row r="193" spans="1:28" ht="13.5" customHeight="1" x14ac:dyDescent="0.2"/>
    <row r="194" spans="1:28" ht="13.5" customHeight="1" x14ac:dyDescent="0.2"/>
    <row r="195" spans="1:28" ht="13.5" customHeight="1" x14ac:dyDescent="0.2"/>
    <row r="196" spans="1:28" ht="13.15" customHeight="1" x14ac:dyDescent="0.2"/>
    <row r="197" spans="1:28" ht="13.5" customHeight="1" x14ac:dyDescent="0.2"/>
    <row r="198" spans="1:28" ht="13.5" customHeight="1" x14ac:dyDescent="0.2">
      <c r="L198" s="47"/>
      <c r="N198" s="384"/>
      <c r="O198" s="384"/>
      <c r="P198" s="384"/>
      <c r="Q198" s="384"/>
      <c r="R198" s="384"/>
      <c r="S198" s="384"/>
      <c r="T198" s="384"/>
      <c r="U198" s="384"/>
      <c r="V198" s="384"/>
      <c r="W198" s="384"/>
      <c r="X198" s="73"/>
    </row>
    <row r="199" spans="1:28" ht="13.5" customHeight="1" x14ac:dyDescent="0.2"/>
    <row r="200" spans="1:28" ht="13.5" customHeight="1" x14ac:dyDescent="0.2"/>
    <row r="201" spans="1:28" ht="13.5" customHeight="1" x14ac:dyDescent="0.2"/>
    <row r="202" spans="1:28" ht="13.5" customHeight="1" x14ac:dyDescent="0.2"/>
    <row r="203" spans="1:28" ht="13.5" customHeight="1" x14ac:dyDescent="0.2"/>
    <row r="204" spans="1:28" ht="13.5" customHeight="1" x14ac:dyDescent="0.2"/>
    <row r="205" spans="1:28" ht="137.25" customHeight="1" thickBot="1" x14ac:dyDescent="0.25">
      <c r="A205" s="38"/>
      <c r="B205" s="38"/>
      <c r="C205" s="38"/>
      <c r="D205" s="38"/>
      <c r="E205" s="38"/>
      <c r="F205" s="38"/>
      <c r="G205" s="38"/>
      <c r="H205" s="38"/>
      <c r="I205" s="38"/>
      <c r="J205" s="38"/>
      <c r="K205" s="38"/>
      <c r="L205" s="38"/>
    </row>
    <row r="206" spans="1:28" s="425" customFormat="1" x14ac:dyDescent="0.2">
      <c r="A206" s="424"/>
      <c r="B206" s="424"/>
      <c r="C206" s="424"/>
      <c r="D206" s="424"/>
      <c r="E206" s="424"/>
      <c r="F206" s="424"/>
      <c r="G206" s="424"/>
      <c r="H206" s="424"/>
      <c r="I206" s="424"/>
      <c r="J206" s="424"/>
      <c r="K206" s="424"/>
      <c r="L206" s="424"/>
      <c r="X206" s="426"/>
      <c r="Z206" s="427"/>
      <c r="AA206" s="427"/>
      <c r="AB206" s="427"/>
    </row>
    <row r="207" spans="1:28" s="430" customFormat="1" x14ac:dyDescent="0.2">
      <c r="A207" s="428" t="s">
        <v>42</v>
      </c>
      <c r="B207" s="428"/>
      <c r="C207" s="429" t="s">
        <v>77</v>
      </c>
      <c r="D207" s="429"/>
      <c r="E207" s="428"/>
      <c r="F207" s="428"/>
      <c r="G207" s="428"/>
      <c r="H207" s="428"/>
      <c r="I207" s="428"/>
      <c r="J207" s="428"/>
      <c r="K207" s="428"/>
      <c r="L207" s="428"/>
      <c r="X207" s="431"/>
      <c r="Z207" s="432"/>
      <c r="AA207" s="432"/>
      <c r="AB207" s="432"/>
    </row>
    <row r="208" spans="1:28" s="430" customFormat="1" x14ac:dyDescent="0.2">
      <c r="A208" s="428" t="s">
        <v>43</v>
      </c>
      <c r="B208" s="428"/>
      <c r="C208" s="429"/>
      <c r="D208" s="429"/>
      <c r="E208" s="428"/>
      <c r="F208" s="428"/>
      <c r="G208" s="428"/>
      <c r="H208" s="428"/>
      <c r="I208" s="428"/>
      <c r="J208" s="428"/>
      <c r="K208" s="428"/>
      <c r="L208" s="428"/>
      <c r="X208" s="431"/>
      <c r="Z208" s="432"/>
      <c r="AA208" s="432"/>
      <c r="AB208" s="432"/>
    </row>
    <row r="209" spans="1:28" s="430" customFormat="1" x14ac:dyDescent="0.2">
      <c r="A209" s="428" t="s">
        <v>784</v>
      </c>
      <c r="B209" s="428"/>
      <c r="C209" s="429" t="s">
        <v>74</v>
      </c>
      <c r="D209" s="429"/>
      <c r="E209" s="428"/>
      <c r="F209" s="428"/>
      <c r="G209" s="428"/>
      <c r="H209" s="428"/>
      <c r="I209" s="428"/>
      <c r="J209" s="428"/>
      <c r="K209" s="428"/>
      <c r="L209" s="428"/>
      <c r="X209" s="431"/>
      <c r="Z209" s="432"/>
      <c r="AA209" s="432"/>
      <c r="AB209" s="432"/>
    </row>
    <row r="210" spans="1:28" s="430" customFormat="1" x14ac:dyDescent="0.2">
      <c r="A210" s="428"/>
      <c r="B210" s="428"/>
      <c r="C210" s="429" t="s">
        <v>75</v>
      </c>
      <c r="D210" s="429"/>
      <c r="E210" s="428"/>
      <c r="F210" s="428"/>
      <c r="G210" s="428"/>
      <c r="H210" s="428"/>
      <c r="I210" s="428"/>
      <c r="J210" s="428"/>
      <c r="K210" s="428"/>
      <c r="L210" s="428"/>
      <c r="X210" s="431"/>
      <c r="Z210" s="432"/>
      <c r="AA210" s="432"/>
      <c r="AB210" s="432"/>
    </row>
    <row r="211" spans="1:28" s="430" customFormat="1" x14ac:dyDescent="0.2">
      <c r="A211" s="428"/>
      <c r="B211" s="428"/>
      <c r="C211" s="429" t="s">
        <v>76</v>
      </c>
      <c r="D211" s="429"/>
      <c r="E211" s="428"/>
      <c r="F211" s="428"/>
      <c r="G211" s="428"/>
      <c r="H211" s="428"/>
      <c r="I211" s="428"/>
      <c r="J211" s="428"/>
      <c r="K211" s="428"/>
      <c r="L211" s="428"/>
      <c r="X211" s="431"/>
      <c r="Z211" s="432"/>
      <c r="AA211" s="432"/>
      <c r="AB211" s="432"/>
    </row>
    <row r="212" spans="1:28" s="430" customFormat="1" x14ac:dyDescent="0.2">
      <c r="A212" s="428"/>
      <c r="B212" s="428"/>
      <c r="C212" s="429" t="s">
        <v>493</v>
      </c>
      <c r="D212" s="429"/>
      <c r="E212" s="428"/>
      <c r="F212" s="428"/>
      <c r="G212" s="428"/>
      <c r="H212" s="428"/>
      <c r="I212" s="428"/>
      <c r="J212" s="428"/>
      <c r="K212" s="428"/>
      <c r="L212" s="428"/>
      <c r="X212" s="431"/>
      <c r="Z212" s="432"/>
      <c r="AA212" s="432"/>
      <c r="AB212" s="432"/>
    </row>
    <row r="213" spans="1:28" s="430" customFormat="1" x14ac:dyDescent="0.2">
      <c r="A213" s="428"/>
      <c r="B213" s="428"/>
      <c r="C213" s="429" t="str">
        <f>IF(AND(Kanton="Schwyz",Wohnnutzung),"Nachweistool einfache Bauten (ENteb-Tool)","")</f>
        <v/>
      </c>
      <c r="D213" s="429"/>
      <c r="E213" s="428"/>
      <c r="F213" s="428"/>
      <c r="G213" s="428"/>
      <c r="H213" s="428"/>
      <c r="I213" s="428"/>
      <c r="J213" s="428"/>
      <c r="K213" s="428"/>
      <c r="L213" s="428"/>
      <c r="X213" s="431"/>
      <c r="Z213" s="432"/>
      <c r="AA213" s="432"/>
      <c r="AB213" s="433"/>
    </row>
    <row r="214" spans="1:28" s="430" customFormat="1" x14ac:dyDescent="0.2">
      <c r="A214" s="428"/>
      <c r="B214" s="428"/>
      <c r="C214" s="428"/>
      <c r="D214" s="428"/>
      <c r="E214" s="428"/>
      <c r="F214" s="428"/>
      <c r="G214" s="428"/>
      <c r="H214" s="428"/>
      <c r="I214" s="428"/>
      <c r="J214" s="428"/>
      <c r="K214" s="428"/>
      <c r="L214" s="428"/>
      <c r="X214" s="431"/>
      <c r="Z214" s="432"/>
      <c r="AA214" s="432"/>
      <c r="AB214" s="433"/>
    </row>
    <row r="215" spans="1:28" s="430" customFormat="1" x14ac:dyDescent="0.2">
      <c r="A215" s="428"/>
      <c r="B215" s="428"/>
      <c r="C215" s="429" t="s">
        <v>266</v>
      </c>
      <c r="D215" s="429"/>
      <c r="E215" s="428"/>
      <c r="F215" s="428"/>
      <c r="G215" s="428"/>
      <c r="H215" s="428"/>
      <c r="I215" s="428"/>
      <c r="J215" s="428"/>
      <c r="K215" s="428"/>
      <c r="L215" s="428"/>
      <c r="X215" s="431"/>
      <c r="Z215" s="432"/>
      <c r="AA215" s="432"/>
      <c r="AB215" s="433"/>
    </row>
    <row r="216" spans="1:28" s="430" customFormat="1" x14ac:dyDescent="0.2">
      <c r="A216" s="428"/>
      <c r="B216" s="428"/>
      <c r="C216" s="429"/>
      <c r="D216" s="429"/>
      <c r="E216" s="428"/>
      <c r="F216" s="428"/>
      <c r="G216" s="428"/>
      <c r="H216" s="428"/>
      <c r="I216" s="428"/>
      <c r="J216" s="428"/>
      <c r="K216" s="428"/>
      <c r="L216" s="428"/>
      <c r="X216" s="431"/>
      <c r="Z216" s="432"/>
      <c r="AA216" s="432"/>
      <c r="AB216" s="433"/>
    </row>
    <row r="217" spans="1:28" s="430" customFormat="1" x14ac:dyDescent="0.2">
      <c r="A217" s="428"/>
      <c r="B217" s="428"/>
      <c r="C217" s="429" t="s">
        <v>267</v>
      </c>
      <c r="D217" s="429"/>
      <c r="E217" s="428"/>
      <c r="F217" s="428"/>
      <c r="G217" s="428"/>
      <c r="H217" s="428"/>
      <c r="I217" s="428"/>
      <c r="J217" s="428"/>
      <c r="K217" s="428"/>
      <c r="L217" s="428"/>
      <c r="X217" s="431"/>
      <c r="Z217" s="432"/>
      <c r="AA217" s="432"/>
      <c r="AB217" s="432"/>
    </row>
    <row r="218" spans="1:28" s="430" customFormat="1" x14ac:dyDescent="0.2">
      <c r="A218" s="428"/>
      <c r="B218" s="428"/>
      <c r="C218" s="429" t="s">
        <v>44</v>
      </c>
      <c r="D218" s="429"/>
      <c r="E218" s="428"/>
      <c r="F218" s="428"/>
      <c r="G218" s="428"/>
      <c r="H218" s="428"/>
      <c r="I218" s="428"/>
      <c r="J218" s="428"/>
      <c r="K218" s="428"/>
      <c r="L218" s="428"/>
      <c r="X218" s="431"/>
      <c r="Z218" s="432"/>
      <c r="AA218" s="432"/>
      <c r="AB218" s="432"/>
    </row>
    <row r="219" spans="1:28" s="430" customFormat="1" x14ac:dyDescent="0.2">
      <c r="A219" s="428"/>
      <c r="B219" s="428"/>
      <c r="C219" s="429" t="s">
        <v>45</v>
      </c>
      <c r="D219" s="429"/>
      <c r="E219" s="428"/>
      <c r="F219" s="428"/>
      <c r="G219" s="428"/>
      <c r="H219" s="428"/>
      <c r="I219" s="428"/>
      <c r="J219" s="428"/>
      <c r="K219" s="428"/>
      <c r="L219" s="428"/>
      <c r="X219" s="431"/>
      <c r="Z219" s="432"/>
      <c r="AA219" s="432"/>
      <c r="AB219" s="432"/>
    </row>
    <row r="220" spans="1:28" s="430" customFormat="1" x14ac:dyDescent="0.2">
      <c r="A220" s="428"/>
      <c r="B220" s="428"/>
      <c r="C220" s="429" t="s">
        <v>46</v>
      </c>
      <c r="D220" s="429"/>
      <c r="E220" s="428"/>
      <c r="F220" s="428"/>
      <c r="G220" s="428"/>
      <c r="H220" s="428"/>
      <c r="I220" s="428"/>
      <c r="J220" s="428"/>
      <c r="K220" s="428"/>
      <c r="L220" s="428"/>
      <c r="X220" s="431"/>
      <c r="Z220" s="432"/>
      <c r="AA220" s="432"/>
      <c r="AB220" s="432"/>
    </row>
    <row r="221" spans="1:28" s="430" customFormat="1" x14ac:dyDescent="0.2">
      <c r="A221" s="428"/>
      <c r="B221" s="428"/>
      <c r="C221" s="429" t="s">
        <v>47</v>
      </c>
      <c r="D221" s="429"/>
      <c r="E221" s="428"/>
      <c r="F221" s="428"/>
      <c r="G221" s="428"/>
      <c r="H221" s="428"/>
      <c r="I221" s="428"/>
      <c r="J221" s="428"/>
      <c r="K221" s="428"/>
      <c r="L221" s="428"/>
      <c r="X221" s="431"/>
      <c r="Z221" s="432"/>
      <c r="AA221" s="432"/>
      <c r="AB221" s="432"/>
    </row>
    <row r="222" spans="1:28" s="430" customFormat="1" x14ac:dyDescent="0.2">
      <c r="A222" s="428"/>
      <c r="B222" s="428"/>
      <c r="C222" s="429" t="s">
        <v>48</v>
      </c>
      <c r="D222" s="429"/>
      <c r="E222" s="428"/>
      <c r="F222" s="428"/>
      <c r="G222" s="428"/>
      <c r="H222" s="428"/>
      <c r="I222" s="428"/>
      <c r="J222" s="428"/>
      <c r="K222" s="428"/>
      <c r="L222" s="428"/>
      <c r="X222" s="431"/>
      <c r="Z222" s="432"/>
      <c r="AA222" s="432"/>
      <c r="AB222" s="432"/>
    </row>
    <row r="223" spans="1:28" s="430" customFormat="1" x14ac:dyDescent="0.2">
      <c r="A223" s="428"/>
      <c r="B223" s="428"/>
      <c r="C223" s="429" t="s">
        <v>49</v>
      </c>
      <c r="D223" s="429"/>
      <c r="E223" s="428"/>
      <c r="F223" s="428"/>
      <c r="G223" s="428"/>
      <c r="H223" s="428"/>
      <c r="I223" s="428"/>
      <c r="J223" s="428"/>
      <c r="K223" s="428"/>
      <c r="L223" s="428"/>
      <c r="X223" s="431"/>
      <c r="Z223" s="432"/>
      <c r="AA223" s="432"/>
      <c r="AB223" s="432"/>
    </row>
    <row r="224" spans="1:28" s="430" customFormat="1" x14ac:dyDescent="0.2">
      <c r="A224" s="428"/>
      <c r="B224" s="428"/>
      <c r="C224" s="429" t="s">
        <v>50</v>
      </c>
      <c r="D224" s="429"/>
      <c r="E224" s="428"/>
      <c r="F224" s="428"/>
      <c r="G224" s="428"/>
      <c r="H224" s="428"/>
      <c r="I224" s="428"/>
      <c r="J224" s="428"/>
      <c r="K224" s="428"/>
      <c r="L224" s="428"/>
      <c r="X224" s="431"/>
      <c r="Z224" s="432"/>
      <c r="AA224" s="432"/>
      <c r="AB224" s="432"/>
    </row>
    <row r="225" spans="1:28" s="430" customFormat="1" x14ac:dyDescent="0.2">
      <c r="A225" s="428"/>
      <c r="B225" s="428"/>
      <c r="C225" s="428"/>
      <c r="D225" s="428"/>
      <c r="E225" s="428"/>
      <c r="F225" s="428"/>
      <c r="G225" s="428"/>
      <c r="H225" s="428"/>
      <c r="I225" s="428"/>
      <c r="J225" s="428"/>
      <c r="K225" s="428"/>
      <c r="L225" s="428"/>
      <c r="X225" s="431"/>
      <c r="Z225" s="432"/>
      <c r="AA225" s="432"/>
      <c r="AB225" s="432"/>
    </row>
    <row r="226" spans="1:28" s="430" customFormat="1" ht="15.75" x14ac:dyDescent="0.25">
      <c r="A226" s="428"/>
      <c r="B226" s="428"/>
      <c r="C226" s="429" t="s">
        <v>428</v>
      </c>
      <c r="D226" s="429"/>
      <c r="E226" s="428"/>
      <c r="F226" s="428"/>
      <c r="G226" s="428"/>
      <c r="H226" s="434"/>
      <c r="I226" s="434"/>
      <c r="J226" s="434"/>
      <c r="K226" s="434"/>
      <c r="L226" s="428"/>
      <c r="X226" s="431"/>
      <c r="Z226" s="432"/>
      <c r="AA226" s="432"/>
      <c r="AB226" s="432"/>
    </row>
    <row r="227" spans="1:28" s="430" customFormat="1" x14ac:dyDescent="0.2">
      <c r="A227" s="428"/>
      <c r="B227" s="428"/>
      <c r="C227" s="429"/>
      <c r="D227" s="429"/>
      <c r="E227" s="428"/>
      <c r="F227" s="428"/>
      <c r="G227" s="428"/>
      <c r="H227" s="428"/>
      <c r="I227" s="428"/>
      <c r="J227" s="428"/>
      <c r="K227" s="428"/>
      <c r="L227" s="428"/>
      <c r="X227" s="431"/>
      <c r="Z227" s="432"/>
      <c r="AA227" s="432"/>
      <c r="AB227" s="432"/>
    </row>
    <row r="228" spans="1:28" s="430" customFormat="1" x14ac:dyDescent="0.2">
      <c r="A228" s="428"/>
      <c r="B228" s="428"/>
      <c r="C228" s="429" t="s">
        <v>281</v>
      </c>
      <c r="D228" s="429"/>
      <c r="E228" s="428"/>
      <c r="F228" s="428"/>
      <c r="G228" s="428"/>
      <c r="H228" s="428"/>
      <c r="I228" s="428"/>
      <c r="J228" s="428"/>
      <c r="K228" s="428"/>
      <c r="L228" s="428"/>
      <c r="X228" s="431"/>
      <c r="Z228" s="432"/>
      <c r="AA228" s="432"/>
      <c r="AB228" s="432"/>
    </row>
    <row r="229" spans="1:28" s="430" customFormat="1" x14ac:dyDescent="0.2">
      <c r="A229" s="428"/>
      <c r="B229" s="428"/>
      <c r="C229" s="429" t="s">
        <v>280</v>
      </c>
      <c r="D229" s="429"/>
      <c r="E229" s="428"/>
      <c r="F229" s="428"/>
      <c r="G229" s="428"/>
      <c r="H229" s="428"/>
      <c r="I229" s="428"/>
      <c r="J229" s="428"/>
      <c r="K229" s="428"/>
      <c r="L229" s="428"/>
      <c r="X229" s="431"/>
      <c r="Z229" s="432"/>
      <c r="AA229" s="432"/>
      <c r="AB229" s="432"/>
    </row>
    <row r="230" spans="1:28" s="430" customFormat="1" x14ac:dyDescent="0.2">
      <c r="A230" s="428"/>
      <c r="B230" s="428"/>
      <c r="C230" s="429" t="s">
        <v>51</v>
      </c>
      <c r="D230" s="429"/>
      <c r="E230" s="428"/>
      <c r="F230" s="428"/>
      <c r="G230" s="428"/>
      <c r="H230" s="428"/>
      <c r="I230" s="428"/>
      <c r="J230" s="428"/>
      <c r="K230" s="428"/>
      <c r="L230" s="428"/>
      <c r="X230" s="431"/>
      <c r="Z230" s="432"/>
      <c r="AA230" s="432"/>
      <c r="AB230" s="432"/>
    </row>
    <row r="231" spans="1:28" s="430" customFormat="1" x14ac:dyDescent="0.2">
      <c r="A231" s="428"/>
      <c r="B231" s="428"/>
      <c r="C231" s="429" t="s">
        <v>52</v>
      </c>
      <c r="D231" s="429"/>
      <c r="E231" s="428"/>
      <c r="F231" s="428"/>
      <c r="G231" s="428"/>
      <c r="H231" s="428"/>
      <c r="I231" s="428"/>
      <c r="J231" s="428"/>
      <c r="K231" s="428"/>
      <c r="L231" s="428"/>
      <c r="X231" s="431"/>
      <c r="Z231" s="432"/>
      <c r="AA231" s="432"/>
      <c r="AB231" s="432"/>
    </row>
    <row r="232" spans="1:28" s="430" customFormat="1" x14ac:dyDescent="0.2">
      <c r="A232" s="428"/>
      <c r="B232" s="428"/>
      <c r="C232" s="429" t="s">
        <v>53</v>
      </c>
      <c r="D232" s="429"/>
      <c r="E232" s="428"/>
      <c r="F232" s="428"/>
      <c r="G232" s="428"/>
      <c r="H232" s="428"/>
      <c r="I232" s="428"/>
      <c r="J232" s="428"/>
      <c r="K232" s="428"/>
      <c r="L232" s="428"/>
      <c r="X232" s="431"/>
      <c r="Z232" s="432"/>
      <c r="AA232" s="432"/>
      <c r="AB232" s="432"/>
    </row>
    <row r="233" spans="1:28" s="430" customFormat="1" x14ac:dyDescent="0.2">
      <c r="A233" s="428"/>
      <c r="B233" s="428"/>
      <c r="C233" s="429" t="s">
        <v>54</v>
      </c>
      <c r="D233" s="429"/>
      <c r="E233" s="428"/>
      <c r="F233" s="428"/>
      <c r="G233" s="428"/>
      <c r="H233" s="428"/>
      <c r="I233" s="428"/>
      <c r="J233" s="428"/>
      <c r="K233" s="428"/>
      <c r="L233" s="428"/>
      <c r="X233" s="431"/>
      <c r="Z233" s="432"/>
      <c r="AA233" s="432"/>
      <c r="AB233" s="432"/>
    </row>
    <row r="234" spans="1:28" s="430" customFormat="1" x14ac:dyDescent="0.2">
      <c r="A234" s="428"/>
      <c r="B234" s="428"/>
      <c r="C234" s="429" t="s">
        <v>55</v>
      </c>
      <c r="D234" s="429"/>
      <c r="E234" s="428"/>
      <c r="F234" s="428"/>
      <c r="G234" s="428"/>
      <c r="H234" s="428"/>
      <c r="I234" s="428"/>
      <c r="J234" s="428"/>
      <c r="K234" s="428"/>
      <c r="L234" s="428"/>
      <c r="X234" s="431"/>
      <c r="Z234" s="432"/>
      <c r="AA234" s="432"/>
      <c r="AB234" s="432"/>
    </row>
    <row r="235" spans="1:28" s="430" customFormat="1" x14ac:dyDescent="0.2">
      <c r="A235" s="428"/>
      <c r="B235" s="428"/>
      <c r="C235" s="429" t="s">
        <v>56</v>
      </c>
      <c r="D235" s="429"/>
      <c r="E235" s="428"/>
      <c r="F235" s="428"/>
      <c r="G235" s="428"/>
      <c r="H235" s="428"/>
      <c r="I235" s="428"/>
      <c r="J235" s="428"/>
      <c r="K235" s="428"/>
      <c r="L235" s="428"/>
      <c r="X235" s="431"/>
      <c r="Z235" s="432"/>
      <c r="AA235" s="432"/>
      <c r="AB235" s="432"/>
    </row>
    <row r="236" spans="1:28" s="430" customFormat="1" x14ac:dyDescent="0.2">
      <c r="A236" s="428"/>
      <c r="B236" s="428"/>
      <c r="C236" s="429" t="s">
        <v>57</v>
      </c>
      <c r="D236" s="429"/>
      <c r="E236" s="428"/>
      <c r="F236" s="428"/>
      <c r="G236" s="428"/>
      <c r="H236" s="428"/>
      <c r="I236" s="428"/>
      <c r="J236" s="428"/>
      <c r="K236" s="428"/>
      <c r="L236" s="428"/>
      <c r="X236" s="431"/>
      <c r="Z236" s="432"/>
      <c r="AA236" s="432"/>
      <c r="AB236" s="432"/>
    </row>
    <row r="237" spans="1:28" s="430" customFormat="1" x14ac:dyDescent="0.2">
      <c r="A237" s="428"/>
      <c r="B237" s="428"/>
      <c r="C237" s="429" t="s">
        <v>58</v>
      </c>
      <c r="D237" s="429"/>
      <c r="E237" s="428"/>
      <c r="F237" s="428"/>
      <c r="G237" s="428"/>
      <c r="H237" s="428"/>
      <c r="I237" s="428"/>
      <c r="J237" s="428"/>
      <c r="K237" s="428"/>
      <c r="L237" s="428"/>
      <c r="X237" s="431"/>
      <c r="Z237" s="432"/>
      <c r="AA237" s="432"/>
      <c r="AB237" s="432"/>
    </row>
    <row r="238" spans="1:28" s="430" customFormat="1" x14ac:dyDescent="0.2">
      <c r="A238" s="428"/>
      <c r="B238" s="428"/>
      <c r="C238" s="429" t="s">
        <v>59</v>
      </c>
      <c r="D238" s="429"/>
      <c r="E238" s="428"/>
      <c r="F238" s="428"/>
      <c r="G238" s="428"/>
      <c r="H238" s="428"/>
      <c r="I238" s="428"/>
      <c r="J238" s="428"/>
      <c r="K238" s="428"/>
      <c r="L238" s="428"/>
      <c r="X238" s="431"/>
      <c r="Z238" s="432"/>
      <c r="AA238" s="432"/>
      <c r="AB238" s="432"/>
    </row>
    <row r="239" spans="1:28" s="430" customFormat="1" x14ac:dyDescent="0.2">
      <c r="A239" s="428"/>
      <c r="B239" s="428"/>
      <c r="C239" s="429" t="s">
        <v>60</v>
      </c>
      <c r="D239" s="429"/>
      <c r="E239" s="428"/>
      <c r="F239" s="428"/>
      <c r="G239" s="428"/>
      <c r="H239" s="428"/>
      <c r="I239" s="428"/>
      <c r="J239" s="428"/>
      <c r="K239" s="428"/>
      <c r="L239" s="428"/>
      <c r="X239" s="431"/>
      <c r="Z239" s="432"/>
      <c r="AA239" s="432"/>
      <c r="AB239" s="432"/>
    </row>
    <row r="240" spans="1:28" s="430" customFormat="1" x14ac:dyDescent="0.2">
      <c r="A240" s="428"/>
      <c r="B240" s="428"/>
      <c r="C240" s="428"/>
      <c r="D240" s="428"/>
      <c r="E240" s="428"/>
      <c r="F240" s="428"/>
      <c r="G240" s="428"/>
      <c r="H240" s="428"/>
      <c r="I240" s="428"/>
      <c r="J240" s="428"/>
      <c r="K240" s="428"/>
      <c r="L240" s="428"/>
      <c r="X240" s="431"/>
      <c r="Z240" s="432"/>
      <c r="AA240" s="432"/>
      <c r="AB240" s="432"/>
    </row>
    <row r="241" spans="1:28" s="430" customFormat="1" x14ac:dyDescent="0.2">
      <c r="A241" s="428"/>
      <c r="B241" s="428"/>
      <c r="C241" s="429" t="s">
        <v>77</v>
      </c>
      <c r="D241" s="429"/>
      <c r="E241" s="428"/>
      <c r="F241" s="428"/>
      <c r="G241" s="428"/>
      <c r="H241" s="428"/>
      <c r="I241" s="428"/>
      <c r="J241" s="428"/>
      <c r="K241" s="428"/>
      <c r="L241" s="428"/>
      <c r="X241" s="431"/>
      <c r="Z241" s="432"/>
      <c r="AA241" s="432"/>
      <c r="AB241" s="432"/>
    </row>
    <row r="242" spans="1:28" s="430" customFormat="1" x14ac:dyDescent="0.2">
      <c r="A242" s="428"/>
      <c r="B242" s="428"/>
      <c r="C242" s="429"/>
      <c r="D242" s="429"/>
      <c r="E242" s="428"/>
      <c r="F242" s="428"/>
      <c r="G242" s="428"/>
      <c r="H242" s="428"/>
      <c r="I242" s="428"/>
      <c r="J242" s="428"/>
      <c r="K242" s="428"/>
      <c r="L242" s="428"/>
      <c r="X242" s="431"/>
      <c r="Z242" s="432"/>
      <c r="AA242" s="432"/>
      <c r="AB242" s="432"/>
    </row>
    <row r="243" spans="1:28" s="430" customFormat="1" x14ac:dyDescent="0.2">
      <c r="A243" s="428"/>
      <c r="B243" s="428"/>
      <c r="C243" s="435" t="s">
        <v>262</v>
      </c>
      <c r="D243" s="435"/>
      <c r="E243" s="428"/>
      <c r="F243" s="428"/>
      <c r="G243" s="428"/>
      <c r="H243" s="428"/>
      <c r="I243" s="428"/>
      <c r="J243" s="428"/>
      <c r="K243" s="428"/>
      <c r="L243" s="428"/>
      <c r="X243" s="431"/>
      <c r="Z243" s="432"/>
      <c r="AA243" s="432"/>
      <c r="AB243" s="432"/>
    </row>
    <row r="244" spans="1:28" s="430" customFormat="1" x14ac:dyDescent="0.2">
      <c r="A244" s="428"/>
      <c r="B244" s="428"/>
      <c r="C244" s="435" t="s">
        <v>78</v>
      </c>
      <c r="D244" s="435"/>
      <c r="E244" s="428"/>
      <c r="F244" s="428"/>
      <c r="G244" s="428"/>
      <c r="H244" s="428"/>
      <c r="I244" s="428"/>
      <c r="J244" s="428"/>
      <c r="K244" s="428"/>
      <c r="L244" s="428"/>
      <c r="X244" s="431"/>
      <c r="Z244" s="432"/>
      <c r="AA244" s="432"/>
      <c r="AB244" s="432"/>
    </row>
    <row r="245" spans="1:28" s="430" customFormat="1" x14ac:dyDescent="0.2">
      <c r="A245" s="428"/>
      <c r="B245" s="428"/>
      <c r="C245" s="435" t="s">
        <v>76</v>
      </c>
      <c r="D245" s="435"/>
      <c r="E245" s="428"/>
      <c r="F245" s="428"/>
      <c r="G245" s="428"/>
      <c r="H245" s="428"/>
      <c r="I245" s="428"/>
      <c r="J245" s="428"/>
      <c r="K245" s="428"/>
      <c r="L245" s="428"/>
      <c r="X245" s="431"/>
      <c r="Z245" s="432"/>
      <c r="AA245" s="432"/>
      <c r="AB245" s="432"/>
    </row>
    <row r="246" spans="1:28" s="430" customFormat="1" x14ac:dyDescent="0.2">
      <c r="A246" s="428"/>
      <c r="B246" s="428"/>
      <c r="C246" s="435" t="str">
        <f>IF(AND(Kanton="Schwyz",Wohnnutzung),"Nachweistool einfache Bauten (ENteb-Tool)","")</f>
        <v/>
      </c>
      <c r="D246" s="435"/>
      <c r="E246" s="428"/>
      <c r="F246" s="428"/>
      <c r="G246" s="428"/>
      <c r="H246" s="428"/>
      <c r="I246" s="428"/>
      <c r="J246" s="428"/>
      <c r="K246" s="428"/>
      <c r="L246" s="428"/>
      <c r="X246" s="431"/>
      <c r="Z246" s="432"/>
      <c r="AA246" s="432"/>
      <c r="AB246" s="432"/>
    </row>
    <row r="247" spans="1:28" s="430" customFormat="1" x14ac:dyDescent="0.2">
      <c r="A247" s="428"/>
      <c r="B247" s="428"/>
      <c r="C247" s="428"/>
      <c r="D247" s="428"/>
      <c r="E247" s="428"/>
      <c r="F247" s="428"/>
      <c r="G247" s="428"/>
      <c r="H247" s="428"/>
      <c r="I247" s="428"/>
      <c r="J247" s="428"/>
      <c r="K247" s="428"/>
      <c r="L247" s="428"/>
      <c r="X247" s="431"/>
      <c r="Z247" s="432"/>
      <c r="AA247" s="432"/>
      <c r="AB247" s="432"/>
    </row>
    <row r="248" spans="1:28" s="430" customFormat="1" x14ac:dyDescent="0.2">
      <c r="A248" s="428"/>
      <c r="B248" s="428"/>
      <c r="C248" s="429" t="s">
        <v>90</v>
      </c>
      <c r="D248" s="429"/>
      <c r="E248" s="428"/>
      <c r="F248" s="428"/>
      <c r="G248" s="428"/>
      <c r="H248" s="428"/>
      <c r="I248" s="428"/>
      <c r="J248" s="428"/>
      <c r="K248" s="428"/>
      <c r="L248" s="428"/>
      <c r="X248" s="431"/>
      <c r="Z248" s="432"/>
      <c r="AA248" s="432"/>
      <c r="AB248" s="432"/>
    </row>
    <row r="249" spans="1:28" s="430" customFormat="1" x14ac:dyDescent="0.2">
      <c r="A249" s="428"/>
      <c r="B249" s="428"/>
      <c r="C249" s="429"/>
      <c r="D249" s="429"/>
      <c r="E249" s="428"/>
      <c r="F249" s="428"/>
      <c r="G249" s="428"/>
      <c r="H249" s="428"/>
      <c r="I249" s="428"/>
      <c r="J249" s="428"/>
      <c r="K249" s="428"/>
      <c r="L249" s="428"/>
      <c r="X249" s="431"/>
      <c r="Z249" s="432"/>
      <c r="AA249" s="432"/>
      <c r="AB249" s="432"/>
    </row>
    <row r="250" spans="1:28" s="430" customFormat="1" x14ac:dyDescent="0.2">
      <c r="A250" s="428"/>
      <c r="B250" s="428"/>
      <c r="C250" s="429" t="s">
        <v>350</v>
      </c>
      <c r="D250" s="429"/>
      <c r="E250" s="428"/>
      <c r="F250" s="428"/>
      <c r="G250" s="428"/>
      <c r="H250" s="428"/>
      <c r="I250" s="428"/>
      <c r="J250" s="428"/>
      <c r="K250" s="428"/>
      <c r="L250" s="428"/>
      <c r="X250" s="431"/>
      <c r="Z250" s="432"/>
      <c r="AA250" s="432"/>
      <c r="AB250" s="432"/>
    </row>
    <row r="251" spans="1:28" s="430" customFormat="1" ht="15.75" x14ac:dyDescent="0.2">
      <c r="A251" s="428"/>
      <c r="B251" s="428"/>
      <c r="C251" s="429" t="s">
        <v>484</v>
      </c>
      <c r="D251" s="429"/>
      <c r="E251" s="428"/>
      <c r="F251" s="428"/>
      <c r="G251" s="428"/>
      <c r="H251" s="428"/>
      <c r="I251" s="428"/>
      <c r="J251" s="428"/>
      <c r="K251" s="428"/>
      <c r="L251" s="428"/>
      <c r="X251" s="431"/>
      <c r="Z251" s="432"/>
      <c r="AA251" s="432"/>
      <c r="AB251" s="432"/>
    </row>
    <row r="252" spans="1:28" s="430" customFormat="1" x14ac:dyDescent="0.2">
      <c r="A252" s="428"/>
      <c r="B252" s="428"/>
      <c r="C252" s="429" t="s">
        <v>91</v>
      </c>
      <c r="D252" s="429"/>
      <c r="E252" s="428"/>
      <c r="F252" s="428"/>
      <c r="G252" s="428"/>
      <c r="H252" s="428"/>
      <c r="I252" s="428"/>
      <c r="J252" s="428"/>
      <c r="K252" s="428"/>
      <c r="L252" s="428"/>
      <c r="X252" s="431"/>
      <c r="Z252" s="432"/>
      <c r="AA252" s="432"/>
      <c r="AB252" s="432"/>
    </row>
    <row r="253" spans="1:28" s="430" customFormat="1" ht="15.75" x14ac:dyDescent="0.2">
      <c r="A253" s="428"/>
      <c r="B253" s="428"/>
      <c r="C253" s="429" t="s">
        <v>485</v>
      </c>
      <c r="D253" s="429"/>
      <c r="E253" s="428"/>
      <c r="F253" s="428"/>
      <c r="G253" s="428"/>
      <c r="H253" s="428"/>
      <c r="I253" s="428"/>
      <c r="J253" s="428"/>
      <c r="K253" s="428"/>
      <c r="L253" s="428"/>
      <c r="X253" s="431"/>
      <c r="Z253" s="432"/>
      <c r="AA253" s="432"/>
      <c r="AB253" s="432"/>
    </row>
    <row r="254" spans="1:28" s="430" customFormat="1" x14ac:dyDescent="0.2">
      <c r="A254" s="428"/>
      <c r="B254" s="428"/>
      <c r="C254" s="429" t="s">
        <v>92</v>
      </c>
      <c r="D254" s="429"/>
      <c r="E254" s="428"/>
      <c r="F254" s="428"/>
      <c r="G254" s="428"/>
      <c r="H254" s="428"/>
      <c r="I254" s="428"/>
      <c r="J254" s="428"/>
      <c r="K254" s="428"/>
      <c r="L254" s="428"/>
      <c r="X254" s="431"/>
      <c r="Z254" s="432"/>
      <c r="AA254" s="432"/>
      <c r="AB254" s="432"/>
    </row>
    <row r="255" spans="1:28" s="430" customFormat="1" ht="15.75" x14ac:dyDescent="0.2">
      <c r="A255" s="428"/>
      <c r="B255" s="428"/>
      <c r="C255" s="429" t="s">
        <v>486</v>
      </c>
      <c r="D255" s="429"/>
      <c r="E255" s="428"/>
      <c r="F255" s="428"/>
      <c r="G255" s="428"/>
      <c r="H255" s="428"/>
      <c r="I255" s="428"/>
      <c r="J255" s="428"/>
      <c r="K255" s="428"/>
      <c r="L255" s="428"/>
      <c r="X255" s="431"/>
      <c r="Z255" s="432"/>
      <c r="AA255" s="432"/>
      <c r="AB255" s="432"/>
    </row>
    <row r="256" spans="1:28" s="430" customFormat="1" ht="15.75" x14ac:dyDescent="0.2">
      <c r="A256" s="428"/>
      <c r="B256" s="428"/>
      <c r="C256" s="429" t="s">
        <v>487</v>
      </c>
      <c r="D256" s="429"/>
      <c r="E256" s="428"/>
      <c r="F256" s="428"/>
      <c r="G256" s="428"/>
      <c r="H256" s="428"/>
      <c r="I256" s="428"/>
      <c r="J256" s="428"/>
      <c r="K256" s="428"/>
      <c r="L256" s="428"/>
      <c r="X256" s="431"/>
      <c r="Z256" s="432"/>
      <c r="AA256" s="432"/>
      <c r="AB256" s="432"/>
    </row>
    <row r="257" spans="1:28" s="430" customFormat="1" ht="15.75" x14ac:dyDescent="0.2">
      <c r="A257" s="428"/>
      <c r="B257" s="428"/>
      <c r="C257" s="429" t="s">
        <v>488</v>
      </c>
      <c r="D257" s="429"/>
      <c r="E257" s="428"/>
      <c r="F257" s="428"/>
      <c r="G257" s="428"/>
      <c r="H257" s="428"/>
      <c r="I257" s="428"/>
      <c r="J257" s="428"/>
      <c r="K257" s="428"/>
      <c r="L257" s="428"/>
      <c r="X257" s="431"/>
      <c r="Z257" s="432"/>
      <c r="AA257" s="432"/>
      <c r="AB257" s="432"/>
    </row>
    <row r="258" spans="1:28" s="430" customFormat="1" ht="15.75" x14ac:dyDescent="0.2">
      <c r="A258" s="428"/>
      <c r="B258" s="428"/>
      <c r="C258" s="429" t="s">
        <v>489</v>
      </c>
      <c r="D258" s="429"/>
      <c r="E258" s="428"/>
      <c r="F258" s="428"/>
      <c r="G258" s="428"/>
      <c r="H258" s="428"/>
      <c r="I258" s="428"/>
      <c r="J258" s="428"/>
      <c r="K258" s="428"/>
      <c r="L258" s="428"/>
      <c r="X258" s="431"/>
      <c r="Z258" s="432"/>
      <c r="AA258" s="432"/>
      <c r="AB258" s="432"/>
    </row>
    <row r="259" spans="1:28" s="430" customFormat="1" x14ac:dyDescent="0.2">
      <c r="A259" s="428"/>
      <c r="B259" s="428"/>
      <c r="C259" s="428"/>
      <c r="D259" s="428"/>
      <c r="E259" s="428"/>
      <c r="F259" s="428"/>
      <c r="G259" s="428"/>
      <c r="H259" s="428"/>
      <c r="I259" s="428"/>
      <c r="J259" s="428"/>
      <c r="K259" s="428"/>
      <c r="L259" s="428"/>
      <c r="X259" s="431"/>
      <c r="Z259" s="432"/>
      <c r="AA259" s="432"/>
      <c r="AB259" s="432"/>
    </row>
    <row r="260" spans="1:28" s="430" customFormat="1" x14ac:dyDescent="0.2">
      <c r="A260" s="428"/>
      <c r="B260" s="428"/>
      <c r="C260" s="428"/>
      <c r="D260" s="428"/>
      <c r="E260" s="428"/>
      <c r="F260" s="428"/>
      <c r="G260" s="428"/>
      <c r="H260" s="428"/>
      <c r="I260" s="428"/>
      <c r="J260" s="428"/>
      <c r="K260" s="428"/>
      <c r="L260" s="428"/>
      <c r="X260" s="431"/>
      <c r="Z260" s="432"/>
      <c r="AA260" s="432"/>
      <c r="AB260" s="432"/>
    </row>
    <row r="261" spans="1:28" s="430" customFormat="1" x14ac:dyDescent="0.2">
      <c r="A261" s="428"/>
      <c r="B261" s="428"/>
      <c r="C261" s="428"/>
      <c r="D261" s="428"/>
      <c r="E261" s="428"/>
      <c r="F261" s="428"/>
      <c r="G261" s="428"/>
      <c r="H261" s="428"/>
      <c r="I261" s="428"/>
      <c r="J261" s="428"/>
      <c r="K261" s="428"/>
      <c r="L261" s="428"/>
      <c r="X261" s="431"/>
      <c r="Z261" s="432"/>
      <c r="AA261" s="432"/>
      <c r="AB261" s="432"/>
    </row>
    <row r="262" spans="1:28" s="430" customFormat="1" x14ac:dyDescent="0.2">
      <c r="A262" s="428"/>
      <c r="B262" s="428"/>
      <c r="C262" s="428"/>
      <c r="D262" s="428"/>
      <c r="E262" s="428"/>
      <c r="F262" s="428"/>
      <c r="G262" s="428"/>
      <c r="H262" s="428"/>
      <c r="I262" s="428"/>
      <c r="J262" s="428"/>
      <c r="K262" s="428"/>
      <c r="L262" s="428"/>
      <c r="X262" s="431"/>
      <c r="Z262" s="432"/>
      <c r="AA262" s="432"/>
      <c r="AB262" s="432"/>
    </row>
    <row r="263" spans="1:28" s="430" customFormat="1" x14ac:dyDescent="0.2">
      <c r="A263" s="428"/>
      <c r="B263" s="428"/>
      <c r="C263" s="428"/>
      <c r="D263" s="428"/>
      <c r="E263" s="428"/>
      <c r="F263" s="428"/>
      <c r="G263" s="428"/>
      <c r="H263" s="428"/>
      <c r="I263" s="428"/>
      <c r="J263" s="428"/>
      <c r="K263" s="428"/>
      <c r="L263" s="428"/>
      <c r="X263" s="431"/>
      <c r="Z263" s="432"/>
      <c r="AA263" s="432"/>
      <c r="AB263" s="432"/>
    </row>
    <row r="264" spans="1:28" s="430" customFormat="1" x14ac:dyDescent="0.2">
      <c r="A264" s="428"/>
      <c r="B264" s="428"/>
      <c r="C264" s="428" t="s">
        <v>438</v>
      </c>
      <c r="D264" s="428"/>
      <c r="E264" s="428"/>
      <c r="F264" s="428"/>
      <c r="G264" s="428"/>
      <c r="H264" s="428"/>
      <c r="I264" s="428"/>
      <c r="J264" s="428"/>
      <c r="K264" s="428"/>
      <c r="L264" s="428"/>
      <c r="X264" s="431"/>
      <c r="Z264" s="432"/>
      <c r="AA264" s="432"/>
      <c r="AB264" s="432"/>
    </row>
    <row r="265" spans="1:28" s="430" customFormat="1" x14ac:dyDescent="0.2">
      <c r="A265" s="428"/>
      <c r="B265" s="428"/>
      <c r="C265" s="428"/>
      <c r="D265" s="428"/>
      <c r="E265" s="428"/>
      <c r="F265" s="428"/>
      <c r="G265" s="428"/>
      <c r="H265" s="428"/>
      <c r="I265" s="428"/>
      <c r="J265" s="428"/>
      <c r="K265" s="428"/>
      <c r="L265" s="428"/>
      <c r="X265" s="431"/>
      <c r="Z265" s="432"/>
      <c r="AA265" s="432"/>
      <c r="AB265" s="432"/>
    </row>
    <row r="266" spans="1:28" s="430" customFormat="1" x14ac:dyDescent="0.2">
      <c r="A266" s="428"/>
      <c r="B266" s="428"/>
      <c r="C266" s="428" t="s">
        <v>108</v>
      </c>
      <c r="D266" s="428"/>
      <c r="E266" s="428"/>
      <c r="F266" s="428"/>
      <c r="G266" s="428"/>
      <c r="H266" s="428"/>
      <c r="I266" s="428"/>
      <c r="J266" s="428"/>
      <c r="K266" s="428"/>
      <c r="L266" s="428"/>
      <c r="X266" s="431"/>
      <c r="Z266" s="432"/>
      <c r="AA266" s="432"/>
      <c r="AB266" s="432"/>
    </row>
    <row r="267" spans="1:28" s="430" customFormat="1" x14ac:dyDescent="0.2">
      <c r="A267" s="428"/>
      <c r="B267" s="428"/>
      <c r="C267" s="428" t="s">
        <v>427</v>
      </c>
      <c r="D267" s="428"/>
      <c r="E267" s="428"/>
      <c r="F267" s="428"/>
      <c r="G267" s="428"/>
      <c r="H267" s="428"/>
      <c r="I267" s="428"/>
      <c r="J267" s="428"/>
      <c r="K267" s="428"/>
      <c r="L267" s="428"/>
      <c r="X267" s="431"/>
      <c r="Z267" s="432"/>
      <c r="AA267" s="432"/>
      <c r="AB267" s="432"/>
    </row>
    <row r="268" spans="1:28" s="430" customFormat="1" x14ac:dyDescent="0.2">
      <c r="A268" s="428"/>
      <c r="B268" s="428"/>
      <c r="C268" s="428" t="s">
        <v>753</v>
      </c>
      <c r="D268" s="428"/>
      <c r="E268" s="428"/>
      <c r="F268" s="428"/>
      <c r="G268" s="428"/>
      <c r="H268" s="428"/>
      <c r="I268" s="428"/>
      <c r="J268" s="428"/>
      <c r="K268" s="428"/>
      <c r="L268" s="428"/>
      <c r="X268" s="431"/>
      <c r="Z268" s="432"/>
      <c r="AA268" s="432"/>
      <c r="AB268" s="432"/>
    </row>
    <row r="269" spans="1:28" s="430" customFormat="1" x14ac:dyDescent="0.2">
      <c r="A269" s="428"/>
      <c r="B269" s="428"/>
      <c r="C269" s="428" t="s">
        <v>754</v>
      </c>
      <c r="D269" s="428"/>
      <c r="E269" s="428"/>
      <c r="F269" s="428"/>
      <c r="G269" s="428"/>
      <c r="H269" s="428"/>
      <c r="I269" s="428"/>
      <c r="J269" s="428"/>
      <c r="K269" s="428"/>
      <c r="L269" s="428"/>
      <c r="X269" s="431"/>
      <c r="Z269" s="432"/>
      <c r="AA269" s="432"/>
      <c r="AB269" s="432"/>
    </row>
    <row r="270" spans="1:28" s="430" customFormat="1" x14ac:dyDescent="0.2">
      <c r="A270" s="428"/>
      <c r="B270" s="428"/>
      <c r="C270" s="428" t="s">
        <v>922</v>
      </c>
      <c r="D270" s="428"/>
      <c r="E270" s="428"/>
      <c r="F270" s="428"/>
      <c r="G270" s="428"/>
      <c r="H270" s="428"/>
      <c r="I270" s="428"/>
      <c r="J270" s="428"/>
      <c r="K270" s="428"/>
      <c r="L270" s="428"/>
      <c r="X270" s="431"/>
      <c r="Z270" s="432"/>
      <c r="AA270" s="432"/>
      <c r="AB270" s="432"/>
    </row>
    <row r="271" spans="1:28" s="430" customFormat="1" x14ac:dyDescent="0.2">
      <c r="A271" s="428"/>
      <c r="B271" s="428"/>
      <c r="C271" s="428"/>
      <c r="D271" s="428"/>
      <c r="E271" s="428"/>
      <c r="F271" s="428"/>
      <c r="G271" s="428"/>
      <c r="H271" s="428"/>
      <c r="I271" s="428"/>
      <c r="J271" s="428"/>
      <c r="K271" s="428"/>
      <c r="L271" s="428"/>
      <c r="X271" s="431"/>
      <c r="Z271" s="432"/>
      <c r="AA271" s="432"/>
      <c r="AB271" s="432"/>
    </row>
    <row r="272" spans="1:28" s="430" customFormat="1" x14ac:dyDescent="0.2">
      <c r="A272" s="428"/>
      <c r="B272" s="428"/>
      <c r="C272" s="428" t="s">
        <v>42</v>
      </c>
      <c r="D272" s="428"/>
      <c r="E272" s="428"/>
      <c r="F272" s="428"/>
      <c r="G272" s="428"/>
      <c r="H272" s="428"/>
      <c r="I272" s="428"/>
      <c r="J272" s="428"/>
      <c r="K272" s="428"/>
      <c r="L272" s="428"/>
      <c r="X272" s="431"/>
      <c r="Z272" s="432"/>
      <c r="AA272" s="432"/>
      <c r="AB272" s="432"/>
    </row>
    <row r="273" spans="1:28" s="430" customFormat="1" x14ac:dyDescent="0.2">
      <c r="A273" s="428"/>
      <c r="B273" s="428"/>
      <c r="C273" s="428" t="s">
        <v>43</v>
      </c>
      <c r="D273" s="428"/>
      <c r="E273" s="428"/>
      <c r="F273" s="428"/>
      <c r="G273" s="428"/>
      <c r="H273" s="428"/>
      <c r="I273" s="428"/>
      <c r="J273" s="428"/>
      <c r="K273" s="428"/>
      <c r="L273" s="428"/>
      <c r="X273" s="431"/>
      <c r="Z273" s="432"/>
      <c r="AA273" s="432"/>
      <c r="AB273" s="432"/>
    </row>
    <row r="274" spans="1:28" s="430" customFormat="1" x14ac:dyDescent="0.2">
      <c r="A274" s="428"/>
      <c r="B274" s="428"/>
      <c r="C274" s="428"/>
      <c r="D274" s="428"/>
      <c r="E274" s="428"/>
      <c r="F274" s="428"/>
      <c r="G274" s="428"/>
      <c r="H274" s="428"/>
      <c r="I274" s="428"/>
      <c r="J274" s="428"/>
      <c r="K274" s="428"/>
      <c r="L274" s="428"/>
      <c r="X274" s="431"/>
      <c r="Z274" s="432"/>
      <c r="AA274" s="432"/>
      <c r="AB274" s="432"/>
    </row>
    <row r="275" spans="1:28" s="430" customFormat="1" x14ac:dyDescent="0.2">
      <c r="A275" s="428"/>
      <c r="B275" s="428"/>
      <c r="C275" s="428"/>
      <c r="D275" s="428"/>
      <c r="E275" s="428"/>
      <c r="F275" s="428"/>
      <c r="G275" s="428"/>
      <c r="H275" s="428"/>
      <c r="I275" s="428"/>
      <c r="J275" s="428"/>
      <c r="K275" s="428"/>
      <c r="L275" s="428"/>
      <c r="X275" s="431"/>
      <c r="Z275" s="432"/>
      <c r="AA275" s="432"/>
      <c r="AB275" s="432"/>
    </row>
    <row r="276" spans="1:28" s="430" customFormat="1" x14ac:dyDescent="0.2">
      <c r="A276" s="428"/>
      <c r="B276" s="428"/>
      <c r="C276" s="428" t="s">
        <v>428</v>
      </c>
      <c r="D276" s="428"/>
      <c r="E276" s="428"/>
      <c r="F276" s="428"/>
      <c r="G276" s="428"/>
      <c r="H276" s="428"/>
      <c r="I276" s="428"/>
      <c r="J276" s="428"/>
      <c r="K276" s="428"/>
      <c r="L276" s="428"/>
      <c r="X276" s="431"/>
      <c r="Z276" s="432"/>
      <c r="AA276" s="432"/>
      <c r="AB276" s="432"/>
    </row>
    <row r="277" spans="1:28" s="430" customFormat="1" x14ac:dyDescent="0.2">
      <c r="A277" s="428"/>
      <c r="B277" s="428"/>
      <c r="C277" s="428"/>
      <c r="D277" s="428"/>
      <c r="E277" s="428"/>
      <c r="F277" s="428"/>
      <c r="G277" s="428"/>
      <c r="H277" s="428"/>
      <c r="I277" s="428"/>
      <c r="J277" s="428"/>
      <c r="K277" s="428"/>
      <c r="L277" s="428"/>
      <c r="X277" s="431"/>
      <c r="Z277" s="432"/>
      <c r="AA277" s="432"/>
      <c r="AB277" s="432"/>
    </row>
    <row r="278" spans="1:28" s="430" customFormat="1" x14ac:dyDescent="0.2">
      <c r="A278" s="428"/>
      <c r="B278" s="428"/>
      <c r="C278" s="428" t="str">
        <f>IF(ISTEXT(KatI),KatI,"")</f>
        <v>Gebäudekategorie wählen</v>
      </c>
      <c r="D278" s="428"/>
      <c r="E278" s="428"/>
      <c r="F278" s="428"/>
      <c r="G278" s="428"/>
      <c r="H278" s="428"/>
      <c r="I278" s="428"/>
      <c r="J278" s="428"/>
      <c r="K278" s="428"/>
      <c r="L278" s="428"/>
      <c r="X278" s="431"/>
      <c r="Z278" s="432"/>
      <c r="AA278" s="432"/>
      <c r="AB278" s="432"/>
    </row>
    <row r="279" spans="1:28" s="430" customFormat="1" x14ac:dyDescent="0.2">
      <c r="A279" s="428"/>
      <c r="B279" s="428"/>
      <c r="C279" s="428" t="str">
        <f>IF(ISTEXT(KatII),KatII,"")</f>
        <v/>
      </c>
      <c r="D279" s="428"/>
      <c r="E279" s="428"/>
      <c r="F279" s="428"/>
      <c r="G279" s="428"/>
      <c r="H279" s="428"/>
      <c r="I279" s="428"/>
      <c r="J279" s="428"/>
      <c r="K279" s="428"/>
      <c r="L279" s="428"/>
      <c r="X279" s="431"/>
      <c r="Z279" s="432"/>
      <c r="AA279" s="432"/>
      <c r="AB279" s="432"/>
    </row>
    <row r="280" spans="1:28" s="430" customFormat="1" x14ac:dyDescent="0.2">
      <c r="A280" s="428"/>
      <c r="B280" s="428"/>
      <c r="C280" s="428" t="str">
        <f>IF(ISTEXT(KatIII),KatIII,"")</f>
        <v/>
      </c>
      <c r="D280" s="428"/>
      <c r="E280" s="428"/>
      <c r="F280" s="428"/>
      <c r="G280" s="428"/>
      <c r="H280" s="428"/>
      <c r="I280" s="428"/>
      <c r="J280" s="428"/>
      <c r="K280" s="428"/>
      <c r="L280" s="428"/>
      <c r="X280" s="431"/>
      <c r="Z280" s="432"/>
      <c r="AA280" s="432"/>
      <c r="AB280" s="432"/>
    </row>
    <row r="281" spans="1:28" s="430" customFormat="1" x14ac:dyDescent="0.2">
      <c r="A281" s="428"/>
      <c r="B281" s="428"/>
      <c r="C281" s="428" t="str">
        <f>IF(ISTEXT(KatIV),KatIV,"")</f>
        <v/>
      </c>
      <c r="D281" s="428"/>
      <c r="E281" s="428"/>
      <c r="F281" s="428"/>
      <c r="G281" s="428"/>
      <c r="H281" s="428"/>
      <c r="I281" s="428"/>
      <c r="J281" s="428"/>
      <c r="K281" s="428"/>
      <c r="L281" s="428"/>
      <c r="X281" s="431"/>
      <c r="Z281" s="432"/>
      <c r="AA281" s="432"/>
      <c r="AB281" s="432"/>
    </row>
    <row r="282" spans="1:28" s="430" customFormat="1" x14ac:dyDescent="0.2">
      <c r="A282" s="428"/>
      <c r="B282" s="428"/>
      <c r="C282" s="428"/>
      <c r="D282" s="428"/>
      <c r="E282" s="428"/>
      <c r="F282" s="428"/>
      <c r="G282" s="428"/>
      <c r="H282" s="428"/>
      <c r="I282" s="428"/>
      <c r="J282" s="428"/>
      <c r="K282" s="428"/>
      <c r="L282" s="428"/>
      <c r="X282" s="431"/>
      <c r="Z282" s="432"/>
      <c r="AA282" s="432"/>
      <c r="AB282" s="432"/>
    </row>
    <row r="283" spans="1:28" s="430" customFormat="1" x14ac:dyDescent="0.2">
      <c r="A283" s="428"/>
      <c r="B283" s="428"/>
      <c r="C283" s="428"/>
      <c r="D283" s="428"/>
      <c r="E283" s="428"/>
      <c r="F283" s="428"/>
      <c r="G283" s="428"/>
      <c r="H283" s="428"/>
      <c r="I283" s="428"/>
      <c r="J283" s="428"/>
      <c r="K283" s="428"/>
      <c r="L283" s="428"/>
      <c r="X283" s="431"/>
      <c r="Z283" s="432"/>
      <c r="AA283" s="432"/>
      <c r="AB283" s="432"/>
    </row>
    <row r="284" spans="1:28" s="430" customFormat="1" x14ac:dyDescent="0.2">
      <c r="A284" s="428"/>
      <c r="B284" s="428"/>
      <c r="C284" s="428"/>
      <c r="D284" s="428"/>
      <c r="E284" s="428"/>
      <c r="F284" s="428"/>
      <c r="G284" s="428"/>
      <c r="H284" s="428"/>
      <c r="I284" s="428"/>
      <c r="J284" s="428"/>
      <c r="K284" s="428"/>
      <c r="L284" s="428"/>
      <c r="X284" s="431"/>
      <c r="Z284" s="432"/>
      <c r="AA284" s="432"/>
      <c r="AB284" s="432"/>
    </row>
    <row r="285" spans="1:28" s="430" customFormat="1" x14ac:dyDescent="0.2">
      <c r="A285" s="428"/>
      <c r="B285" s="428"/>
      <c r="C285" s="436" t="str">
        <f>IF(AND(   OR(U15=C228,U15=C229,U15=""), OR(U17=C228,U17=C229,U17=""),  OR(U19=C228,U19=C229,U19=""),    OR(U21=C228,U21=C229,U21="")),  "nur Wohnbau", "-")</f>
        <v>-</v>
      </c>
      <c r="D285" s="436"/>
      <c r="E285" s="428"/>
      <c r="F285" s="428"/>
      <c r="G285" s="428"/>
      <c r="H285" s="428"/>
      <c r="I285" s="428"/>
      <c r="J285" s="428"/>
      <c r="K285" s="428"/>
      <c r="L285" s="428"/>
      <c r="X285" s="431"/>
      <c r="Z285" s="432"/>
      <c r="AA285" s="432"/>
      <c r="AB285" s="432"/>
    </row>
    <row r="286" spans="1:28" s="430" customFormat="1" x14ac:dyDescent="0.2">
      <c r="A286" s="428"/>
      <c r="B286" s="428"/>
      <c r="C286" s="428"/>
      <c r="D286" s="428"/>
      <c r="E286" s="428"/>
      <c r="F286" s="428"/>
      <c r="G286" s="428"/>
      <c r="H286" s="428"/>
      <c r="I286" s="428"/>
      <c r="J286" s="428"/>
      <c r="K286" s="428"/>
      <c r="L286" s="428"/>
      <c r="X286" s="431"/>
      <c r="Z286" s="432"/>
      <c r="AA286" s="432"/>
      <c r="AB286" s="432"/>
    </row>
    <row r="287" spans="1:28" s="430" customFormat="1" x14ac:dyDescent="0.2">
      <c r="A287" s="428"/>
      <c r="B287" s="428"/>
      <c r="C287" s="428"/>
      <c r="D287" s="428"/>
      <c r="E287" s="428"/>
      <c r="F287" s="428"/>
      <c r="G287" s="428"/>
      <c r="H287" s="428"/>
      <c r="I287" s="428"/>
      <c r="J287" s="428"/>
      <c r="K287" s="428"/>
      <c r="L287" s="428"/>
      <c r="X287" s="431"/>
      <c r="Z287" s="432"/>
      <c r="AA287" s="432"/>
      <c r="AB287" s="432"/>
    </row>
    <row r="288" spans="1:28" s="430" customFormat="1" x14ac:dyDescent="0.2">
      <c r="A288" s="428"/>
      <c r="B288" s="428"/>
      <c r="C288" s="428" t="s">
        <v>459</v>
      </c>
      <c r="D288" s="428"/>
      <c r="E288" s="428"/>
      <c r="F288" s="428"/>
      <c r="G288" s="428"/>
      <c r="H288" s="428"/>
      <c r="I288" s="428"/>
      <c r="J288" s="428"/>
      <c r="K288" s="428"/>
      <c r="L288" s="428"/>
      <c r="X288" s="431"/>
      <c r="Z288" s="432"/>
      <c r="AA288" s="432"/>
      <c r="AB288" s="432"/>
    </row>
    <row r="289" spans="1:34" s="430" customFormat="1" x14ac:dyDescent="0.2">
      <c r="A289" s="428"/>
      <c r="B289" s="428"/>
      <c r="C289" s="437"/>
      <c r="D289" s="437"/>
      <c r="E289" s="428"/>
      <c r="F289" s="428"/>
      <c r="G289" s="428"/>
      <c r="H289" s="428"/>
      <c r="I289" s="428"/>
      <c r="J289" s="428"/>
      <c r="K289" s="428"/>
      <c r="L289" s="428"/>
      <c r="X289" s="431"/>
      <c r="Z289" s="432"/>
      <c r="AA289" s="432"/>
      <c r="AB289" s="432"/>
    </row>
    <row r="290" spans="1:34" s="430" customFormat="1" x14ac:dyDescent="0.2">
      <c r="A290" s="428"/>
      <c r="B290" s="428"/>
      <c r="C290" s="437" t="str">
        <f>IF(F15="x",B15,"")</f>
        <v/>
      </c>
      <c r="D290" s="437"/>
      <c r="E290" s="428"/>
      <c r="F290" s="428"/>
      <c r="G290" s="428"/>
      <c r="H290" s="428"/>
      <c r="I290" s="428"/>
      <c r="J290" s="428"/>
      <c r="K290" s="428"/>
      <c r="L290" s="428"/>
      <c r="X290" s="431"/>
      <c r="Z290" s="432"/>
      <c r="AA290" s="432"/>
      <c r="AB290" s="432"/>
    </row>
    <row r="291" spans="1:34" s="430" customFormat="1" x14ac:dyDescent="0.2">
      <c r="A291" s="428"/>
      <c r="B291" s="428"/>
      <c r="C291" s="437" t="str">
        <f>IF(F17="x",B17,"")</f>
        <v/>
      </c>
      <c r="D291" s="437"/>
      <c r="E291" s="428"/>
      <c r="F291" s="428"/>
      <c r="G291" s="428"/>
      <c r="H291" s="428"/>
      <c r="I291" s="428"/>
      <c r="J291" s="428"/>
      <c r="K291" s="428"/>
      <c r="L291" s="428"/>
      <c r="X291" s="431"/>
      <c r="Z291" s="432"/>
      <c r="AA291" s="432"/>
      <c r="AB291" s="432"/>
    </row>
    <row r="292" spans="1:34" s="430" customFormat="1" x14ac:dyDescent="0.2">
      <c r="A292" s="428"/>
      <c r="B292" s="428"/>
      <c r="C292" s="437" t="str">
        <f>IF(F19="x",B19,"")</f>
        <v/>
      </c>
      <c r="D292" s="437"/>
      <c r="E292" s="428"/>
      <c r="F292" s="428"/>
      <c r="G292" s="428"/>
      <c r="H292" s="428"/>
      <c r="I292" s="428"/>
      <c r="J292" s="428"/>
      <c r="K292" s="428"/>
      <c r="L292" s="428"/>
      <c r="X292" s="431"/>
      <c r="Z292" s="432"/>
      <c r="AA292" s="432"/>
      <c r="AB292" s="432"/>
    </row>
    <row r="293" spans="1:34" s="430" customFormat="1" x14ac:dyDescent="0.2">
      <c r="A293" s="428"/>
      <c r="B293" s="428"/>
      <c r="C293" s="437" t="str">
        <f>IF(F21="x",B21,"")</f>
        <v/>
      </c>
      <c r="D293" s="437"/>
      <c r="E293" s="428"/>
      <c r="F293" s="428"/>
      <c r="G293" s="428"/>
      <c r="H293" s="428"/>
      <c r="I293" s="428"/>
      <c r="J293" s="428"/>
      <c r="K293" s="428"/>
      <c r="L293" s="428"/>
      <c r="X293" s="431"/>
      <c r="Z293" s="432"/>
      <c r="AA293" s="432"/>
      <c r="AB293" s="432"/>
    </row>
    <row r="294" spans="1:34" s="430" customFormat="1" x14ac:dyDescent="0.2">
      <c r="A294" s="428"/>
      <c r="B294" s="428"/>
      <c r="C294" s="437" t="str">
        <f>IF(F23="x",B23,"")</f>
        <v/>
      </c>
      <c r="D294" s="437"/>
      <c r="E294" s="428"/>
      <c r="F294" s="428"/>
      <c r="G294" s="428"/>
      <c r="H294" s="428"/>
      <c r="I294" s="428"/>
      <c r="J294" s="428"/>
      <c r="K294" s="428"/>
      <c r="L294" s="428"/>
      <c r="X294" s="431"/>
      <c r="Z294" s="432"/>
      <c r="AA294" s="432"/>
      <c r="AB294" s="432"/>
    </row>
    <row r="295" spans="1:34" s="430" customFormat="1" x14ac:dyDescent="0.2">
      <c r="A295" s="428"/>
      <c r="B295" s="428"/>
      <c r="C295" s="428"/>
      <c r="D295" s="428"/>
      <c r="E295" s="428"/>
      <c r="F295" s="428"/>
      <c r="G295" s="428"/>
      <c r="H295" s="428"/>
      <c r="I295" s="428"/>
      <c r="J295" s="428"/>
      <c r="K295" s="428"/>
      <c r="L295" s="428"/>
      <c r="X295" s="431"/>
      <c r="Z295" s="432"/>
      <c r="AA295" s="432"/>
      <c r="AB295" s="432"/>
    </row>
    <row r="296" spans="1:34" s="430" customFormat="1" x14ac:dyDescent="0.2">
      <c r="A296" s="428"/>
      <c r="B296" s="428"/>
      <c r="C296" s="428"/>
      <c r="D296" s="428"/>
      <c r="E296" s="428"/>
      <c r="F296" s="428"/>
      <c r="G296" s="428"/>
      <c r="H296" s="428"/>
      <c r="I296" s="428"/>
      <c r="J296" s="428"/>
      <c r="K296" s="428"/>
      <c r="L296" s="428"/>
      <c r="X296" s="431"/>
      <c r="Z296" s="432"/>
      <c r="AA296" s="432"/>
      <c r="AB296" s="432"/>
    </row>
    <row r="297" spans="1:34" s="430" customFormat="1" x14ac:dyDescent="0.2">
      <c r="A297" s="428"/>
      <c r="B297" s="428"/>
      <c r="C297" s="428"/>
      <c r="D297" s="428"/>
      <c r="E297" s="428"/>
      <c r="F297" s="428"/>
      <c r="G297" s="428"/>
      <c r="H297" s="428"/>
      <c r="I297" s="428"/>
      <c r="J297" s="428"/>
      <c r="K297" s="428"/>
      <c r="L297" s="428"/>
      <c r="X297" s="431"/>
      <c r="Z297" s="432"/>
      <c r="AA297" s="432"/>
      <c r="AB297" s="432"/>
      <c r="AD297" s="430" t="s">
        <v>788</v>
      </c>
    </row>
    <row r="298" spans="1:34" s="430" customFormat="1" x14ac:dyDescent="0.2">
      <c r="A298" s="428"/>
      <c r="B298" s="428"/>
      <c r="C298" s="428" t="s">
        <v>107</v>
      </c>
      <c r="D298" s="428"/>
      <c r="E298" s="428"/>
      <c r="F298" s="428"/>
      <c r="G298" s="428"/>
      <c r="H298" s="428"/>
      <c r="I298" s="428"/>
      <c r="J298" s="428"/>
      <c r="K298" s="428"/>
      <c r="L298" s="428"/>
      <c r="X298" s="431"/>
      <c r="Z298" s="432"/>
      <c r="AA298" s="432"/>
      <c r="AB298" s="432"/>
      <c r="AD298" s="430" t="s">
        <v>108</v>
      </c>
      <c r="AE298" s="430" t="s">
        <v>427</v>
      </c>
      <c r="AF298" s="430" t="s">
        <v>753</v>
      </c>
      <c r="AG298" s="430" t="s">
        <v>754</v>
      </c>
      <c r="AH298" s="430" t="s">
        <v>922</v>
      </c>
    </row>
    <row r="299" spans="1:34" s="430" customFormat="1" x14ac:dyDescent="0.2">
      <c r="A299" s="428"/>
      <c r="B299" s="428"/>
      <c r="C299" s="437" t="e">
        <f>INDEX(AD299:AH299,MATCH(Kanton,$AD$298:$AH$298,0))</f>
        <v>#N/A</v>
      </c>
      <c r="D299" s="437"/>
      <c r="E299" s="428"/>
      <c r="F299" s="428"/>
      <c r="G299" s="428"/>
      <c r="H299" s="428"/>
      <c r="I299" s="428"/>
      <c r="J299" s="428"/>
      <c r="K299" s="428"/>
      <c r="L299" s="428"/>
      <c r="X299" s="431"/>
      <c r="Z299" s="432"/>
      <c r="AA299" s="432"/>
      <c r="AB299" s="432"/>
      <c r="AD299" s="430" t="s">
        <v>108</v>
      </c>
      <c r="AE299" s="430" t="s">
        <v>108</v>
      </c>
      <c r="AF299" s="430" t="s">
        <v>108</v>
      </c>
      <c r="AG299" s="430" t="s">
        <v>108</v>
      </c>
      <c r="AH299" s="430" t="s">
        <v>108</v>
      </c>
    </row>
    <row r="300" spans="1:34" s="430" customFormat="1" x14ac:dyDescent="0.2">
      <c r="A300" s="428"/>
      <c r="B300" s="428" t="s">
        <v>789</v>
      </c>
      <c r="C300" s="437" t="e">
        <f>INDEX(AD300:AH300,MATCH(Kanton,$AD$298:$AH$298,0))</f>
        <v>#N/A</v>
      </c>
      <c r="D300" s="437"/>
      <c r="E300" s="428"/>
      <c r="F300" s="428"/>
      <c r="G300" s="428"/>
      <c r="H300" s="428"/>
      <c r="I300" s="428"/>
      <c r="J300" s="428"/>
      <c r="K300" s="428"/>
      <c r="L300" s="428"/>
      <c r="X300" s="431"/>
      <c r="Z300" s="432"/>
      <c r="AA300" s="432"/>
      <c r="AB300" s="432"/>
      <c r="AD300" s="430" t="s">
        <v>725</v>
      </c>
      <c r="AE300" s="430" t="s">
        <v>790</v>
      </c>
      <c r="AF300" s="430" t="s">
        <v>725</v>
      </c>
      <c r="AG300" s="430" t="s">
        <v>725</v>
      </c>
      <c r="AH300" s="430" t="s">
        <v>725</v>
      </c>
    </row>
    <row r="301" spans="1:34" s="430" customFormat="1" x14ac:dyDescent="0.2">
      <c r="A301" s="428"/>
      <c r="B301" s="428" t="s">
        <v>789</v>
      </c>
      <c r="C301" s="437" t="e">
        <f>INDEX(AD301:AH301,MATCH(Kanton,$AD$298:$AH$298,0))</f>
        <v>#N/A</v>
      </c>
      <c r="D301" s="437"/>
      <c r="E301" s="428"/>
      <c r="F301" s="428"/>
      <c r="G301" s="428"/>
      <c r="H301" s="428"/>
      <c r="I301" s="428"/>
      <c r="J301" s="428"/>
      <c r="K301" s="428"/>
      <c r="L301" s="428"/>
      <c r="X301" s="431"/>
      <c r="Z301" s="432"/>
      <c r="AA301" s="432"/>
      <c r="AB301" s="432"/>
      <c r="AD301" s="430" t="s">
        <v>725</v>
      </c>
      <c r="AE301" s="430" t="s">
        <v>725</v>
      </c>
      <c r="AF301" s="430" t="s">
        <v>725</v>
      </c>
      <c r="AG301" s="430" t="s">
        <v>787</v>
      </c>
      <c r="AH301" s="430" t="s">
        <v>725</v>
      </c>
    </row>
    <row r="302" spans="1:34" s="430" customFormat="1" x14ac:dyDescent="0.2">
      <c r="A302" s="428"/>
      <c r="B302" s="428" t="s">
        <v>789</v>
      </c>
      <c r="C302" s="437"/>
      <c r="D302" s="437"/>
      <c r="E302" s="428"/>
      <c r="F302" s="428"/>
      <c r="G302" s="428"/>
      <c r="H302" s="428"/>
      <c r="I302" s="428"/>
      <c r="J302" s="428"/>
      <c r="K302" s="428"/>
      <c r="L302" s="428"/>
      <c r="X302" s="431"/>
      <c r="Z302" s="432"/>
      <c r="AA302" s="432"/>
      <c r="AB302" s="432"/>
    </row>
    <row r="303" spans="1:34" s="430" customFormat="1" x14ac:dyDescent="0.2">
      <c r="A303" s="428"/>
      <c r="B303" s="428"/>
      <c r="C303" s="428"/>
      <c r="D303" s="428"/>
      <c r="E303" s="428"/>
      <c r="F303" s="428"/>
      <c r="G303" s="428"/>
      <c r="H303" s="428"/>
      <c r="I303" s="428"/>
      <c r="J303" s="428"/>
      <c r="K303" s="428"/>
      <c r="L303" s="428"/>
      <c r="X303" s="431"/>
      <c r="Z303" s="432"/>
      <c r="AA303" s="432"/>
      <c r="AB303" s="432"/>
    </row>
    <row r="304" spans="1:34" s="430" customFormat="1" x14ac:dyDescent="0.2">
      <c r="C304" s="430" t="s">
        <v>491</v>
      </c>
      <c r="X304" s="431"/>
      <c r="Z304" s="432"/>
      <c r="AA304" s="432"/>
      <c r="AB304" s="432"/>
    </row>
    <row r="305" spans="3:28" s="430" customFormat="1" x14ac:dyDescent="0.2">
      <c r="C305" s="438" t="str">
        <f>IF(ISTEXT(Verfasser1),Verfasser1,"")</f>
        <v/>
      </c>
      <c r="D305" s="438"/>
      <c r="E305" s="438"/>
      <c r="F305" s="438"/>
      <c r="G305" s="438"/>
      <c r="X305" s="431"/>
      <c r="Z305" s="432"/>
      <c r="AA305" s="432"/>
      <c r="AB305" s="432"/>
    </row>
    <row r="306" spans="3:28" s="430" customFormat="1" x14ac:dyDescent="0.2">
      <c r="C306" s="438" t="str">
        <f>IF(ISTEXT(Verfasser2),Verfasser2,"")</f>
        <v/>
      </c>
      <c r="D306" s="438"/>
      <c r="E306" s="438"/>
      <c r="F306" s="438"/>
      <c r="G306" s="438"/>
      <c r="X306" s="431"/>
      <c r="Z306" s="432"/>
      <c r="AA306" s="432"/>
      <c r="AB306" s="432"/>
    </row>
    <row r="307" spans="3:28" s="430" customFormat="1" x14ac:dyDescent="0.2">
      <c r="C307" s="438" t="str">
        <f>IF(ISTEXT(Verfasser3),Verfasser3,"")</f>
        <v xml:space="preserve"> </v>
      </c>
      <c r="D307" s="438"/>
      <c r="E307" s="438"/>
      <c r="F307" s="438"/>
      <c r="G307" s="438"/>
      <c r="X307" s="431"/>
      <c r="Z307" s="432"/>
      <c r="AA307" s="432"/>
      <c r="AB307" s="432"/>
    </row>
    <row r="308" spans="3:28" s="430" customFormat="1" x14ac:dyDescent="0.2">
      <c r="X308" s="431"/>
      <c r="Z308" s="432"/>
      <c r="AA308" s="432"/>
      <c r="AB308" s="432"/>
    </row>
    <row r="309" spans="3:28" s="430" customFormat="1" x14ac:dyDescent="0.2">
      <c r="C309" s="430" t="s">
        <v>914</v>
      </c>
      <c r="X309" s="431"/>
      <c r="Z309" s="432"/>
      <c r="AA309" s="432"/>
      <c r="AB309" s="432"/>
    </row>
    <row r="310" spans="3:28" s="430" customFormat="1" x14ac:dyDescent="0.2">
      <c r="C310" s="430" t="b">
        <f>IF(AND(OR(KatI=C228,KatI=C229),KatII=""),TRUE,FALSE)</f>
        <v>0</v>
      </c>
      <c r="X310" s="431"/>
      <c r="Z310" s="432"/>
      <c r="AA310" s="432"/>
      <c r="AB310" s="432"/>
    </row>
    <row r="311" spans="3:28" s="430" customFormat="1" x14ac:dyDescent="0.2">
      <c r="X311" s="431"/>
      <c r="Z311" s="432"/>
      <c r="AA311" s="432"/>
      <c r="AB311" s="432"/>
    </row>
    <row r="312" spans="3:28" s="430" customFormat="1" x14ac:dyDescent="0.2">
      <c r="X312" s="431"/>
      <c r="Z312" s="432"/>
      <c r="AA312" s="432"/>
      <c r="AB312" s="432"/>
    </row>
    <row r="313" spans="3:28" s="430" customFormat="1" x14ac:dyDescent="0.2">
      <c r="X313" s="431"/>
      <c r="Z313" s="432"/>
      <c r="AA313" s="432"/>
      <c r="AB313" s="432"/>
    </row>
    <row r="314" spans="3:28" s="439" customFormat="1" ht="14.25" thickBot="1" x14ac:dyDescent="0.25">
      <c r="X314" s="440"/>
      <c r="Z314" s="441"/>
      <c r="AA314" s="441"/>
      <c r="AB314" s="441"/>
    </row>
  </sheetData>
  <sheetProtection algorithmName="SHA-512" hashValue="jUrG8zixsniGRN6/B5GhLi9u/2kiy5td1vdLqBI+rWcAiXOwP6OZEkQkE8p/bMAolbWCMimhyJquAkKDtHkQrA==" saltValue="1UbDYb1lNegk/W16lT4fgA==" spinCount="100000" sheet="1" formatRows="0"/>
  <mergeCells count="35">
    <mergeCell ref="AD99:AD100"/>
    <mergeCell ref="AE99:AE100"/>
    <mergeCell ref="E107:J107"/>
    <mergeCell ref="E111:J111"/>
    <mergeCell ref="E113:J113"/>
    <mergeCell ref="U98:W99"/>
    <mergeCell ref="U51:W51"/>
    <mergeCell ref="U75:W75"/>
    <mergeCell ref="N198:W198"/>
    <mergeCell ref="A122:W181"/>
    <mergeCell ref="A118:W120"/>
    <mergeCell ref="AH122:AO134"/>
    <mergeCell ref="U5:X5"/>
    <mergeCell ref="U7:X7"/>
    <mergeCell ref="U9:X9"/>
    <mergeCell ref="F7:J7"/>
    <mergeCell ref="F9:J9"/>
    <mergeCell ref="F5:H5"/>
    <mergeCell ref="X39:X41"/>
    <mergeCell ref="N114:W114"/>
    <mergeCell ref="U111:U113"/>
    <mergeCell ref="L103:W107"/>
    <mergeCell ref="E103:J103"/>
    <mergeCell ref="E105:J105"/>
    <mergeCell ref="H15:J27"/>
    <mergeCell ref="A39:H39"/>
    <mergeCell ref="R37:U37"/>
    <mergeCell ref="F29:P29"/>
    <mergeCell ref="J39:P39"/>
    <mergeCell ref="F37:P37"/>
    <mergeCell ref="R31:U31"/>
    <mergeCell ref="R33:U33"/>
    <mergeCell ref="F35:P35"/>
    <mergeCell ref="F33:P33"/>
    <mergeCell ref="F31:P31"/>
  </mergeCells>
  <phoneticPr fontId="7" type="noConversion"/>
  <conditionalFormatting sqref="A39:H39">
    <cfRule type="containsText" dxfId="258" priority="24" operator="containsText" text="Standardlösungskombination nicht zulässig">
      <formula>NOT(ISERROR(SEARCH("Standardlösungskombination nicht zulässig",A39)))</formula>
    </cfRule>
  </conditionalFormatting>
  <conditionalFormatting sqref="A122:W181">
    <cfRule type="expression" dxfId="257" priority="12">
      <formula>$J$5="Nidwalden"</formula>
    </cfRule>
  </conditionalFormatting>
  <conditionalFormatting sqref="B25:F25">
    <cfRule type="expression" dxfId="256" priority="8">
      <formula>$Z$25=0</formula>
    </cfRule>
  </conditionalFormatting>
  <conditionalFormatting sqref="B51:W51">
    <cfRule type="expression" dxfId="255" priority="9">
      <formula>$J$5="Zug"</formula>
    </cfRule>
    <cfRule type="expression" dxfId="254" priority="14">
      <formula>$J$5="Obwalden"</formula>
    </cfRule>
    <cfRule type="expression" dxfId="253" priority="15">
      <formula>$J$5="Nidwalden"</formula>
    </cfRule>
    <cfRule type="expression" dxfId="252" priority="17">
      <formula>$J$5="Luzern"</formula>
    </cfRule>
  </conditionalFormatting>
  <conditionalFormatting sqref="B89:W89">
    <cfRule type="expression" dxfId="251" priority="10">
      <formula>$J$5="Zug"</formula>
    </cfRule>
    <cfRule type="expression" dxfId="250" priority="13">
      <formula>$J$5="Schwyz"</formula>
    </cfRule>
    <cfRule type="expression" dxfId="249" priority="16">
      <formula>$J$5="Luzern"</formula>
    </cfRule>
  </conditionalFormatting>
  <conditionalFormatting sqref="E103 E105 E107 H106">
    <cfRule type="containsText" dxfId="248" priority="237" operator="containsText" text="erfüllt">
      <formula>NOT(ISERROR(SEARCH("erfüllt",E103)))</formula>
    </cfRule>
  </conditionalFormatting>
  <conditionalFormatting sqref="E103 E105 E107">
    <cfRule type="containsText" dxfId="247" priority="236" operator="containsText" text="erfüllt">
      <formula>NOT(ISERROR(SEARCH("erfüllt",E103)))</formula>
    </cfRule>
    <cfRule type="containsText" dxfId="246" priority="235" operator="containsText" text="erfüllt">
      <formula>NOT(ISERROR(SEARCH("erfüllt",E103)))</formula>
    </cfRule>
    <cfRule type="containsText" dxfId="245" priority="234" operator="containsText" text="nicht erfüllt">
      <formula>NOT(ISERROR(SEARCH("nicht erfüllt",E103)))</formula>
    </cfRule>
  </conditionalFormatting>
  <conditionalFormatting sqref="E103 E105 H106 E107">
    <cfRule type="containsText" dxfId="244" priority="238" operator="containsText" text="nicht erfüllt">
      <formula>NOT(ISERROR(SEARCH("nicht erfüllt",E103)))</formula>
    </cfRule>
  </conditionalFormatting>
  <conditionalFormatting sqref="E103 E105">
    <cfRule type="containsText" dxfId="243" priority="288" operator="containsText" text="nicht">
      <formula>NOT(ISERROR(SEARCH("nicht",E103)))</formula>
    </cfRule>
  </conditionalFormatting>
  <conditionalFormatting sqref="E107">
    <cfRule type="containsText" dxfId="242" priority="244" operator="containsText" text="nicht">
      <formula>NOT(ISERROR(SEARCH("nicht",E107)))</formula>
    </cfRule>
  </conditionalFormatting>
  <conditionalFormatting sqref="H15">
    <cfRule type="containsText" dxfId="241" priority="87" operator="containsText" text="Vorhaben nicht logisch">
      <formula>NOT(ISERROR(SEARCH("Vorhaben nicht logisch",H15)))</formula>
    </cfRule>
  </conditionalFormatting>
  <conditionalFormatting sqref="J39">
    <cfRule type="containsText" dxfId="240" priority="23" operator="containsText" text="EN-105 erforderlich">
      <formula>NOT(ISERROR(SEARCH("EN-105 erforderlich",J39)))</formula>
    </cfRule>
  </conditionalFormatting>
  <conditionalFormatting sqref="L27 V27">
    <cfRule type="expression" dxfId="239" priority="365">
      <formula>$Z$23&lt;&gt;1</formula>
    </cfRule>
  </conditionalFormatting>
  <conditionalFormatting sqref="L116:L117 L121">
    <cfRule type="cellIs" dxfId="238" priority="21" operator="equal">
      <formula>"isttext($T$94)"</formula>
    </cfRule>
  </conditionalFormatting>
  <conditionalFormatting sqref="L25:V25">
    <cfRule type="expression" dxfId="237" priority="2">
      <formula>$F$23="x"</formula>
    </cfRule>
    <cfRule type="expression" dxfId="236" priority="1">
      <formula>NOT($J$5="Schwyz")</formula>
    </cfRule>
  </conditionalFormatting>
  <conditionalFormatting sqref="L111:W113">
    <cfRule type="expression" dxfId="235" priority="11">
      <formula>$J$5="Nidwalden"</formula>
    </cfRule>
  </conditionalFormatting>
  <conditionalFormatting sqref="P43:R97 S65">
    <cfRule type="containsText" dxfId="234" priority="250" operator="containsText" text="✓">
      <formula>NOT(ISERROR(SEARCH("✓",P43)))</formula>
    </cfRule>
    <cfRule type="containsText" dxfId="233" priority="249" operator="containsText" text="✘">
      <formula>NOT(ISERROR(SEARCH("✘",P43)))</formula>
    </cfRule>
  </conditionalFormatting>
  <conditionalFormatting sqref="Q33:R33">
    <cfRule type="containsText" dxfId="232" priority="86" operator="containsText" text="nachweis Minergie wählen">
      <formula>NOT(ISERROR(SEARCH("nachweis Minergie wählen",Q33)))</formula>
    </cfRule>
  </conditionalFormatting>
  <conditionalFormatting sqref="R33 X21">
    <cfRule type="containsText" dxfId="231" priority="243" operator="containsText" text="Angabe fehlt">
      <formula>NOT(ISERROR(SEARCH("Angabe fehlt",R21)))</formula>
    </cfRule>
    <cfRule type="containsText" dxfId="230" priority="261" operator="containsText" text="Systemnachweis erford.">
      <formula>NOT(ISERROR(SEARCH("Systemnachweis erford.",R21)))</formula>
    </cfRule>
    <cfRule type="containsText" dxfId="229" priority="252" operator="containsText" text="nur für Wohnbauten">
      <formula>NOT(ISERROR(SEARCH("nur für Wohnbauten",R21)))</formula>
    </cfRule>
  </conditionalFormatting>
  <conditionalFormatting sqref="R33:U33">
    <cfRule type="containsText" dxfId="228" priority="25" operator="containsText" text="Keine Bagatellerweiterung!">
      <formula>NOT(ISERROR(SEARCH("Keine Bagatellerweiterung!",R33)))</formula>
    </cfRule>
  </conditionalFormatting>
  <conditionalFormatting sqref="S67">
    <cfRule type="containsText" dxfId="227" priority="229" operator="containsText" text="✘">
      <formula>NOT(ISERROR(SEARCH("✘",S67)))</formula>
    </cfRule>
    <cfRule type="containsText" dxfId="226" priority="231" operator="containsText" text="✓">
      <formula>NOT(ISERROR(SEARCH("✓",S67)))</formula>
    </cfRule>
    <cfRule type="containsText" dxfId="225" priority="228" operator="containsText" text="✓">
      <formula>NOT(ISERROR(SEARCH("✓",S67)))</formula>
    </cfRule>
  </conditionalFormatting>
  <conditionalFormatting sqref="S69">
    <cfRule type="containsText" dxfId="224" priority="200" operator="containsText" text="✓">
      <formula>NOT(ISERROR(SEARCH("✓",S69)))</formula>
    </cfRule>
    <cfRule type="containsText" dxfId="223" priority="201" operator="containsText" text="✘">
      <formula>NOT(ISERROR(SEARCH("✘",S69)))</formula>
    </cfRule>
    <cfRule type="containsText" dxfId="222" priority="203" operator="containsText" text="✓">
      <formula>NOT(ISERROR(SEARCH("✓",S69)))</formula>
    </cfRule>
  </conditionalFormatting>
  <conditionalFormatting sqref="S71">
    <cfRule type="containsText" dxfId="221" priority="196" operator="containsText" text="✓">
      <formula>NOT(ISERROR(SEARCH("✓",S71)))</formula>
    </cfRule>
    <cfRule type="containsText" dxfId="220" priority="197" operator="containsText" text="✘">
      <formula>NOT(ISERROR(SEARCH("✘",S71)))</formula>
    </cfRule>
    <cfRule type="containsText" dxfId="219" priority="199" operator="containsText" text="✓">
      <formula>NOT(ISERROR(SEARCH("✓",S71)))</formula>
    </cfRule>
  </conditionalFormatting>
  <conditionalFormatting sqref="S79">
    <cfRule type="containsText" dxfId="218" priority="227" operator="containsText" text="✓">
      <formula>NOT(ISERROR(SEARCH("✓",S79)))</formula>
    </cfRule>
    <cfRule type="containsText" dxfId="217" priority="225" operator="containsText" text="✘">
      <formula>NOT(ISERROR(SEARCH("✘",S79)))</formula>
    </cfRule>
    <cfRule type="containsText" dxfId="216" priority="224" operator="containsText" text="✓">
      <formula>NOT(ISERROR(SEARCH("✓",S79)))</formula>
    </cfRule>
  </conditionalFormatting>
  <conditionalFormatting sqref="S83">
    <cfRule type="containsText" dxfId="215" priority="239" operator="containsText" text="✓">
      <formula>NOT(ISERROR(SEARCH("✓",S83)))</formula>
    </cfRule>
    <cfRule type="containsText" dxfId="214" priority="240" operator="containsText" text="✓">
      <formula>NOT(ISERROR(SEARCH("✓",S83)))</formula>
    </cfRule>
    <cfRule type="containsText" dxfId="213" priority="241" operator="containsText" text="✘">
      <formula>NOT(ISERROR(SEARCH("✘",S83)))</formula>
    </cfRule>
    <cfRule type="containsText" dxfId="212" priority="242" operator="containsText" text="✓">
      <formula>NOT(ISERROR(SEARCH("✓",S83)))</formula>
    </cfRule>
  </conditionalFormatting>
  <conditionalFormatting sqref="S87">
    <cfRule type="containsText" dxfId="211" priority="220" operator="containsText" text="✓">
      <formula>NOT(ISERROR(SEARCH("✓",S87)))</formula>
    </cfRule>
    <cfRule type="containsText" dxfId="210" priority="223" operator="containsText" text="✓">
      <formula>NOT(ISERROR(SEARCH("✓",S87)))</formula>
    </cfRule>
    <cfRule type="containsText" dxfId="209" priority="221" operator="containsText" text="✘">
      <formula>NOT(ISERROR(SEARCH("✘",S87)))</formula>
    </cfRule>
  </conditionalFormatting>
  <conditionalFormatting sqref="S89">
    <cfRule type="containsText" dxfId="208" priority="217" operator="containsText" text="✘">
      <formula>NOT(ISERROR(SEARCH("✘",S89)))</formula>
    </cfRule>
    <cfRule type="containsText" dxfId="207" priority="219" operator="containsText" text="✓">
      <formula>NOT(ISERROR(SEARCH("✓",S89)))</formula>
    </cfRule>
    <cfRule type="containsText" dxfId="206" priority="216" operator="containsText" text="✓">
      <formula>NOT(ISERROR(SEARCH("✓",S89)))</formula>
    </cfRule>
  </conditionalFormatting>
  <conditionalFormatting sqref="S91">
    <cfRule type="containsText" dxfId="205" priority="215" operator="containsText" text="✓">
      <formula>NOT(ISERROR(SEARCH("✓",S91)))</formula>
    </cfRule>
    <cfRule type="containsText" dxfId="204" priority="213" operator="containsText" text="✘">
      <formula>NOT(ISERROR(SEARCH("✘",S91)))</formula>
    </cfRule>
    <cfRule type="containsText" dxfId="203" priority="212" operator="containsText" text="✓">
      <formula>NOT(ISERROR(SEARCH("✓",S91)))</formula>
    </cfRule>
  </conditionalFormatting>
  <conditionalFormatting sqref="S93">
    <cfRule type="containsText" dxfId="202" priority="211" operator="containsText" text="✓">
      <formula>NOT(ISERROR(SEARCH("✓",S93)))</formula>
    </cfRule>
    <cfRule type="containsText" dxfId="201" priority="209" operator="containsText" text="✘">
      <formula>NOT(ISERROR(SEARCH("✘",S93)))</formula>
    </cfRule>
    <cfRule type="containsText" dxfId="200" priority="208" operator="containsText" text="✓">
      <formula>NOT(ISERROR(SEARCH("✓",S93)))</formula>
    </cfRule>
  </conditionalFormatting>
  <conditionalFormatting sqref="X19 R31">
    <cfRule type="containsText" dxfId="199" priority="251" operator="containsText" text="nicht zulässig">
      <formula>NOT(ISERROR(SEARCH("nicht zulässig",R19)))</formula>
    </cfRule>
    <cfRule type="containsText" dxfId="198" priority="248" operator="containsText" text="Angabe fehlt">
      <formula>NOT(ISERROR(SEARCH("Angabe fehlt",R19)))</formula>
    </cfRule>
  </conditionalFormatting>
  <dataValidations count="10">
    <dataValidation type="list" allowBlank="1" showInputMessage="1" showErrorMessage="1" sqref="U15 U21 U19 U17" xr:uid="{00000000-0002-0000-0000-000000000000}">
      <formula1>$C$226:$C$239</formula1>
    </dataValidation>
    <dataValidation type="list" allowBlank="1" showInputMessage="1" showErrorMessage="1" sqref="N55 N97 L100 N100 L121 N43 N79 N87 N89 F15 F17 F19 F21 N121 N47 N93 N59 N63 N65 N57 N69 N49:N52 N10:N12 N91 N83 N75 N67 N71 L10:L12 L117 N115:N117 N95 F23:F25 V23:V27" xr:uid="{00000000-0002-0000-0000-000001000000}">
      <formula1>$A$207:$A$208</formula1>
    </dataValidation>
    <dataValidation type="list" allowBlank="1" showInputMessage="1" showErrorMessage="1" sqref="H262" xr:uid="{00000000-0002-0000-0000-000002000000}">
      <formula1>$C$264:$C$267</formula1>
    </dataValidation>
    <dataValidation type="list" allowBlank="1" showInputMessage="1" showErrorMessage="1" sqref="X17 U18:V18" xr:uid="{00000000-0002-0000-0000-000003000000}">
      <formula1>$C$227:$C$239</formula1>
    </dataValidation>
    <dataValidation type="list" allowBlank="1" showInputMessage="1" showErrorMessage="1" sqref="F31:P31" xr:uid="{516A53B4-65A4-4358-BFF0-587A65022833}">
      <formula1>$C$241:$C$246</formula1>
    </dataValidation>
    <dataValidation type="list" allowBlank="1" showInputMessage="1" showErrorMessage="1" sqref="F37" xr:uid="{33EE5EE9-A66F-4BAB-9FDE-FA3CD09610B4}">
      <formula1>$C$248:$C$259</formula1>
    </dataValidation>
    <dataValidation type="list" allowBlank="1" showInputMessage="1" showErrorMessage="1" sqref="F35" xr:uid="{2D4F59B7-C7E3-48AE-AF34-C38A6BD99A2D}">
      <formula1>$C$215:$C$225</formula1>
    </dataValidation>
    <dataValidation type="list" allowBlank="1" showInputMessage="1" showErrorMessage="1" sqref="F33:P33" xr:uid="{C361395C-AE6E-4EE9-BA2F-1FEE3850BA2F}">
      <formula1>$C$207:$C$213</formula1>
    </dataValidation>
    <dataValidation type="list" allowBlank="1" showInputMessage="1" showErrorMessage="1" sqref="J5" xr:uid="{E7B978B0-84F9-4960-A31D-6359D57B1946}">
      <formula1>$C$264:$C$270</formula1>
    </dataValidation>
    <dataValidation type="list" allowBlank="1" showInputMessage="1" showErrorMessage="1" sqref="L65 L67 L69 L71 L79 L87 L89 L91 L93 L95" xr:uid="{5C7B7C65-B01A-44D3-9219-A53C758A7866}">
      <formula1>$A$207:$A$209</formula1>
    </dataValidation>
  </dataValidations>
  <hyperlinks>
    <hyperlink ref="B47" location="Bem_101a" display="§" xr:uid="{6E827DBD-352B-4C05-9DA0-C77E6A2AD73B}"/>
    <hyperlink ref="B49" location="'EN-101b'!A1" display="§" xr:uid="{CDEBB279-C77A-47F7-AB77-09AC47C9298E}"/>
    <hyperlink ref="B55" location="Bem_102aN" display="§" xr:uid="{557568B8-4699-4C47-B2B2-7114A4E85FD4}"/>
    <hyperlink ref="B57" location="Bem_102aU" display="§" xr:uid="{C497AD2A-BCB3-4F23-91C8-897144408C12}"/>
    <hyperlink ref="B59" location="Bem_102b" display="§" xr:uid="{99425385-BCD0-47D2-AF37-F2D2ADD9D3CE}"/>
    <hyperlink ref="B65" location="'EN-105'!A1" display="§" xr:uid="{8DB3F866-F0F7-423C-AB98-6D98EC79203C}"/>
    <hyperlink ref="B63" location="'EN-103'!A1" display="§" xr:uid="{DC7CCFE3-BAF5-42DE-A118-3ABFA50057CC}"/>
    <hyperlink ref="B67" location="Bem_110" display="§" xr:uid="{1004666E-4BA0-482B-8489-D70D066F30D5}"/>
    <hyperlink ref="B69" location="Bem_134" display="§" xr:uid="{2042F8BF-FB67-468A-B783-0EE644635264}"/>
    <hyperlink ref="B71" location="'EN-135'!A1" display="§" xr:uid="{57104E23-9794-4B36-AAF2-CCE0FA52DA43}"/>
    <hyperlink ref="B79" location="Bem_111" display="§" xr:uid="{F873B059-93E7-4B4A-B21C-270F25966637}"/>
    <hyperlink ref="B87" location="'EN-112'!A1" display="§" xr:uid="{348229A9-6D38-4321-803A-0CC435F152A2}"/>
    <hyperlink ref="B89" location="'EN-130'!A1" display="§" xr:uid="{90A079EF-62D2-4A7B-8E9B-AE1CA719D2F3}"/>
    <hyperlink ref="B91" location="'EN-131'!A1" display="§" xr:uid="{5F50D059-5C0E-46A2-BDC4-B9B12E05C839}"/>
    <hyperlink ref="B93" location="'EN-132'!A1" display="§" xr:uid="{F14BBB02-0CCA-4C95-AAB2-DC8D0BEDE2A1}"/>
    <hyperlink ref="B95" location="'EN-133'!A1" display="§" xr:uid="{97B5AD02-4EAE-4335-B24A-9A2761D48654}"/>
    <hyperlink ref="W1" r:id="rId1" xr:uid="{51BBF58A-3EFE-43E2-AFD2-95135CDFC2D0}"/>
    <hyperlink ref="B51" location="'EN-101c'!A1" display="§" xr:uid="{35476668-35A8-4FEF-8835-CEC9C840A9C5}"/>
    <hyperlink ref="B97" location="BA!A1" display="§" xr:uid="{2A9FAD41-609F-4A99-A4E1-5284FA1FE0B3}"/>
  </hyperlinks>
  <pageMargins left="0.59055118110236227" right="0.59055118110236227" top="1.1417322834645669" bottom="1.1417322834645669" header="0.31496062992125984" footer="0.31496062992125984"/>
  <pageSetup paperSize="9" scale="67"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 r:id="rId4"/>
  <legacyDrawingHF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sheetPr>
  <dimension ref="A1:S106"/>
  <sheetViews>
    <sheetView showGridLines="0" zoomScaleNormal="100" zoomScaleSheetLayoutView="55" zoomScalePageLayoutView="70" workbookViewId="0"/>
  </sheetViews>
  <sheetFormatPr baseColWidth="10" defaultColWidth="10.875" defaultRowHeight="13.5" x14ac:dyDescent="0.2"/>
  <cols>
    <col min="1" max="2" width="4.375" style="3" customWidth="1"/>
    <col min="3" max="3" width="21.5" style="3" customWidth="1"/>
    <col min="4" max="4" width="31.62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0.75" style="3" customWidth="1"/>
    <col min="14" max="14" width="45.25" style="3" customWidth="1"/>
    <col min="15" max="16384" width="10.875" style="3"/>
  </cols>
  <sheetData>
    <row r="1" spans="1:16" s="22" customFormat="1" ht="18" x14ac:dyDescent="0.25">
      <c r="A1" s="6" t="s">
        <v>81</v>
      </c>
      <c r="B1" s="6"/>
      <c r="N1" s="117" t="s">
        <v>503</v>
      </c>
      <c r="P1" s="23"/>
    </row>
    <row r="2" spans="1:16" s="22" customFormat="1" ht="18" x14ac:dyDescent="0.25">
      <c r="A2" s="6" t="s">
        <v>96</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97" t="str">
        <f>IF(ISTEXT(Gemeinde),Gemeinde,"")</f>
        <v/>
      </c>
      <c r="E5" s="16"/>
      <c r="F5" s="18"/>
      <c r="G5" s="18"/>
      <c r="H5" s="18"/>
      <c r="I5" s="18"/>
      <c r="J5" s="19"/>
      <c r="K5" s="16"/>
      <c r="L5" s="19"/>
      <c r="M5" s="16"/>
      <c r="N5" s="16"/>
    </row>
    <row r="6" spans="1:16" ht="2.1" customHeight="1" x14ac:dyDescent="0.2">
      <c r="D6" s="96"/>
      <c r="F6" s="7"/>
      <c r="G6" s="7"/>
      <c r="H6" s="7"/>
      <c r="I6" s="7"/>
      <c r="J6" s="8"/>
      <c r="L6" s="8"/>
    </row>
    <row r="7" spans="1:16" x14ac:dyDescent="0.2">
      <c r="B7" s="3" t="s">
        <v>63</v>
      </c>
      <c r="D7" s="16" t="str">
        <f>IF(ISTEXT(Bauvorhaben),Bauvorhaben,"")</f>
        <v/>
      </c>
      <c r="E7" s="16"/>
      <c r="F7" s="18"/>
      <c r="G7" s="18"/>
      <c r="H7" s="18"/>
      <c r="I7" s="18"/>
      <c r="J7" s="19"/>
      <c r="K7" s="16"/>
      <c r="L7" s="19"/>
      <c r="M7" s="16"/>
      <c r="N7" s="16"/>
    </row>
    <row r="8" spans="1:16" ht="2.1" customHeight="1" x14ac:dyDescent="0.2">
      <c r="F8" s="7"/>
      <c r="G8" s="7"/>
      <c r="H8" s="7"/>
      <c r="I8" s="7"/>
      <c r="J8" s="8"/>
      <c r="L8" s="8"/>
    </row>
    <row r="9" spans="1:16" x14ac:dyDescent="0.2">
      <c r="B9" s="38" t="s">
        <v>64</v>
      </c>
      <c r="C9" s="38"/>
      <c r="D9" s="217" t="s">
        <v>491</v>
      </c>
      <c r="E9" s="16"/>
      <c r="F9" s="16"/>
      <c r="G9" s="16"/>
      <c r="H9" s="16"/>
      <c r="I9" s="16"/>
      <c r="J9" s="16"/>
      <c r="K9" s="16"/>
      <c r="L9" s="16"/>
      <c r="M9" s="16"/>
      <c r="N9" s="16"/>
    </row>
    <row r="10" spans="1:16" ht="2.1" customHeight="1" x14ac:dyDescent="0.2">
      <c r="F10" s="7"/>
      <c r="G10" s="7"/>
      <c r="H10" s="7"/>
      <c r="I10" s="7"/>
      <c r="J10" s="8"/>
      <c r="L10" s="8"/>
    </row>
    <row r="11" spans="1:16" x14ac:dyDescent="0.2">
      <c r="B11" s="3" t="s">
        <v>65</v>
      </c>
      <c r="D11" s="16" t="str">
        <f>IF(ISTEXT(Kontrollbeauftragter),Kontrollbeauftragter,"")</f>
        <v/>
      </c>
      <c r="E11" s="16"/>
      <c r="F11" s="18"/>
      <c r="G11" s="18"/>
      <c r="H11" s="18"/>
      <c r="I11" s="18"/>
      <c r="J11" s="19"/>
      <c r="K11" s="16"/>
      <c r="L11" s="19"/>
      <c r="M11" s="16"/>
      <c r="N11" s="16"/>
    </row>
    <row r="12" spans="1:16" ht="20.100000000000001" customHeight="1" x14ac:dyDescent="0.2"/>
    <row r="13" spans="1:16" ht="63.95" customHeight="1" x14ac:dyDescent="0.2">
      <c r="A13" s="2" t="s">
        <v>444</v>
      </c>
      <c r="B13" s="2"/>
      <c r="F13" s="7" t="s">
        <v>20</v>
      </c>
      <c r="G13" s="7"/>
      <c r="H13" s="7" t="s">
        <v>21</v>
      </c>
      <c r="I13" s="7"/>
      <c r="J13" s="8" t="s">
        <v>19</v>
      </c>
      <c r="L13" s="8" t="s">
        <v>27</v>
      </c>
      <c r="N13" s="3" t="s">
        <v>16</v>
      </c>
    </row>
    <row r="14" spans="1:16" ht="1.5" customHeight="1" x14ac:dyDescent="0.2">
      <c r="A14" s="2"/>
      <c r="B14" s="2"/>
      <c r="F14" s="7"/>
      <c r="G14" s="7"/>
      <c r="H14" s="7"/>
      <c r="I14" s="7"/>
      <c r="J14" s="8"/>
      <c r="L14" s="8"/>
    </row>
    <row r="15" spans="1:16" ht="13.5" customHeight="1" x14ac:dyDescent="0.2">
      <c r="A15" s="2"/>
      <c r="B15" s="3" t="s">
        <v>736</v>
      </c>
      <c r="F15" s="30" t="s">
        <v>43</v>
      </c>
      <c r="H15" s="12" t="str">
        <f>IF(J15="x","-",IF(F15="x","-","x"))</f>
        <v>x</v>
      </c>
      <c r="I15" s="7"/>
      <c r="J15" s="8"/>
      <c r="L15" s="8"/>
    </row>
    <row r="16" spans="1:16" ht="2.1" customHeight="1" x14ac:dyDescent="0.2">
      <c r="A16" s="2"/>
      <c r="B16" s="2"/>
      <c r="F16" s="7"/>
      <c r="G16" s="7"/>
      <c r="H16" s="7"/>
      <c r="I16" s="7"/>
      <c r="J16" s="8"/>
      <c r="L16" s="8"/>
    </row>
    <row r="17" spans="1:19" x14ac:dyDescent="0.2">
      <c r="B17" s="3" t="s">
        <v>85</v>
      </c>
      <c r="F17" s="30" t="s">
        <v>43</v>
      </c>
      <c r="H17" s="12" t="str">
        <f>IF(J17="x","-",IF(F17="x","-","x"))</f>
        <v>x</v>
      </c>
      <c r="J17" s="27"/>
      <c r="L17" s="7"/>
      <c r="M17" s="51" t="str">
        <f>IF(AND(D34="befreit",H17="x"),"Planunterlagen erforderlich","")</f>
        <v/>
      </c>
      <c r="N17" s="25"/>
    </row>
    <row r="18" spans="1:19" ht="2.1" customHeight="1" x14ac:dyDescent="0.2">
      <c r="F18" s="7"/>
      <c r="H18" s="7"/>
      <c r="J18" s="7"/>
      <c r="L18" s="7"/>
    </row>
    <row r="19" spans="1:19" x14ac:dyDescent="0.2">
      <c r="B19" s="3" t="s">
        <v>94</v>
      </c>
      <c r="F19" s="30" t="s">
        <v>43</v>
      </c>
      <c r="H19" s="12" t="str">
        <f>IF(J19="x","-",IF(F19="x","-","x"))</f>
        <v>x</v>
      </c>
      <c r="J19" s="30" t="s">
        <v>43</v>
      </c>
      <c r="L19" s="7"/>
      <c r="N19" s="25"/>
    </row>
    <row r="20" spans="1:19" ht="2.1" customHeight="1" x14ac:dyDescent="0.2">
      <c r="F20" s="7"/>
      <c r="H20" s="7"/>
      <c r="J20" s="7"/>
      <c r="L20" s="7"/>
    </row>
    <row r="21" spans="1:19" x14ac:dyDescent="0.2">
      <c r="B21" s="3" t="s">
        <v>175</v>
      </c>
      <c r="F21" s="30" t="s">
        <v>43</v>
      </c>
      <c r="H21" s="12" t="str">
        <f>IF(J21="x","-",IF(F21="x","-","x"))</f>
        <v>x</v>
      </c>
      <c r="J21" s="30" t="s">
        <v>43</v>
      </c>
      <c r="L21" s="7"/>
      <c r="N21" s="25"/>
      <c r="S21" s="3" t="str">
        <f>IF(OR(AND(C33="-", Q21=C153),OR(Q17="III – Verwaltung",Q19="III – Verwaltung")),"nicht zulässig", IF(AND(OR(E17="x",E19="x",E21="x"),Q21=""),"Angabe fehlt",""  ))</f>
        <v/>
      </c>
    </row>
    <row r="22" spans="1:19" ht="2.1" customHeight="1" x14ac:dyDescent="0.2">
      <c r="F22" s="7"/>
      <c r="H22" s="7"/>
      <c r="J22" s="7"/>
      <c r="L22" s="7"/>
    </row>
    <row r="23" spans="1:19" x14ac:dyDescent="0.2">
      <c r="B23" s="3" t="s">
        <v>95</v>
      </c>
      <c r="F23" s="30" t="s">
        <v>43</v>
      </c>
      <c r="H23" s="12" t="str">
        <f>IF(J23="x","-",IF(F23="x","-","x"))</f>
        <v>x</v>
      </c>
      <c r="J23" s="30" t="s">
        <v>43</v>
      </c>
      <c r="L23" s="7"/>
      <c r="N23" s="25"/>
    </row>
    <row r="24" spans="1:19" ht="63.95" customHeight="1" x14ac:dyDescent="0.2">
      <c r="A24" s="2" t="s">
        <v>436</v>
      </c>
      <c r="B24" s="2"/>
    </row>
    <row r="25" spans="1:19" ht="2.1" customHeight="1" x14ac:dyDescent="0.2">
      <c r="A25" s="2"/>
      <c r="B25" s="2"/>
      <c r="F25" s="7"/>
      <c r="G25" s="7"/>
      <c r="H25" s="7"/>
      <c r="I25" s="7"/>
      <c r="J25" s="8"/>
      <c r="L25" s="8"/>
    </row>
    <row r="26" spans="1:19" x14ac:dyDescent="0.2">
      <c r="B26" s="3" t="s">
        <v>365</v>
      </c>
      <c r="D26" s="24"/>
      <c r="F26" s="30" t="s">
        <v>43</v>
      </c>
      <c r="H26" s="12" t="str">
        <f>IF(J26="x","-",IF(F26="x","-","x"))</f>
        <v>x</v>
      </c>
      <c r="J26" s="30" t="s">
        <v>43</v>
      </c>
      <c r="L26" s="7"/>
      <c r="N26" s="25"/>
      <c r="O26" s="51"/>
    </row>
    <row r="27" spans="1:19" ht="2.1" customHeight="1" x14ac:dyDescent="0.2">
      <c r="D27" s="1"/>
      <c r="F27" s="7"/>
      <c r="H27" s="7"/>
      <c r="J27" s="7"/>
      <c r="L27" s="7"/>
    </row>
    <row r="28" spans="1:19" ht="13.9" customHeight="1" x14ac:dyDescent="0.2">
      <c r="B28" s="3" t="s">
        <v>366</v>
      </c>
      <c r="D28" s="24"/>
      <c r="F28" s="30" t="s">
        <v>43</v>
      </c>
      <c r="H28" s="12" t="str">
        <f>IF(J28="x","-",IF(F28="x","-","x"))</f>
        <v>x</v>
      </c>
      <c r="J28" s="30" t="s">
        <v>43</v>
      </c>
      <c r="L28" s="7"/>
      <c r="N28" s="49"/>
    </row>
    <row r="29" spans="1:19" ht="2.1" customHeight="1" x14ac:dyDescent="0.2">
      <c r="D29" s="1"/>
      <c r="F29" s="7"/>
      <c r="H29" s="7"/>
      <c r="J29" s="7"/>
      <c r="L29" s="7"/>
      <c r="N29" s="48"/>
    </row>
    <row r="30" spans="1:19" x14ac:dyDescent="0.2">
      <c r="B30" s="3" t="s">
        <v>82</v>
      </c>
      <c r="D30" s="24"/>
      <c r="F30" s="30" t="s">
        <v>43</v>
      </c>
      <c r="H30" s="12" t="str">
        <f>IF(J30="x","-",IF(F30="x","-","x"))</f>
        <v>x</v>
      </c>
      <c r="J30" s="30" t="s">
        <v>43</v>
      </c>
      <c r="L30" s="7"/>
      <c r="N30" s="49"/>
    </row>
    <row r="31" spans="1:19" ht="2.1" customHeight="1" x14ac:dyDescent="0.2">
      <c r="D31" s="1" t="s">
        <v>43</v>
      </c>
      <c r="F31" s="7"/>
      <c r="H31" s="7"/>
      <c r="J31" s="7"/>
      <c r="L31" s="7"/>
    </row>
    <row r="32" spans="1:19" x14ac:dyDescent="0.2">
      <c r="B32" s="3" t="s">
        <v>83</v>
      </c>
      <c r="D32" s="17" t="str">
        <f>IF('EN-Kt.'!F19="-","",IF('EN-Kt.'!F19="x",IF(D28&lt;50,"",IF(D30=0,"EBF bestehend angeben",D28/D30))))</f>
        <v/>
      </c>
      <c r="J32" s="7"/>
      <c r="L32" s="7"/>
      <c r="N32" s="49"/>
    </row>
    <row r="33" spans="1:14" ht="2.1" customHeight="1" x14ac:dyDescent="0.2">
      <c r="D33" s="1"/>
      <c r="F33" s="7"/>
      <c r="H33" s="7"/>
      <c r="J33" s="7"/>
      <c r="L33" s="7"/>
    </row>
    <row r="34" spans="1:14" x14ac:dyDescent="0.2">
      <c r="B34" s="3" t="s">
        <v>84</v>
      </c>
      <c r="D34" s="10" t="str">
        <f>IF('EN-Kt.'!F15="x","-",IF(AND(D28&lt;50,NOT(D28=0)),"befreit",IF(OR(AND(D32&gt;0.2,D28&gt;=50),D28&gt;1000,D30="",),"nicht befreit","befreit")))</f>
        <v>nicht befreit</v>
      </c>
      <c r="J34" s="7"/>
      <c r="L34" s="7"/>
      <c r="M34" s="3" t="str">
        <f>IF(D34="befreit","Bagatellerweiterung","")</f>
        <v/>
      </c>
      <c r="N34" s="25"/>
    </row>
    <row r="35" spans="1:14" ht="20.100000000000001" customHeight="1" x14ac:dyDescent="0.2"/>
    <row r="36" spans="1:14" x14ac:dyDescent="0.2">
      <c r="A36" s="2" t="s">
        <v>37</v>
      </c>
      <c r="B36" s="2"/>
    </row>
    <row r="37" spans="1:14" ht="2.1" customHeight="1" x14ac:dyDescent="0.2">
      <c r="A37" s="2"/>
      <c r="B37" s="2"/>
    </row>
    <row r="38" spans="1:14" x14ac:dyDescent="0.2">
      <c r="B38" s="3" t="s">
        <v>73</v>
      </c>
      <c r="D38" s="10" t="str">
        <f>IF(D34="befreit","-",'EN-Kt.'!F35)</f>
        <v xml:space="preserve">Wärmeerzeugung auswählen </v>
      </c>
      <c r="E38" s="4"/>
      <c r="N38" s="9" t="str">
        <f>IF(D34="nicht befreit",'EN-Kt.'!A39,"")</f>
        <v/>
      </c>
    </row>
    <row r="39" spans="1:14" ht="2.1" customHeight="1" x14ac:dyDescent="0.2">
      <c r="B39" s="4"/>
      <c r="D39" s="4"/>
      <c r="E39" s="4"/>
      <c r="F39" s="7"/>
      <c r="H39" s="7"/>
    </row>
    <row r="40" spans="1:14" x14ac:dyDescent="0.2">
      <c r="B40" s="3" t="s">
        <v>93</v>
      </c>
      <c r="D40" s="4"/>
      <c r="E40" s="4"/>
      <c r="F40" s="30" t="s">
        <v>43</v>
      </c>
      <c r="H40" s="12" t="str">
        <f>IF(J40="x","-",IF(F40="x","-","x"))</f>
        <v>x</v>
      </c>
      <c r="J40" s="30" t="s">
        <v>43</v>
      </c>
      <c r="L40" s="30" t="s">
        <v>43</v>
      </c>
      <c r="N40" s="25"/>
    </row>
    <row r="41" spans="1:14" ht="2.1" customHeight="1" x14ac:dyDescent="0.2">
      <c r="B41" s="4"/>
      <c r="D41" s="4"/>
      <c r="E41" s="4"/>
      <c r="F41" s="7"/>
      <c r="H41" s="7"/>
      <c r="J41" s="7"/>
    </row>
    <row r="42" spans="1:14" x14ac:dyDescent="0.2">
      <c r="B42" s="3" t="s">
        <v>357</v>
      </c>
      <c r="D42" s="4"/>
      <c r="E42" s="4"/>
      <c r="F42" s="30" t="s">
        <v>43</v>
      </c>
      <c r="H42" s="12" t="str">
        <f>IF(J42="x","-",IF(F42="x","-","x"))</f>
        <v>x</v>
      </c>
      <c r="J42" s="30" t="s">
        <v>43</v>
      </c>
      <c r="L42" s="7"/>
      <c r="N42" s="25"/>
    </row>
    <row r="43" spans="1:14" ht="2.1" customHeight="1" x14ac:dyDescent="0.2">
      <c r="B43" s="4"/>
      <c r="D43" s="4"/>
      <c r="E43" s="4"/>
      <c r="F43" s="7"/>
      <c r="H43" s="7"/>
      <c r="J43" s="7"/>
    </row>
    <row r="44" spans="1:14" x14ac:dyDescent="0.2">
      <c r="B44" s="3" t="s">
        <v>86</v>
      </c>
      <c r="D44" s="4"/>
      <c r="E44" s="4"/>
      <c r="F44" s="30" t="s">
        <v>43</v>
      </c>
      <c r="H44" s="12" t="str">
        <f>IF(J44="x","-",IF(F44="x","-","x"))</f>
        <v>x</v>
      </c>
      <c r="J44" s="30" t="s">
        <v>43</v>
      </c>
      <c r="L44" s="30" t="s">
        <v>43</v>
      </c>
      <c r="N44" s="25"/>
    </row>
    <row r="45" spans="1:14" ht="2.1" customHeight="1" x14ac:dyDescent="0.2">
      <c r="B45" s="4"/>
      <c r="D45" s="4"/>
      <c r="E45" s="4"/>
      <c r="F45" s="7"/>
      <c r="H45" s="7"/>
    </row>
    <row r="46" spans="1:14" x14ac:dyDescent="0.2">
      <c r="B46" s="3" t="s">
        <v>360</v>
      </c>
      <c r="D46" s="4"/>
      <c r="E46" s="4"/>
      <c r="F46" s="30" t="s">
        <v>43</v>
      </c>
      <c r="H46" s="12" t="str">
        <f>IF(J46="x","-",IF(F46="x","-","x"))</f>
        <v>x</v>
      </c>
      <c r="J46" s="30" t="s">
        <v>43</v>
      </c>
      <c r="L46" s="7"/>
      <c r="N46" s="25"/>
    </row>
    <row r="47" spans="1:14" ht="20.100000000000001" customHeight="1" x14ac:dyDescent="0.2">
      <c r="C47" s="4"/>
      <c r="D47" s="4"/>
      <c r="E47" s="4"/>
    </row>
    <row r="48" spans="1:14" x14ac:dyDescent="0.2">
      <c r="A48" s="2" t="s">
        <v>87</v>
      </c>
      <c r="B48" s="2"/>
    </row>
    <row r="49" spans="1:16" ht="2.1" customHeight="1" x14ac:dyDescent="0.2">
      <c r="A49" s="2"/>
      <c r="B49" s="2"/>
    </row>
    <row r="50" spans="1:16" x14ac:dyDescent="0.2">
      <c r="B50" s="3" t="s">
        <v>87</v>
      </c>
      <c r="D50" s="10" t="str">
        <f>IF(D34="befreit","-",'EN-Kt.'!F37)</f>
        <v>Grundanforderung auswählen</v>
      </c>
    </row>
    <row r="51" spans="1:16" ht="2.1" customHeight="1" x14ac:dyDescent="0.2"/>
    <row r="52" spans="1:16" x14ac:dyDescent="0.2">
      <c r="B52" s="3" t="s">
        <v>361</v>
      </c>
      <c r="D52" s="20" t="str">
        <f>IF(MID(D50,5,4)="0.17",0.17,IF(MID(D50,5,4)="0.15",0.15,"-"))</f>
        <v>-</v>
      </c>
      <c r="N52" s="3" t="str">
        <f>IF(ISNUMBER(D52),"Kontrolle EN-102a","")</f>
        <v/>
      </c>
    </row>
    <row r="53" spans="1:16" ht="2.1" customHeight="1" x14ac:dyDescent="0.2">
      <c r="A53" s="2"/>
    </row>
    <row r="54" spans="1:16" x14ac:dyDescent="0.2">
      <c r="B54" s="3" t="s">
        <v>362</v>
      </c>
      <c r="D54" s="20" t="str">
        <f>IF(MID(D50,10,3)="1.0",1,IF(MID(D50,10,3)="0.8",0.8,"-"))</f>
        <v>-</v>
      </c>
      <c r="N54" s="3" t="str">
        <f>IF(ISNUMBER(D54),"Kontrolle EN-102a","")</f>
        <v/>
      </c>
    </row>
    <row r="55" spans="1:16" ht="2.1" customHeight="1" x14ac:dyDescent="0.2">
      <c r="B55" s="2"/>
    </row>
    <row r="56" spans="1:16" x14ac:dyDescent="0.2">
      <c r="B56" s="3" t="s">
        <v>78</v>
      </c>
      <c r="D56" s="20" t="str">
        <f>IF(MID(D50,5,4)="Syst","Systemnachweis","-")</f>
        <v>-</v>
      </c>
      <c r="N56" s="3" t="str">
        <f>IF(D56="Systemnachweis","Kontrolle EN-102b","")</f>
        <v/>
      </c>
    </row>
    <row r="57" spans="1:16" ht="2.1" customHeight="1" x14ac:dyDescent="0.2">
      <c r="A57" s="2"/>
      <c r="F57" s="7"/>
      <c r="H57" s="7"/>
    </row>
    <row r="58" spans="1:16" x14ac:dyDescent="0.2">
      <c r="B58" s="3" t="s">
        <v>88</v>
      </c>
      <c r="D58" s="21" t="str">
        <f>IF( MID(D50,1,1)="2",0.02*D28, IF(MID(D50,1,1)="6",0.07*D28, IF( MID(D50,1,1)="5",0.02*D28,"-") ))</f>
        <v>-</v>
      </c>
      <c r="F58" s="30" t="s">
        <v>43</v>
      </c>
      <c r="H58" s="12" t="str">
        <f>IF(J58="x","-",IF(F58="x","-","x"))</f>
        <v>x</v>
      </c>
      <c r="J58" s="30" t="s">
        <v>43</v>
      </c>
      <c r="L58" s="30" t="s">
        <v>43</v>
      </c>
      <c r="N58" s="25"/>
    </row>
    <row r="59" spans="1:16" ht="1.5" customHeight="1" x14ac:dyDescent="0.2">
      <c r="B59" s="2"/>
      <c r="F59" s="7"/>
      <c r="H59" s="7"/>
    </row>
    <row r="60" spans="1:16" ht="12.75" customHeight="1" x14ac:dyDescent="0.2">
      <c r="B60" s="3" t="s">
        <v>89</v>
      </c>
      <c r="D60" s="20" t="str">
        <f>IF(OR( MID(D50,1,1)="1", MID(D50,1,1)="5", MID(D50,1,1)="6"),"erforderlich","-")</f>
        <v>-</v>
      </c>
      <c r="F60" s="30" t="s">
        <v>43</v>
      </c>
      <c r="H60" s="12" t="str">
        <f>IF(J60="x","-",IF(F60="x","-","x"))</f>
        <v>x</v>
      </c>
      <c r="J60" s="30" t="s">
        <v>43</v>
      </c>
      <c r="L60" s="7"/>
      <c r="N60" s="25"/>
    </row>
    <row r="61" spans="1:16" s="34" customFormat="1" ht="78.599999999999994" customHeight="1" x14ac:dyDescent="0.2">
      <c r="C61" s="35"/>
      <c r="D61" s="35"/>
      <c r="E61" s="35"/>
      <c r="H61" s="36" t="s">
        <v>42</v>
      </c>
      <c r="N61" s="34">
        <f>MATCH("x",H17:H61,0)</f>
        <v>1</v>
      </c>
    </row>
    <row r="62" spans="1:16" s="39" customFormat="1" ht="36.75" customHeight="1" x14ac:dyDescent="0.2">
      <c r="A62" s="2" t="s">
        <v>542</v>
      </c>
      <c r="B62" s="34"/>
      <c r="C62" s="35"/>
      <c r="D62" s="35"/>
      <c r="E62" s="35"/>
      <c r="F62" s="34"/>
      <c r="G62" s="34"/>
      <c r="H62" s="36"/>
      <c r="I62" s="34"/>
      <c r="J62" s="34"/>
      <c r="K62" s="34"/>
      <c r="L62" s="34"/>
      <c r="M62" s="34"/>
      <c r="N62" s="34"/>
    </row>
    <row r="63" spans="1:16" s="39" customFormat="1" ht="1.5" customHeight="1" x14ac:dyDescent="0.2">
      <c r="A63" s="34"/>
      <c r="B63" s="34"/>
      <c r="C63" s="35"/>
      <c r="D63" s="35"/>
      <c r="E63" s="35"/>
      <c r="F63" s="34"/>
      <c r="G63" s="34"/>
      <c r="H63" s="36"/>
      <c r="I63" s="34"/>
      <c r="J63" s="34"/>
      <c r="K63" s="34"/>
      <c r="L63" s="34"/>
      <c r="M63" s="34"/>
      <c r="N63" s="34"/>
    </row>
    <row r="64" spans="1:16" s="39" customFormat="1" ht="70.5" customHeight="1" x14ac:dyDescent="0.2">
      <c r="A64" s="52"/>
      <c r="B64" s="404"/>
      <c r="C64" s="404"/>
      <c r="D64" s="404"/>
      <c r="E64" s="404"/>
      <c r="F64" s="404"/>
      <c r="G64" s="404"/>
      <c r="H64" s="404"/>
      <c r="I64" s="404"/>
      <c r="J64" s="404"/>
      <c r="K64" s="404"/>
      <c r="L64" s="404"/>
      <c r="M64" s="404"/>
      <c r="N64" s="404"/>
      <c r="O64" s="52"/>
      <c r="P64" s="52"/>
    </row>
    <row r="65" spans="1:14" s="34" customFormat="1" ht="20.100000000000001" customHeight="1" x14ac:dyDescent="0.2">
      <c r="C65" s="35"/>
      <c r="D65" s="35"/>
      <c r="E65" s="35"/>
      <c r="H65" s="36"/>
    </row>
    <row r="66" spans="1:14" x14ac:dyDescent="0.2">
      <c r="A66" s="2" t="s">
        <v>38</v>
      </c>
      <c r="D66" s="34" t="b">
        <f>ISTEXT(B64)</f>
        <v>0</v>
      </c>
    </row>
    <row r="67" spans="1:14" ht="1.5" customHeight="1" x14ac:dyDescent="0.2">
      <c r="A67" s="2"/>
    </row>
    <row r="68" spans="1:14" ht="14.25" x14ac:dyDescent="0.2">
      <c r="A68" s="2"/>
      <c r="B68" s="3" t="s">
        <v>448</v>
      </c>
      <c r="D68" s="69" t="str">
        <f>IF(OR(COUNTIF(H15:H23,"x")=0,COUNTIF(F68,"x")&gt;0),"erfüllt", "nicht erfüllt")</f>
        <v>nicht erfüllt</v>
      </c>
      <c r="F68" s="30" t="s">
        <v>43</v>
      </c>
      <c r="H68" s="3" t="s">
        <v>451</v>
      </c>
    </row>
    <row r="69" spans="1:14" ht="1.5" customHeight="1" x14ac:dyDescent="0.2">
      <c r="A69" s="2"/>
    </row>
    <row r="70" spans="1:14" ht="14.25" x14ac:dyDescent="0.2">
      <c r="B70" s="3" t="s">
        <v>251</v>
      </c>
      <c r="D70" s="69" t="str">
        <f>IF(OR(COUNTIF(H26:H60,"x")=0,COUNTIF(F70,"x")&gt;0),"erfüllt", "nicht erfüllt")</f>
        <v>nicht erfüllt</v>
      </c>
      <c r="F70" s="30" t="s">
        <v>43</v>
      </c>
      <c r="H70" s="3" t="s">
        <v>449</v>
      </c>
    </row>
    <row r="71" spans="1:14" ht="1.5" customHeight="1" x14ac:dyDescent="0.2">
      <c r="D71" s="89"/>
    </row>
    <row r="73" spans="1:14" ht="13.5" customHeight="1" x14ac:dyDescent="0.2">
      <c r="A73" s="34"/>
      <c r="B73" s="3" t="s">
        <v>39</v>
      </c>
      <c r="D73" s="3" t="str">
        <f>IF(ISTEXT(Name_Kontr),Name_Kontr,"")</f>
        <v/>
      </c>
      <c r="F73" s="328" t="str">
        <f>IF(AND(NOT(D66),COUNTIF(F68:F70,"x")&gt;0),"Begründung und Empfehlung des weiteren Vorgehens erforderlich.","")</f>
        <v/>
      </c>
      <c r="G73" s="328"/>
      <c r="H73" s="328"/>
      <c r="I73" s="328"/>
      <c r="J73" s="328"/>
      <c r="K73" s="328"/>
      <c r="L73" s="328"/>
      <c r="M73" s="328"/>
      <c r="N73" s="328"/>
    </row>
    <row r="74" spans="1:14" ht="2.1" customHeight="1" x14ac:dyDescent="0.2">
      <c r="A74" s="34" t="s">
        <v>42</v>
      </c>
      <c r="F74" s="328"/>
      <c r="G74" s="328"/>
      <c r="H74" s="328"/>
      <c r="I74" s="328"/>
      <c r="J74" s="328"/>
      <c r="K74" s="328"/>
      <c r="L74" s="328"/>
      <c r="M74" s="328"/>
      <c r="N74" s="328"/>
    </row>
    <row r="75" spans="1:14" x14ac:dyDescent="0.2">
      <c r="A75" s="34" t="s">
        <v>43</v>
      </c>
      <c r="B75" s="3" t="s">
        <v>40</v>
      </c>
      <c r="D75" s="47">
        <f ca="1">Datum</f>
        <v>45866</v>
      </c>
      <c r="F75" s="328"/>
      <c r="G75" s="328"/>
      <c r="H75" s="328"/>
      <c r="I75" s="328"/>
      <c r="J75" s="328"/>
      <c r="K75" s="328"/>
      <c r="L75" s="328"/>
      <c r="M75" s="328"/>
      <c r="N75" s="328"/>
    </row>
    <row r="105" spans="1:1" hidden="1" x14ac:dyDescent="0.2">
      <c r="A105" s="3" t="s">
        <v>43</v>
      </c>
    </row>
    <row r="106" spans="1:1" hidden="1" x14ac:dyDescent="0.2">
      <c r="A106" s="3" t="s">
        <v>42</v>
      </c>
    </row>
  </sheetData>
  <sheetProtection algorithmName="SHA-512" hashValue="IIMFaQ21nnmL+NKNG3B+8OHRz6uPv1iLz7ezIsruLwOYpAkTBXPmUQYkqRBoLh0yE9fJwAZQlcKCdyj7RfFe6g==" saltValue="1x5jd2P7dx9A7d3/H6hbYQ==" spinCount="100000" sheet="1" formatRows="0"/>
  <mergeCells count="2">
    <mergeCell ref="B64:N64"/>
    <mergeCell ref="F73:N75"/>
  </mergeCells>
  <phoneticPr fontId="7" type="noConversion"/>
  <conditionalFormatting sqref="D68">
    <cfRule type="beginsWith" dxfId="197" priority="1" operator="beginsWith" text="erfüllt">
      <formula>LEFT(D68,LEN("erfüllt"))="erfüllt"</formula>
    </cfRule>
    <cfRule type="containsText" dxfId="196" priority="2" operator="containsText" text="nicht erfüllt">
      <formula>NOT(ISERROR(SEARCH("nicht erfüllt",D68)))</formula>
    </cfRule>
  </conditionalFormatting>
  <conditionalFormatting sqref="D70:D71">
    <cfRule type="beginsWith" dxfId="194" priority="3" operator="beginsWith" text="erfüllt">
      <formula>LEFT(D70,LEN("erfüllt"))="erfüllt"</formula>
    </cfRule>
    <cfRule type="containsText" dxfId="193" priority="4" operator="containsText" text="nicht erfüllt">
      <formula>NOT(ISERROR(SEARCH("nicht erfüllt",D70)))</formula>
    </cfRule>
  </conditionalFormatting>
  <conditionalFormatting sqref="H15:H60">
    <cfRule type="cellIs" dxfId="191" priority="6" operator="equal">
      <formula>"x"</formula>
    </cfRule>
  </conditionalFormatting>
  <conditionalFormatting sqref="N38">
    <cfRule type="containsText" dxfId="190" priority="13" operator="containsText" text="Standardlösungskombination nicht zulässig">
      <formula>NOT(ISERROR(SEARCH("Standardlösungskombination nicht zulässig",N38)))</formula>
    </cfRule>
  </conditionalFormatting>
  <dataValidations count="1">
    <dataValidation type="list" allowBlank="1" showInputMessage="1" showErrorMessage="1" sqref="F60 F15 F28 J28 J30 F30 F26 J17 J58 F58 L44 L40 J46 F46 J44 J42 F44 F42 F40 J40 L58 J60 J26 F17 J23 J21 F23 F21 F19" xr:uid="{00000000-0002-0000-0100-000000000000}">
      <formula1>$A$105:$A$106</formula1>
    </dataValidation>
  </dataValidations>
  <hyperlinks>
    <hyperlink ref="N1" r:id="rId1" xr:uid="{20A970B6-E856-45C7-AF43-19DC0582845A}"/>
    <hyperlink ref="N2" location="'EN-Kt.'!A1" display="Zurück zm EN-Kt. " xr:uid="{A6F4E6E2-D6B4-419E-9E20-6A0DE5AE79FD}"/>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5" operator="containsText" text="nicht" id="{C422FA26-6BB4-476B-959A-331A008C3C45}">
            <xm:f>NOT(ISERROR(SEARCH("nicht",'EN-104'!B71)))</xm:f>
            <x14:dxf>
              <font>
                <color rgb="FF9C0006"/>
              </font>
              <fill>
                <patternFill>
                  <bgColor rgb="FFFFC7CE"/>
                </patternFill>
              </fill>
            </x14:dxf>
          </x14:cfRule>
          <xm:sqref>D70 D68</xm:sqref>
        </x14:conditionalFormatting>
        <x14:conditionalFormatting xmlns:xm="http://schemas.microsoft.com/office/excel/2006/main">
          <x14:cfRule type="containsText" priority="12" operator="containsText" text="nicht" id="{8B4FD356-0EFE-4075-8B47-CFB7B92E844B}">
            <xm:f>NOT(ISERROR(SEARCH("nicht",'EN-104'!B76)))</xm:f>
            <x14:dxf>
              <font>
                <color rgb="FF9C0006"/>
              </font>
              <fill>
                <patternFill>
                  <bgColor rgb="FFFFC7CE"/>
                </patternFill>
              </fill>
            </x14:dxf>
          </x14:cfRule>
          <xm:sqref>D71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'EN-Kt.'!$A$207:$A$208</xm:f>
          </x14:formula1>
          <xm:sqref>J19 F70 F68</xm:sqref>
        </x14:dataValidation>
        <x14:dataValidation type="list" allowBlank="1" showInputMessage="1" showErrorMessage="1" xr:uid="{00000000-0002-0000-0100-000002000000}">
          <x14:formula1>
            <xm:f>'EN-Kt.'!$C$304:$C$307</xm:f>
          </x14:formula1>
          <xm:sqref>D9:L9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0"/>
    <pageSetUpPr fitToPage="1"/>
  </sheetPr>
  <dimension ref="A1:Y265"/>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0.5" style="3" customWidth="1"/>
    <col min="14" max="14" width="45.875" style="3" customWidth="1"/>
    <col min="15" max="16384" width="10.875" style="3"/>
  </cols>
  <sheetData>
    <row r="1" spans="1:16" s="22" customFormat="1" ht="18" x14ac:dyDescent="0.25">
      <c r="A1" s="6" t="s">
        <v>97</v>
      </c>
      <c r="B1" s="6"/>
      <c r="N1" s="117" t="s">
        <v>503</v>
      </c>
      <c r="P1" s="23"/>
    </row>
    <row r="2" spans="1:16" s="22" customFormat="1" ht="18" x14ac:dyDescent="0.25">
      <c r="A2" s="6" t="s">
        <v>98</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97" t="str">
        <f>IF(ISTEXT(Gemeinde),Gemeinde,"")</f>
        <v/>
      </c>
      <c r="E5" s="16"/>
      <c r="F5" s="18"/>
      <c r="G5" s="18"/>
      <c r="H5" s="18"/>
      <c r="I5" s="18"/>
      <c r="J5" s="19"/>
      <c r="K5" s="16"/>
      <c r="L5" s="19"/>
      <c r="M5" s="16"/>
      <c r="N5" s="16"/>
    </row>
    <row r="6" spans="1:16" ht="2.1" customHeight="1" x14ac:dyDescent="0.2">
      <c r="D6" s="96"/>
      <c r="F6" s="7"/>
      <c r="G6" s="7"/>
      <c r="H6" s="7"/>
      <c r="I6" s="7"/>
      <c r="J6" s="8"/>
      <c r="L6" s="8"/>
    </row>
    <row r="7" spans="1:16" x14ac:dyDescent="0.2">
      <c r="B7" s="3" t="s">
        <v>63</v>
      </c>
      <c r="D7" s="16" t="str">
        <f>IF(ISTEXT(Bauvorhaben),Bauvorhaben,"")</f>
        <v/>
      </c>
      <c r="E7" s="16"/>
      <c r="F7" s="18"/>
      <c r="G7" s="18"/>
      <c r="H7" s="18"/>
      <c r="I7" s="18"/>
      <c r="J7" s="19"/>
      <c r="K7" s="16"/>
      <c r="L7" s="19"/>
      <c r="M7" s="16"/>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16" t="str">
        <f>IF(ISTEXT(Kontrollbeauftragter),Kontrollbeauftragter,"")</f>
        <v/>
      </c>
      <c r="E11" s="16"/>
      <c r="F11" s="18"/>
      <c r="G11" s="18"/>
      <c r="H11" s="18"/>
      <c r="I11" s="18"/>
      <c r="J11" s="19"/>
      <c r="K11" s="16"/>
      <c r="L11" s="19"/>
      <c r="M11" s="16"/>
      <c r="N11" s="16"/>
    </row>
    <row r="12" spans="1:16" ht="20.100000000000001" customHeight="1" x14ac:dyDescent="0.2"/>
    <row r="13" spans="1:16" ht="61.1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736</v>
      </c>
      <c r="F15" s="30" t="s">
        <v>43</v>
      </c>
      <c r="H15" s="12" t="str">
        <f>IF(J15="x","-",IF(F15="x","-","x"))</f>
        <v>x</v>
      </c>
      <c r="J15" s="7"/>
      <c r="L15" s="7"/>
      <c r="N15" s="25"/>
    </row>
    <row r="16" spans="1:16" ht="2.1" customHeight="1" x14ac:dyDescent="0.2">
      <c r="A16" s="2"/>
      <c r="B16" s="2"/>
      <c r="F16" s="7"/>
      <c r="G16" s="7"/>
      <c r="H16" s="7"/>
      <c r="I16" s="7"/>
      <c r="J16" s="8"/>
      <c r="L16" s="8"/>
    </row>
    <row r="17" spans="1:19" ht="14.1" customHeight="1" x14ac:dyDescent="0.2">
      <c r="B17" s="81" t="s">
        <v>110</v>
      </c>
      <c r="F17" s="30" t="s">
        <v>43</v>
      </c>
      <c r="H17" s="12" t="str">
        <f>IF(J17="x","-",IF(F17="x","-","x"))</f>
        <v>x</v>
      </c>
      <c r="J17" s="7"/>
      <c r="L17" s="7"/>
      <c r="N17" s="25"/>
    </row>
    <row r="18" spans="1:19" ht="2.1" customHeight="1" x14ac:dyDescent="0.2">
      <c r="F18" s="7"/>
      <c r="H18" s="7"/>
      <c r="J18" s="7"/>
      <c r="L18" s="7"/>
    </row>
    <row r="19" spans="1:19" x14ac:dyDescent="0.2">
      <c r="B19" s="3" t="s">
        <v>352</v>
      </c>
      <c r="F19" s="30" t="s">
        <v>43</v>
      </c>
      <c r="H19" s="12" t="str">
        <f>IF(J19="x","-",IF(F19="x","-","x"))</f>
        <v>x</v>
      </c>
      <c r="J19" s="30" t="s">
        <v>43</v>
      </c>
      <c r="L19" s="7"/>
      <c r="N19" s="25"/>
    </row>
    <row r="20" spans="1:19" ht="2.1" customHeight="1" x14ac:dyDescent="0.2">
      <c r="F20" s="7"/>
      <c r="H20" s="7"/>
      <c r="J20" s="7"/>
      <c r="L20" s="7"/>
    </row>
    <row r="21" spans="1:19" x14ac:dyDescent="0.2">
      <c r="B21" s="3" t="s">
        <v>376</v>
      </c>
      <c r="F21" s="30" t="s">
        <v>43</v>
      </c>
      <c r="H21" s="12" t="str">
        <f>IF(J21="x","-",IF(F21="x","-","x"))</f>
        <v>x</v>
      </c>
      <c r="J21" s="30" t="s">
        <v>43</v>
      </c>
      <c r="L21" s="7"/>
      <c r="N21" s="25"/>
      <c r="S21" s="3" t="str">
        <f>IF(OR(AND(C35="-", Q21=C163),OR(Q17="III – Verwaltung",Q19="III – Verwaltung")),"nicht zulässig", IF(AND(OR(E17="x",E19="x",E21="x"),Q21=""),"Angabe fehlt",""  ))</f>
        <v/>
      </c>
    </row>
    <row r="22" spans="1:19" ht="2.1" customHeight="1" x14ac:dyDescent="0.2">
      <c r="F22" s="7"/>
      <c r="H22" s="7"/>
      <c r="J22" s="7"/>
      <c r="L22" s="7"/>
    </row>
    <row r="23" spans="1:19" x14ac:dyDescent="0.2">
      <c r="B23" s="3" t="s">
        <v>353</v>
      </c>
      <c r="F23" s="30" t="s">
        <v>43</v>
      </c>
      <c r="H23" s="12" t="str">
        <f>IF(J23="x","-",IF(F23="x","-","x"))</f>
        <v>x</v>
      </c>
      <c r="J23" s="30" t="s">
        <v>43</v>
      </c>
      <c r="L23" s="7"/>
      <c r="N23" s="25"/>
    </row>
    <row r="24" spans="1:19" ht="2.1" customHeight="1" x14ac:dyDescent="0.2">
      <c r="F24" s="7"/>
      <c r="H24" s="7"/>
      <c r="J24" s="7"/>
      <c r="L24" s="7"/>
    </row>
    <row r="25" spans="1:19" x14ac:dyDescent="0.2">
      <c r="B25" s="3" t="s">
        <v>283</v>
      </c>
      <c r="F25" s="30" t="s">
        <v>43</v>
      </c>
      <c r="H25" s="12" t="str">
        <f>IF(J25="x","-",IF(F25="x","-","x"))</f>
        <v>x</v>
      </c>
      <c r="J25" s="30" t="s">
        <v>43</v>
      </c>
      <c r="L25" s="7"/>
      <c r="N25" s="25"/>
    </row>
    <row r="26" spans="1:19" ht="2.1" customHeight="1" x14ac:dyDescent="0.2">
      <c r="F26" s="27"/>
      <c r="H26" s="14"/>
      <c r="J26" s="27"/>
      <c r="L26" s="7"/>
      <c r="N26" s="26"/>
    </row>
    <row r="27" spans="1:19" x14ac:dyDescent="0.2">
      <c r="B27" s="3" t="s">
        <v>367</v>
      </c>
      <c r="F27" s="30" t="s">
        <v>43</v>
      </c>
      <c r="H27" s="12" t="str">
        <f>IF(J27="x","-",IF(F27="x","-","x"))</f>
        <v>x</v>
      </c>
      <c r="J27" s="30" t="s">
        <v>43</v>
      </c>
      <c r="L27" s="7"/>
      <c r="N27" s="25"/>
    </row>
    <row r="28" spans="1:19" ht="2.1" customHeight="1" x14ac:dyDescent="0.2">
      <c r="F28" s="27"/>
      <c r="H28" s="14"/>
      <c r="J28" s="27"/>
      <c r="L28" s="7"/>
      <c r="N28" s="26"/>
    </row>
    <row r="29" spans="1:19" ht="13.5" customHeight="1" x14ac:dyDescent="0.2">
      <c r="B29" s="355" t="s">
        <v>735</v>
      </c>
      <c r="C29" s="355"/>
      <c r="D29" s="355"/>
      <c r="F29" s="30" t="s">
        <v>43</v>
      </c>
      <c r="H29" s="12" t="str">
        <f>IF(J29="x","-",IF(F29="x","-","x"))</f>
        <v>x</v>
      </c>
      <c r="J29" s="30" t="s">
        <v>43</v>
      </c>
      <c r="L29" s="185"/>
      <c r="N29" s="25"/>
    </row>
    <row r="30" spans="1:19" ht="2.1" customHeight="1" x14ac:dyDescent="0.2">
      <c r="F30" s="27"/>
      <c r="H30" s="14"/>
      <c r="J30" s="27"/>
      <c r="L30" s="7"/>
      <c r="N30" s="26"/>
    </row>
    <row r="31" spans="1:19" x14ac:dyDescent="0.2">
      <c r="B31" s="3" t="s">
        <v>467</v>
      </c>
      <c r="F31" s="30" t="s">
        <v>43</v>
      </c>
      <c r="H31" s="12" t="str">
        <f>IF(J31="x","-",IF(F31="x","-","x"))</f>
        <v>x</v>
      </c>
      <c r="J31" s="30" t="s">
        <v>43</v>
      </c>
      <c r="L31" s="7"/>
      <c r="N31" s="25"/>
    </row>
    <row r="32" spans="1:19" ht="39" customHeight="1" x14ac:dyDescent="0.2">
      <c r="A32" s="2" t="s">
        <v>99</v>
      </c>
      <c r="B32" s="2"/>
      <c r="L32" s="7"/>
    </row>
    <row r="33" spans="1:14" ht="2.1" customHeight="1" x14ac:dyDescent="0.2">
      <c r="A33" s="2"/>
      <c r="B33" s="2"/>
      <c r="F33" s="7" t="s">
        <v>42</v>
      </c>
      <c r="G33" s="7"/>
      <c r="H33" s="7"/>
      <c r="I33" s="7"/>
      <c r="J33" s="8"/>
      <c r="L33" s="8"/>
    </row>
    <row r="34" spans="1:14" x14ac:dyDescent="0.2">
      <c r="B34" s="3" t="s">
        <v>100</v>
      </c>
      <c r="D34" s="247" t="s">
        <v>107</v>
      </c>
      <c r="F34" s="30" t="s">
        <v>43</v>
      </c>
      <c r="H34" s="12" t="str">
        <f>IF(J34="x","-",IF(F34="x","-","x"))</f>
        <v>x</v>
      </c>
      <c r="L34" s="7"/>
      <c r="N34" s="25"/>
    </row>
    <row r="35" spans="1:14" ht="1.5" customHeight="1" x14ac:dyDescent="0.2">
      <c r="D35" s="11"/>
      <c r="F35" s="27"/>
      <c r="H35" s="14"/>
      <c r="L35" s="7"/>
      <c r="N35" s="26"/>
    </row>
    <row r="36" spans="1:14" x14ac:dyDescent="0.2">
      <c r="B36" s="3" t="s">
        <v>457</v>
      </c>
      <c r="F36" s="30" t="s">
        <v>43</v>
      </c>
      <c r="H36" s="12" t="str">
        <f>IF(OR(F36="x",J36="x"),"-",IF(F36="x","-","x"))</f>
        <v>x</v>
      </c>
      <c r="L36" s="7"/>
      <c r="N36" s="25"/>
    </row>
    <row r="37" spans="1:14" ht="1.5" customHeight="1" x14ac:dyDescent="0.2">
      <c r="D37" s="11"/>
      <c r="F37" s="27"/>
      <c r="H37" s="14"/>
      <c r="L37" s="7"/>
      <c r="N37" s="26"/>
    </row>
    <row r="38" spans="1:14" ht="12" customHeight="1" x14ac:dyDescent="0.2">
      <c r="B38" s="3" t="s">
        <v>101</v>
      </c>
      <c r="D38" s="11"/>
      <c r="F38" s="27"/>
      <c r="H38" s="14"/>
      <c r="L38" s="7"/>
      <c r="N38" s="26"/>
    </row>
    <row r="39" spans="1:14" ht="1.5" customHeight="1" x14ac:dyDescent="0.2">
      <c r="D39" s="1"/>
      <c r="F39" s="7"/>
      <c r="H39" s="7"/>
      <c r="J39" s="7"/>
      <c r="L39" s="7"/>
    </row>
    <row r="40" spans="1:14" x14ac:dyDescent="0.2">
      <c r="B40" s="16" t="str">
        <f>IF('EN-Kt.'!U15=0,"",'EN-Kt.'!U15)</f>
        <v>Gebäudekategorie wählen</v>
      </c>
      <c r="C40" s="16"/>
      <c r="D40" s="3" t="s">
        <v>102</v>
      </c>
      <c r="F40" s="30" t="s">
        <v>43</v>
      </c>
      <c r="H40" s="12" t="str">
        <f>IF(B40="","-",IF(J40="x","-",IF(F40="x","-","x")))</f>
        <v>x</v>
      </c>
      <c r="J40" s="7"/>
      <c r="L40" s="7"/>
      <c r="N40" s="25"/>
    </row>
    <row r="41" spans="1:14" ht="2.1" customHeight="1" x14ac:dyDescent="0.2">
      <c r="D41" s="1"/>
      <c r="F41" s="7"/>
      <c r="H41" s="7"/>
      <c r="J41" s="7"/>
      <c r="L41" s="7"/>
    </row>
    <row r="42" spans="1:14" x14ac:dyDescent="0.2">
      <c r="D42" s="3" t="s">
        <v>103</v>
      </c>
      <c r="F42" s="30" t="s">
        <v>43</v>
      </c>
      <c r="H42" s="12" t="str">
        <f>IF(B40="","-",IF(J42="x","-",IF(F42="x","-","x")))</f>
        <v>x</v>
      </c>
      <c r="J42" s="7"/>
      <c r="L42" s="7"/>
      <c r="N42" s="25"/>
    </row>
    <row r="43" spans="1:14" ht="2.1" customHeight="1" x14ac:dyDescent="0.2">
      <c r="D43" s="1"/>
      <c r="F43" s="7"/>
      <c r="H43" s="7"/>
      <c r="J43" s="7"/>
      <c r="L43" s="7"/>
    </row>
    <row r="44" spans="1:14" x14ac:dyDescent="0.2">
      <c r="D44" s="3" t="s">
        <v>105</v>
      </c>
      <c r="F44" s="30" t="s">
        <v>43</v>
      </c>
      <c r="H44" s="12" t="str">
        <f>IF(B40="","-",IF(J44="x","-",IF(F44="x","-","x")))</f>
        <v>x</v>
      </c>
      <c r="J44" s="7"/>
      <c r="L44" s="7"/>
      <c r="N44" s="25"/>
    </row>
    <row r="45" spans="1:14" ht="2.1" customHeight="1" x14ac:dyDescent="0.2">
      <c r="D45" s="1"/>
      <c r="F45" s="7"/>
      <c r="H45" s="7"/>
      <c r="J45" s="7"/>
      <c r="L45" s="7"/>
    </row>
    <row r="46" spans="1:14" x14ac:dyDescent="0.2">
      <c r="D46" s="3" t="s">
        <v>104</v>
      </c>
      <c r="F46" s="30" t="s">
        <v>43</v>
      </c>
      <c r="H46" s="12" t="str">
        <f>IF(B40="","-",IF(J46="x","-",IF(F46="x","-","x")))</f>
        <v>x</v>
      </c>
      <c r="J46" s="7"/>
      <c r="L46" s="7"/>
      <c r="N46" s="25"/>
    </row>
    <row r="47" spans="1:14" x14ac:dyDescent="0.2">
      <c r="F47" s="27"/>
      <c r="H47" s="14"/>
      <c r="J47" s="7"/>
      <c r="L47" s="7"/>
      <c r="N47" s="26"/>
    </row>
    <row r="48" spans="1:14" ht="14.1" customHeight="1" x14ac:dyDescent="0.2">
      <c r="B48" s="38" t="s">
        <v>106</v>
      </c>
      <c r="D48" s="38"/>
      <c r="F48" s="27"/>
      <c r="H48" s="7"/>
      <c r="J48" s="7"/>
      <c r="L48" s="7"/>
    </row>
    <row r="49" spans="2:14" ht="1.5" customHeight="1" x14ac:dyDescent="0.2">
      <c r="D49" s="48"/>
      <c r="F49" s="7"/>
      <c r="H49" s="7"/>
      <c r="J49" s="7"/>
      <c r="L49" s="7"/>
    </row>
    <row r="50" spans="2:14" x14ac:dyDescent="0.2">
      <c r="B50" s="16" t="str">
        <f>IF('EN-Kt.'!U17=0,"",'EN-Kt.'!U17)</f>
        <v/>
      </c>
      <c r="C50" s="16"/>
      <c r="D50" s="3" t="s">
        <v>102</v>
      </c>
      <c r="F50" s="30" t="s">
        <v>43</v>
      </c>
      <c r="H50" s="12" t="str">
        <f>IF($B$50="","-",IF(J50="x","-",IF(F50="x","-","x")))</f>
        <v>-</v>
      </c>
      <c r="J50" s="7"/>
      <c r="L50" s="7"/>
      <c r="N50" s="9" t="str">
        <f>IF(B48="Gebäudekategorie Umbau", "Nachweis nicht erforderlich, da Umbau","")</f>
        <v/>
      </c>
    </row>
    <row r="51" spans="2:14" ht="2.1" customHeight="1" x14ac:dyDescent="0.2">
      <c r="D51" s="1"/>
      <c r="F51" s="7"/>
      <c r="H51" s="7"/>
      <c r="J51" s="7"/>
      <c r="L51" s="7"/>
    </row>
    <row r="52" spans="2:14" x14ac:dyDescent="0.2">
      <c r="D52" s="3" t="s">
        <v>103</v>
      </c>
      <c r="F52" s="30" t="s">
        <v>43</v>
      </c>
      <c r="H52" s="12" t="str">
        <f>IF($B$50="","-",IF(J52="x","-",IF(F52="x","-","x")))</f>
        <v>-</v>
      </c>
      <c r="J52" s="7"/>
      <c r="L52" s="7"/>
      <c r="N52" s="25"/>
    </row>
    <row r="53" spans="2:14" ht="2.1" customHeight="1" x14ac:dyDescent="0.2">
      <c r="D53" s="1"/>
      <c r="F53" s="7"/>
      <c r="H53" s="7"/>
      <c r="J53" s="7"/>
      <c r="L53" s="7"/>
    </row>
    <row r="54" spans="2:14" x14ac:dyDescent="0.2">
      <c r="D54" s="3" t="s">
        <v>105</v>
      </c>
      <c r="F54" s="30" t="s">
        <v>43</v>
      </c>
      <c r="H54" s="12" t="str">
        <f>IF($B$50="","-",IF(J54="x","-",IF(F54="x","-","x")))</f>
        <v>-</v>
      </c>
      <c r="J54" s="7"/>
      <c r="L54" s="7"/>
      <c r="N54" s="25"/>
    </row>
    <row r="55" spans="2:14" ht="2.1" customHeight="1" x14ac:dyDescent="0.2">
      <c r="D55" s="1"/>
      <c r="F55" s="7"/>
      <c r="H55" s="7"/>
      <c r="J55" s="7"/>
      <c r="L55" s="7"/>
    </row>
    <row r="56" spans="2:14" x14ac:dyDescent="0.2">
      <c r="D56" s="3" t="s">
        <v>104</v>
      </c>
      <c r="F56" s="30" t="s">
        <v>43</v>
      </c>
      <c r="H56" s="12" t="str">
        <f>IF($B$50="","-",IF(J56="x","-",IF(F56="x","-","x")))</f>
        <v>-</v>
      </c>
      <c r="J56" s="7"/>
      <c r="L56" s="7"/>
      <c r="N56" s="25"/>
    </row>
    <row r="57" spans="2:14" x14ac:dyDescent="0.2">
      <c r="F57" s="27"/>
      <c r="H57" s="14"/>
      <c r="J57" s="7"/>
      <c r="L57" s="7"/>
      <c r="N57" s="26"/>
    </row>
    <row r="58" spans="2:14" ht="14.1" customHeight="1" x14ac:dyDescent="0.2">
      <c r="B58" s="38" t="s">
        <v>173</v>
      </c>
      <c r="D58" s="38"/>
      <c r="F58" s="27"/>
      <c r="H58" s="7"/>
      <c r="J58" s="7"/>
      <c r="L58" s="7"/>
    </row>
    <row r="59" spans="2:14" ht="1.5" customHeight="1" x14ac:dyDescent="0.2">
      <c r="D59" s="48"/>
      <c r="F59" s="7"/>
      <c r="H59" s="7"/>
      <c r="J59" s="7"/>
      <c r="L59" s="7"/>
    </row>
    <row r="60" spans="2:14" x14ac:dyDescent="0.2">
      <c r="B60" s="16" t="str">
        <f>IF('EN-Kt.'!U19=0,"",'EN-Kt.'!U19)</f>
        <v/>
      </c>
      <c r="C60" s="16"/>
      <c r="D60" s="3" t="s">
        <v>102</v>
      </c>
      <c r="F60" s="30" t="s">
        <v>43</v>
      </c>
      <c r="H60" s="12" t="str">
        <f>IF($B$60="","-",IF(J60="x","-",IF(F60="x","-","x")))</f>
        <v>-</v>
      </c>
      <c r="J60" s="7"/>
      <c r="L60" s="7"/>
      <c r="N60" s="25"/>
    </row>
    <row r="61" spans="2:14" ht="2.1" customHeight="1" x14ac:dyDescent="0.2">
      <c r="D61" s="1"/>
      <c r="F61" s="7"/>
      <c r="H61" s="7"/>
      <c r="J61" s="7"/>
      <c r="L61" s="7"/>
    </row>
    <row r="62" spans="2:14" x14ac:dyDescent="0.2">
      <c r="D62" s="3" t="s">
        <v>103</v>
      </c>
      <c r="F62" s="30" t="s">
        <v>43</v>
      </c>
      <c r="H62" s="12" t="str">
        <f>IF($B$60="","-",IF(J62="x","-",IF(F62="x","-","x")))</f>
        <v>-</v>
      </c>
      <c r="J62" s="7"/>
      <c r="L62" s="7"/>
      <c r="N62" s="25"/>
    </row>
    <row r="63" spans="2:14" ht="2.1" customHeight="1" x14ac:dyDescent="0.2">
      <c r="D63" s="1"/>
      <c r="F63" s="7"/>
      <c r="H63" s="7"/>
      <c r="J63" s="7"/>
      <c r="L63" s="7"/>
    </row>
    <row r="64" spans="2:14" x14ac:dyDescent="0.2">
      <c r="D64" s="3" t="s">
        <v>105</v>
      </c>
      <c r="F64" s="30" t="s">
        <v>43</v>
      </c>
      <c r="H64" s="12" t="str">
        <f>IF($B$60="","-",IF(J64="x","-",IF(F64="x","-","x")))</f>
        <v>-</v>
      </c>
      <c r="J64" s="7"/>
      <c r="L64" s="7"/>
      <c r="N64" s="25"/>
    </row>
    <row r="65" spans="1:14" ht="2.1" customHeight="1" x14ac:dyDescent="0.2">
      <c r="D65" s="1"/>
      <c r="F65" s="7"/>
      <c r="H65" s="7"/>
      <c r="J65" s="7"/>
      <c r="L65" s="7"/>
    </row>
    <row r="66" spans="1:14" x14ac:dyDescent="0.2">
      <c r="D66" s="3" t="s">
        <v>104</v>
      </c>
      <c r="F66" s="30" t="s">
        <v>43</v>
      </c>
      <c r="H66" s="12" t="str">
        <f>IF($B$60="","-",IF(J66="x","-",IF(F66="x","-","x")))</f>
        <v>-</v>
      </c>
      <c r="J66" s="7"/>
      <c r="L66" s="7"/>
      <c r="N66" s="25"/>
    </row>
    <row r="67" spans="1:14" ht="15" customHeight="1" x14ac:dyDescent="0.2">
      <c r="F67" s="27"/>
      <c r="H67" s="14"/>
      <c r="J67" s="7"/>
      <c r="L67" s="7"/>
      <c r="N67" s="26"/>
    </row>
    <row r="68" spans="1:14" ht="14.1" customHeight="1" x14ac:dyDescent="0.2">
      <c r="B68" s="38" t="s">
        <v>174</v>
      </c>
      <c r="D68" s="38"/>
      <c r="F68" s="27"/>
      <c r="H68" s="7"/>
      <c r="J68" s="7"/>
      <c r="L68" s="7"/>
    </row>
    <row r="69" spans="1:14" ht="2.25" customHeight="1" x14ac:dyDescent="0.2">
      <c r="D69" s="48"/>
      <c r="F69" s="7"/>
      <c r="H69" s="7"/>
      <c r="J69" s="7"/>
      <c r="L69" s="7"/>
    </row>
    <row r="70" spans="1:14" x14ac:dyDescent="0.2">
      <c r="B70" s="16" t="str">
        <f>IF('EN-Kt.'!U21=0,"",'EN-Kt.'!U21)</f>
        <v/>
      </c>
      <c r="C70" s="16"/>
      <c r="D70" s="3" t="s">
        <v>102</v>
      </c>
      <c r="F70" s="30" t="s">
        <v>43</v>
      </c>
      <c r="H70" s="12" t="str">
        <f>IF($B$70="","-",IF(J70="x","-",IF(F70="x","-","x")))</f>
        <v>-</v>
      </c>
      <c r="J70" s="7"/>
      <c r="L70" s="7"/>
      <c r="N70" s="25"/>
    </row>
    <row r="71" spans="1:14" ht="2.1" customHeight="1" x14ac:dyDescent="0.2">
      <c r="D71" s="1"/>
      <c r="F71" s="7"/>
      <c r="H71" s="7"/>
      <c r="J71" s="7"/>
      <c r="L71" s="7"/>
    </row>
    <row r="72" spans="1:14" x14ac:dyDescent="0.2">
      <c r="D72" s="3" t="s">
        <v>103</v>
      </c>
      <c r="F72" s="30" t="s">
        <v>43</v>
      </c>
      <c r="H72" s="12" t="str">
        <f>IF($B$70="","-",IF(J72="x","-",IF(F72="x","-","x")))</f>
        <v>-</v>
      </c>
      <c r="J72" s="7"/>
      <c r="L72" s="7"/>
      <c r="N72" s="25"/>
    </row>
    <row r="73" spans="1:14" ht="2.1" customHeight="1" x14ac:dyDescent="0.2">
      <c r="D73" s="1"/>
      <c r="F73" s="7"/>
      <c r="H73" s="7"/>
      <c r="J73" s="7"/>
      <c r="L73" s="7"/>
    </row>
    <row r="74" spans="1:14" x14ac:dyDescent="0.2">
      <c r="D74" s="3" t="s">
        <v>105</v>
      </c>
      <c r="F74" s="30" t="s">
        <v>43</v>
      </c>
      <c r="H74" s="12" t="str">
        <f>IF($B$70="","-",IF(J74="x","-",IF(F74="x","-","x")))</f>
        <v>-</v>
      </c>
      <c r="J74" s="7"/>
      <c r="L74" s="7"/>
      <c r="N74" s="25"/>
    </row>
    <row r="75" spans="1:14" ht="2.1" customHeight="1" x14ac:dyDescent="0.2">
      <c r="D75" s="1"/>
      <c r="F75" s="7"/>
      <c r="H75" s="7"/>
      <c r="J75" s="7"/>
      <c r="L75" s="7"/>
    </row>
    <row r="76" spans="1:14" x14ac:dyDescent="0.2">
      <c r="D76" s="3" t="s">
        <v>104</v>
      </c>
      <c r="F76" s="30" t="s">
        <v>43</v>
      </c>
      <c r="H76" s="12" t="str">
        <f>IF($B$70="","-",IF(J76="x","-",IF(F76="x","-","x")))</f>
        <v>-</v>
      </c>
      <c r="J76" s="7"/>
      <c r="L76" s="7"/>
      <c r="N76" s="25"/>
    </row>
    <row r="77" spans="1:14" ht="20.100000000000001" customHeight="1" x14ac:dyDescent="0.2">
      <c r="F77" s="7"/>
      <c r="H77" s="7"/>
    </row>
    <row r="78" spans="1:14" x14ac:dyDescent="0.2">
      <c r="A78" s="2" t="s">
        <v>109</v>
      </c>
      <c r="B78" s="2"/>
    </row>
    <row r="79" spans="1:14" ht="2.1" customHeight="1" x14ac:dyDescent="0.2">
      <c r="A79" s="2"/>
      <c r="B79" s="2"/>
    </row>
    <row r="80" spans="1:14" x14ac:dyDescent="0.2">
      <c r="B80" s="3" t="s">
        <v>101</v>
      </c>
      <c r="D80" s="3" t="s">
        <v>111</v>
      </c>
      <c r="F80" s="30" t="s">
        <v>43</v>
      </c>
      <c r="H80" s="12" t="str">
        <f>IF(B$40="","-",IF(J80="x","-",IF(F80="x","-","x")))</f>
        <v>x</v>
      </c>
      <c r="J80" s="30" t="s">
        <v>43</v>
      </c>
      <c r="L80" s="7"/>
      <c r="N80" s="25"/>
    </row>
    <row r="81" spans="2:14" ht="2.1" customHeight="1" x14ac:dyDescent="0.2">
      <c r="D81" s="1"/>
      <c r="F81" s="7"/>
      <c r="H81" s="7"/>
      <c r="J81" s="7"/>
      <c r="L81" s="7"/>
    </row>
    <row r="82" spans="2:14" x14ac:dyDescent="0.2">
      <c r="D82" s="3" t="s">
        <v>351</v>
      </c>
      <c r="F82" s="30" t="s">
        <v>43</v>
      </c>
      <c r="H82" s="12" t="str">
        <f>IF(B$40="","-",IF(J82="x","-",IF(F82="x","-","x")))</f>
        <v>x</v>
      </c>
      <c r="J82" s="30" t="s">
        <v>43</v>
      </c>
      <c r="L82" s="7"/>
      <c r="N82" s="25"/>
    </row>
    <row r="83" spans="2:14" ht="2.1" customHeight="1" x14ac:dyDescent="0.2">
      <c r="D83" s="1"/>
      <c r="F83" s="7"/>
      <c r="H83" s="7"/>
      <c r="J83" s="7"/>
      <c r="L83" s="7"/>
    </row>
    <row r="84" spans="2:14" x14ac:dyDescent="0.2">
      <c r="D84" s="3" t="s">
        <v>112</v>
      </c>
      <c r="F84" s="30" t="s">
        <v>43</v>
      </c>
      <c r="H84" s="12" t="str">
        <f>IF(B$40="","-",IF(J84="x","-",IF(F84="x","-","x")))</f>
        <v>x</v>
      </c>
      <c r="J84" s="30" t="s">
        <v>43</v>
      </c>
      <c r="L84" s="7"/>
      <c r="N84" s="25"/>
    </row>
    <row r="85" spans="2:14" x14ac:dyDescent="0.2">
      <c r="E85" s="4"/>
      <c r="N85" s="26"/>
    </row>
    <row r="86" spans="2:14" x14ac:dyDescent="0.2">
      <c r="B86" s="3" t="s">
        <v>106</v>
      </c>
      <c r="D86" s="3" t="s">
        <v>111</v>
      </c>
      <c r="F86" s="30" t="s">
        <v>43</v>
      </c>
      <c r="H86" s="12" t="str">
        <f>IF($B$50="","-",IF(J86="x","-",IF(F86="x","-","x")))</f>
        <v>-</v>
      </c>
      <c r="J86" s="30" t="s">
        <v>43</v>
      </c>
      <c r="L86" s="7"/>
      <c r="M86" s="51"/>
      <c r="N86" s="25"/>
    </row>
    <row r="87" spans="2:14" ht="2.1" customHeight="1" x14ac:dyDescent="0.2">
      <c r="D87" s="1"/>
      <c r="F87" s="7"/>
      <c r="H87" s="7"/>
      <c r="J87" s="7"/>
      <c r="L87" s="7"/>
    </row>
    <row r="88" spans="2:14" x14ac:dyDescent="0.2">
      <c r="D88" s="3" t="s">
        <v>351</v>
      </c>
      <c r="F88" s="30" t="s">
        <v>43</v>
      </c>
      <c r="H88" s="12" t="str">
        <f>IF($B$50="","-",IF(J88="x","-",IF(F88="x","-","x")))</f>
        <v>-</v>
      </c>
      <c r="J88" s="30" t="s">
        <v>43</v>
      </c>
      <c r="L88" s="7"/>
      <c r="N88" s="25"/>
    </row>
    <row r="89" spans="2:14" ht="2.1" customHeight="1" x14ac:dyDescent="0.2">
      <c r="D89" s="1"/>
      <c r="F89" s="7"/>
      <c r="H89" s="7"/>
      <c r="J89" s="7"/>
      <c r="L89" s="7"/>
    </row>
    <row r="90" spans="2:14" x14ac:dyDescent="0.2">
      <c r="D90" s="3" t="s">
        <v>112</v>
      </c>
      <c r="F90" s="30" t="s">
        <v>43</v>
      </c>
      <c r="H90" s="12" t="str">
        <f>IF($B$50="","-",IF(J90="x","-",IF(F90="x","-","x")))</f>
        <v>-</v>
      </c>
      <c r="J90" s="30" t="s">
        <v>43</v>
      </c>
      <c r="L90" s="7"/>
      <c r="N90" s="25"/>
    </row>
    <row r="91" spans="2:14" x14ac:dyDescent="0.2">
      <c r="E91" s="4"/>
      <c r="N91" s="26"/>
    </row>
    <row r="92" spans="2:14" x14ac:dyDescent="0.2">
      <c r="B92" s="3" t="s">
        <v>173</v>
      </c>
      <c r="D92" s="3" t="s">
        <v>111</v>
      </c>
      <c r="F92" s="30" t="s">
        <v>43</v>
      </c>
      <c r="H92" s="12" t="str">
        <f>IF($B$60="","-",IF(J92="x","-",IF(F92="x","-","x")))</f>
        <v>-</v>
      </c>
      <c r="J92" s="30" t="s">
        <v>43</v>
      </c>
      <c r="L92" s="7"/>
      <c r="M92" s="51"/>
      <c r="N92" s="25"/>
    </row>
    <row r="93" spans="2:14" ht="2.1" customHeight="1" x14ac:dyDescent="0.2">
      <c r="D93" s="1"/>
      <c r="F93" s="7"/>
      <c r="H93" s="7"/>
      <c r="J93" s="7"/>
      <c r="L93" s="7"/>
    </row>
    <row r="94" spans="2:14" x14ac:dyDescent="0.2">
      <c r="D94" s="3" t="s">
        <v>351</v>
      </c>
      <c r="F94" s="30" t="s">
        <v>43</v>
      </c>
      <c r="H94" s="12" t="str">
        <f>IF($B$60="","-",IF(J94="x","-",IF(F94="x","-","x")))</f>
        <v>-</v>
      </c>
      <c r="J94" s="30" t="s">
        <v>43</v>
      </c>
      <c r="L94" s="7"/>
      <c r="N94" s="25"/>
    </row>
    <row r="95" spans="2:14" ht="2.1" customHeight="1" x14ac:dyDescent="0.2">
      <c r="D95" s="1"/>
      <c r="F95" s="7"/>
      <c r="H95" s="7"/>
      <c r="J95" s="7"/>
      <c r="L95" s="7"/>
    </row>
    <row r="96" spans="2:14" x14ac:dyDescent="0.2">
      <c r="D96" s="3" t="s">
        <v>112</v>
      </c>
      <c r="F96" s="30" t="s">
        <v>43</v>
      </c>
      <c r="H96" s="12" t="str">
        <f>IF($B$60="","-",IF(J96="x","-",IF(F96="x","-","x")))</f>
        <v>-</v>
      </c>
      <c r="J96" s="30" t="s">
        <v>43</v>
      </c>
      <c r="L96" s="7"/>
      <c r="N96" s="25"/>
    </row>
    <row r="97" spans="1:14" x14ac:dyDescent="0.2">
      <c r="E97" s="4"/>
      <c r="N97" s="26"/>
    </row>
    <row r="98" spans="1:14" x14ac:dyDescent="0.2">
      <c r="B98" s="3" t="s">
        <v>174</v>
      </c>
      <c r="D98" s="3" t="s">
        <v>111</v>
      </c>
      <c r="F98" s="30" t="s">
        <v>43</v>
      </c>
      <c r="H98" s="12" t="str">
        <f>IF($B$70="","-",IF(J98="x","-",IF(F98="x","-","x")))</f>
        <v>-</v>
      </c>
      <c r="J98" s="30" t="s">
        <v>43</v>
      </c>
      <c r="L98" s="7"/>
      <c r="M98" s="51"/>
      <c r="N98" s="25"/>
    </row>
    <row r="99" spans="1:14" ht="2.1" customHeight="1" x14ac:dyDescent="0.2">
      <c r="D99" s="1"/>
      <c r="F99" s="7"/>
      <c r="H99" s="7"/>
      <c r="J99" s="7"/>
      <c r="L99" s="7"/>
    </row>
    <row r="100" spans="1:14" x14ac:dyDescent="0.2">
      <c r="D100" s="3" t="s">
        <v>351</v>
      </c>
      <c r="F100" s="30" t="s">
        <v>43</v>
      </c>
      <c r="H100" s="12" t="str">
        <f>IF($B$70="","-",IF(J100="x","-",IF(F100="x","-","x")))</f>
        <v>-</v>
      </c>
      <c r="J100" s="30" t="s">
        <v>43</v>
      </c>
      <c r="L100" s="7"/>
      <c r="N100" s="25"/>
    </row>
    <row r="101" spans="1:14" ht="2.1" customHeight="1" x14ac:dyDescent="0.2">
      <c r="D101" s="1"/>
      <c r="F101" s="7"/>
      <c r="H101" s="7"/>
      <c r="J101" s="7"/>
      <c r="L101" s="7"/>
    </row>
    <row r="102" spans="1:14" x14ac:dyDescent="0.2">
      <c r="D102" s="3" t="s">
        <v>112</v>
      </c>
      <c r="F102" s="30" t="s">
        <v>43</v>
      </c>
      <c r="H102" s="12" t="str">
        <f>IF($B$70="","-",IF(J102="x","-",IF(F102="x","-","x")))</f>
        <v>-</v>
      </c>
      <c r="J102" s="30" t="s">
        <v>43</v>
      </c>
      <c r="L102" s="7"/>
      <c r="N102" s="25"/>
    </row>
    <row r="103" spans="1:14" ht="4.9000000000000004" customHeight="1" x14ac:dyDescent="0.2"/>
    <row r="104" spans="1:14" x14ac:dyDescent="0.2">
      <c r="A104" s="2" t="s">
        <v>113</v>
      </c>
      <c r="B104" s="2"/>
    </row>
    <row r="105" spans="1:14" ht="2.1" customHeight="1" x14ac:dyDescent="0.2">
      <c r="A105" s="2"/>
      <c r="B105" s="2"/>
    </row>
    <row r="106" spans="1:14" x14ac:dyDescent="0.2">
      <c r="B106" s="3" t="s">
        <v>118</v>
      </c>
      <c r="F106" s="30" t="s">
        <v>43</v>
      </c>
      <c r="H106" s="12" t="str">
        <f>IF(J106="x","-",IF(F106="x","-","x"))</f>
        <v>x</v>
      </c>
      <c r="J106" s="7"/>
      <c r="L106" s="7"/>
      <c r="N106" s="25"/>
    </row>
    <row r="107" spans="1:14" ht="14.1" customHeight="1" x14ac:dyDescent="0.2">
      <c r="D107" s="1"/>
      <c r="F107" s="7"/>
      <c r="H107" s="7"/>
      <c r="J107" s="7"/>
      <c r="L107" s="7"/>
    </row>
    <row r="108" spans="1:14" x14ac:dyDescent="0.2">
      <c r="B108" s="3" t="s">
        <v>114</v>
      </c>
      <c r="D108" s="37" t="s">
        <v>157</v>
      </c>
      <c r="F108" s="30" t="s">
        <v>43</v>
      </c>
      <c r="H108" s="12" t="str">
        <f>IF(D108="","-",IF(J108="x","-",IF(F108="x","-","x")))</f>
        <v>x</v>
      </c>
      <c r="J108" s="7"/>
      <c r="L108" s="7"/>
      <c r="N108" s="50"/>
    </row>
    <row r="109" spans="1:14" ht="2.1" customHeight="1" x14ac:dyDescent="0.2">
      <c r="D109" s="1"/>
      <c r="F109" s="7"/>
      <c r="H109" s="7"/>
      <c r="J109" s="7"/>
      <c r="L109" s="7"/>
    </row>
    <row r="110" spans="1:14" x14ac:dyDescent="0.2">
      <c r="D110" s="3" t="s">
        <v>116</v>
      </c>
      <c r="F110" s="30" t="s">
        <v>43</v>
      </c>
      <c r="H110" s="12" t="str">
        <f>IF(D108="","-",IF(J110="x","-",IF(F110="x","-","x")))</f>
        <v>x</v>
      </c>
      <c r="J110" s="30" t="s">
        <v>43</v>
      </c>
      <c r="L110" s="7"/>
      <c r="N110" s="25"/>
    </row>
    <row r="111" spans="1:14" ht="2.1" customHeight="1" x14ac:dyDescent="0.2">
      <c r="D111" s="1"/>
      <c r="F111" s="7"/>
      <c r="H111" s="7"/>
      <c r="J111" s="7"/>
      <c r="L111" s="7"/>
    </row>
    <row r="112" spans="1:14" x14ac:dyDescent="0.2">
      <c r="D112" s="3" t="s">
        <v>115</v>
      </c>
      <c r="F112" s="30" t="s">
        <v>43</v>
      </c>
      <c r="H112" s="12" t="str">
        <f>IF(D108="","-",IF(J112="x","-",IF(F112="x","-","x")))</f>
        <v>x</v>
      </c>
      <c r="J112" s="30" t="s">
        <v>43</v>
      </c>
      <c r="L112" s="7"/>
      <c r="N112" s="25"/>
    </row>
    <row r="113" spans="1:14" ht="2.1" customHeight="1" x14ac:dyDescent="0.2">
      <c r="D113" s="1"/>
      <c r="F113" s="7"/>
      <c r="H113" s="7"/>
      <c r="J113" s="7"/>
      <c r="L113" s="7"/>
    </row>
    <row r="114" spans="1:14" x14ac:dyDescent="0.2">
      <c r="D114" s="3" t="s">
        <v>166</v>
      </c>
      <c r="F114" s="30" t="s">
        <v>43</v>
      </c>
      <c r="H114" s="12" t="str">
        <f>IF(D108="","-",IF(J114="x","-",IF(F114="x","-","x")))</f>
        <v>x</v>
      </c>
      <c r="J114" s="30" t="s">
        <v>43</v>
      </c>
      <c r="L114" s="30" t="s">
        <v>43</v>
      </c>
      <c r="N114" s="25"/>
    </row>
    <row r="115" spans="1:14" ht="14.1" customHeight="1" x14ac:dyDescent="0.2">
      <c r="D115" s="1"/>
      <c r="F115" s="7"/>
      <c r="H115" s="7"/>
      <c r="J115" s="7"/>
      <c r="L115" s="7"/>
    </row>
    <row r="116" spans="1:14" x14ac:dyDescent="0.2">
      <c r="B116" s="3" t="s">
        <v>165</v>
      </c>
      <c r="D116" s="37"/>
      <c r="F116" s="30" t="s">
        <v>43</v>
      </c>
      <c r="H116" s="12" t="str">
        <f>IF(D116="","-",IF(J116="x","-",IF(F116="x","-","x")))</f>
        <v>-</v>
      </c>
      <c r="J116" s="30" t="s">
        <v>43</v>
      </c>
      <c r="L116" s="7"/>
      <c r="N116" s="49"/>
    </row>
    <row r="117" spans="1:14" ht="2.1" customHeight="1" x14ac:dyDescent="0.2">
      <c r="D117" s="1"/>
      <c r="F117" s="7"/>
      <c r="H117" s="7"/>
      <c r="J117" s="7"/>
      <c r="L117" s="7"/>
    </row>
    <row r="118" spans="1:14" x14ac:dyDescent="0.2">
      <c r="D118" s="3" t="s">
        <v>116</v>
      </c>
      <c r="F118" s="30" t="s">
        <v>43</v>
      </c>
      <c r="H118" s="12" t="str">
        <f>IF(D116="","-",IF(J118="x","-",IF(F118="x","-","x")))</f>
        <v>-</v>
      </c>
      <c r="J118" s="30" t="s">
        <v>43</v>
      </c>
      <c r="L118" s="7"/>
      <c r="N118" s="49"/>
    </row>
    <row r="119" spans="1:14" ht="2.1" customHeight="1" x14ac:dyDescent="0.2">
      <c r="D119" s="1"/>
      <c r="F119" s="7"/>
      <c r="H119" s="7"/>
      <c r="J119" s="7"/>
      <c r="L119" s="7"/>
    </row>
    <row r="120" spans="1:14" x14ac:dyDescent="0.2">
      <c r="A120" s="34" t="s">
        <v>42</v>
      </c>
      <c r="D120" s="3" t="s">
        <v>115</v>
      </c>
      <c r="F120" s="30" t="s">
        <v>43</v>
      </c>
      <c r="H120" s="12" t="str">
        <f>IF(D116="","-",IF(J120="x","-",IF(F120="x","-","x")))</f>
        <v>-</v>
      </c>
      <c r="J120" s="30" t="s">
        <v>43</v>
      </c>
      <c r="L120" s="7"/>
      <c r="N120" s="49"/>
    </row>
    <row r="121" spans="1:14" ht="2.1" customHeight="1" x14ac:dyDescent="0.2">
      <c r="A121" s="3" t="s">
        <v>43</v>
      </c>
      <c r="D121" s="1"/>
      <c r="F121" s="7"/>
      <c r="H121" s="7"/>
      <c r="J121" s="7"/>
      <c r="L121" s="7"/>
    </row>
    <row r="122" spans="1:14" x14ac:dyDescent="0.2">
      <c r="D122" s="3" t="s">
        <v>166</v>
      </c>
      <c r="F122" s="30" t="s">
        <v>43</v>
      </c>
      <c r="H122" s="12" t="str">
        <f>IF(D116="","-",IF(J122="x","-",IF(F122="x","-","x")))</f>
        <v>-</v>
      </c>
      <c r="J122" s="30" t="s">
        <v>43</v>
      </c>
      <c r="L122" s="30" t="s">
        <v>43</v>
      </c>
      <c r="N122" s="49"/>
    </row>
    <row r="123" spans="1:14" ht="14.1" customHeight="1" x14ac:dyDescent="0.2">
      <c r="D123" s="1"/>
      <c r="F123" s="7"/>
      <c r="H123" s="7"/>
      <c r="J123" s="7"/>
      <c r="L123" s="7"/>
    </row>
    <row r="124" spans="1:14" x14ac:dyDescent="0.2">
      <c r="B124" s="3" t="s">
        <v>167</v>
      </c>
      <c r="D124" s="37"/>
      <c r="F124" s="30" t="s">
        <v>43</v>
      </c>
      <c r="H124" s="12" t="str">
        <f>IF(D124="","-",IF(J124="x","-",IF(F124="x","-","x")))</f>
        <v>-</v>
      </c>
      <c r="J124" s="30" t="s">
        <v>43</v>
      </c>
      <c r="L124" s="7"/>
      <c r="N124" s="49"/>
    </row>
    <row r="125" spans="1:14" ht="2.1" customHeight="1" x14ac:dyDescent="0.2">
      <c r="D125" s="1"/>
      <c r="F125" s="7"/>
      <c r="H125" s="7"/>
      <c r="J125" s="7"/>
      <c r="L125" s="7"/>
    </row>
    <row r="126" spans="1:14" x14ac:dyDescent="0.2">
      <c r="D126" s="3" t="s">
        <v>116</v>
      </c>
      <c r="F126" s="30" t="s">
        <v>43</v>
      </c>
      <c r="H126" s="12" t="str">
        <f>IF(D124="","-",IF(J126="x","-",IF(F126="x","-","x")))</f>
        <v>-</v>
      </c>
      <c r="J126" s="30" t="s">
        <v>43</v>
      </c>
      <c r="L126" s="7"/>
      <c r="N126" s="49"/>
    </row>
    <row r="127" spans="1:14" ht="2.1" customHeight="1" x14ac:dyDescent="0.2">
      <c r="D127" s="1"/>
      <c r="F127" s="7"/>
      <c r="H127" s="7"/>
      <c r="J127" s="7"/>
      <c r="L127" s="7"/>
    </row>
    <row r="128" spans="1:14" x14ac:dyDescent="0.2">
      <c r="D128" s="3" t="s">
        <v>115</v>
      </c>
      <c r="F128" s="30" t="s">
        <v>43</v>
      </c>
      <c r="H128" s="12" t="str">
        <f>IF(D124="","-",IF(J128="x","-",IF(F128="x","-","x")))</f>
        <v>-</v>
      </c>
      <c r="J128" s="30" t="s">
        <v>43</v>
      </c>
      <c r="L128" s="7"/>
      <c r="N128" s="49"/>
    </row>
    <row r="129" spans="2:14" ht="2.1" customHeight="1" x14ac:dyDescent="0.2">
      <c r="D129" s="1"/>
      <c r="F129" s="7"/>
      <c r="H129" s="7"/>
      <c r="J129" s="7"/>
      <c r="L129" s="7"/>
    </row>
    <row r="130" spans="2:14" x14ac:dyDescent="0.2">
      <c r="D130" s="3" t="s">
        <v>166</v>
      </c>
      <c r="F130" s="30" t="s">
        <v>43</v>
      </c>
      <c r="H130" s="12" t="str">
        <f>IF(D124="","-",IF(J130="x","-",IF(F130="x","-","x")))</f>
        <v>-</v>
      </c>
      <c r="J130" s="30" t="s">
        <v>43</v>
      </c>
      <c r="L130" s="30" t="s">
        <v>43</v>
      </c>
      <c r="N130" s="25"/>
    </row>
    <row r="131" spans="2:14" ht="14.1" customHeight="1" x14ac:dyDescent="0.2">
      <c r="D131" s="1"/>
      <c r="F131" s="7"/>
      <c r="H131" s="7"/>
      <c r="J131" s="7"/>
      <c r="L131" s="7"/>
    </row>
    <row r="132" spans="2:14" x14ac:dyDescent="0.2">
      <c r="B132" s="3" t="s">
        <v>168</v>
      </c>
      <c r="D132" s="37"/>
      <c r="F132" s="30" t="s">
        <v>43</v>
      </c>
      <c r="H132" s="12" t="str">
        <f>IF(D132="","-",IF(J132="x","-",IF(F132="x","-","x")))</f>
        <v>-</v>
      </c>
      <c r="J132" s="30" t="s">
        <v>43</v>
      </c>
      <c r="L132" s="7"/>
      <c r="N132" s="49"/>
    </row>
    <row r="133" spans="2:14" ht="2.1" customHeight="1" x14ac:dyDescent="0.2">
      <c r="D133" s="1"/>
      <c r="F133" s="7"/>
      <c r="H133" s="7"/>
      <c r="J133" s="7"/>
      <c r="L133" s="7"/>
    </row>
    <row r="134" spans="2:14" x14ac:dyDescent="0.2">
      <c r="D134" s="3" t="s">
        <v>116</v>
      </c>
      <c r="F134" s="30" t="s">
        <v>43</v>
      </c>
      <c r="H134" s="12" t="str">
        <f>IF(D132="","-",IF(J134="x","-",IF(F134="x","-","x")))</f>
        <v>-</v>
      </c>
      <c r="J134" s="30" t="s">
        <v>43</v>
      </c>
      <c r="L134" s="7"/>
      <c r="N134" s="49"/>
    </row>
    <row r="135" spans="2:14" ht="2.1" customHeight="1" x14ac:dyDescent="0.2">
      <c r="D135" s="1"/>
      <c r="F135" s="7"/>
      <c r="H135" s="7"/>
      <c r="J135" s="7"/>
      <c r="L135" s="7"/>
    </row>
    <row r="136" spans="2:14" x14ac:dyDescent="0.2">
      <c r="D136" s="3" t="s">
        <v>115</v>
      </c>
      <c r="F136" s="30" t="s">
        <v>43</v>
      </c>
      <c r="H136" s="12" t="str">
        <f>IF(D132="","-",IF(J136="x","-",IF(F136="x","-","x")))</f>
        <v>-</v>
      </c>
      <c r="J136" s="30" t="s">
        <v>43</v>
      </c>
      <c r="L136" s="7"/>
      <c r="N136" s="49"/>
    </row>
    <row r="137" spans="2:14" ht="2.1" customHeight="1" x14ac:dyDescent="0.2">
      <c r="D137" s="1"/>
      <c r="F137" s="7"/>
      <c r="H137" s="7"/>
      <c r="J137" s="7"/>
      <c r="L137" s="7"/>
    </row>
    <row r="138" spans="2:14" x14ac:dyDescent="0.2">
      <c r="D138" s="3" t="s">
        <v>117</v>
      </c>
      <c r="F138" s="30" t="s">
        <v>43</v>
      </c>
      <c r="H138" s="12" t="str">
        <f>IF(D132="","-",IF(J138="x","-",IF(F138="x","-","x")))</f>
        <v>-</v>
      </c>
      <c r="J138" s="30" t="s">
        <v>43</v>
      </c>
      <c r="L138" s="30" t="s">
        <v>43</v>
      </c>
      <c r="N138" s="25"/>
    </row>
    <row r="139" spans="2:14" x14ac:dyDescent="0.2">
      <c r="F139" s="27"/>
      <c r="H139" s="14"/>
      <c r="J139" s="7"/>
      <c r="L139" s="7"/>
      <c r="N139" s="26"/>
    </row>
    <row r="140" spans="2:14" x14ac:dyDescent="0.2">
      <c r="B140" s="3" t="s">
        <v>169</v>
      </c>
      <c r="D140" s="3" t="s">
        <v>115</v>
      </c>
      <c r="F140" s="30" t="s">
        <v>43</v>
      </c>
      <c r="H140" s="12" t="str">
        <f>IF(D140="","-",IF(J140="x","-",IF(F140="x","-","x")))</f>
        <v>x</v>
      </c>
      <c r="J140" s="30" t="s">
        <v>43</v>
      </c>
      <c r="L140" s="7"/>
      <c r="N140" s="25"/>
    </row>
    <row r="141" spans="2:14" ht="2.1" customHeight="1" x14ac:dyDescent="0.2">
      <c r="D141" s="1"/>
      <c r="F141" s="7"/>
      <c r="H141" s="7"/>
      <c r="J141" s="7"/>
      <c r="L141" s="7"/>
    </row>
    <row r="142" spans="2:14" x14ac:dyDescent="0.2">
      <c r="D142" s="3" t="s">
        <v>170</v>
      </c>
      <c r="F142" s="30" t="s">
        <v>43</v>
      </c>
      <c r="H142" s="12" t="str">
        <f>IF(D140="","-",IF(J142="x","-",IF(F142="x","-","x")))</f>
        <v>x</v>
      </c>
      <c r="J142" s="30" t="s">
        <v>43</v>
      </c>
      <c r="L142" s="7"/>
      <c r="N142" s="25"/>
    </row>
    <row r="143" spans="2:14" ht="2.1" customHeight="1" x14ac:dyDescent="0.2">
      <c r="D143" s="1"/>
      <c r="F143" s="7"/>
      <c r="H143" s="7"/>
      <c r="J143" s="7"/>
      <c r="L143" s="7"/>
    </row>
    <row r="144" spans="2:14" x14ac:dyDescent="0.2">
      <c r="D144" s="3" t="s">
        <v>171</v>
      </c>
      <c r="F144" s="30" t="s">
        <v>43</v>
      </c>
      <c r="H144" s="12" t="str">
        <f>IF(D140="","-",IF(J144="x","-",IF(F144="x","-","x")))</f>
        <v>x</v>
      </c>
      <c r="J144" s="30" t="s">
        <v>43</v>
      </c>
      <c r="L144" s="7"/>
      <c r="N144" s="25"/>
    </row>
    <row r="145" spans="1:14" ht="20.100000000000001" customHeight="1" x14ac:dyDescent="0.2"/>
    <row r="146" spans="1:14" x14ac:dyDescent="0.2">
      <c r="A146" s="2" t="s">
        <v>172</v>
      </c>
      <c r="B146" s="2"/>
    </row>
    <row r="147" spans="1:14" ht="2.1" customHeight="1" x14ac:dyDescent="0.2">
      <c r="A147" s="2"/>
      <c r="B147" s="2"/>
    </row>
    <row r="148" spans="1:14" x14ac:dyDescent="0.2">
      <c r="B148" s="3" t="s">
        <v>354</v>
      </c>
      <c r="F148" s="30" t="s">
        <v>43</v>
      </c>
      <c r="H148" s="12" t="str">
        <f>IF(J148="x","-",IF(F148="x","-","x"))</f>
        <v>x</v>
      </c>
      <c r="J148" s="30" t="s">
        <v>43</v>
      </c>
      <c r="L148" s="7"/>
      <c r="N148" s="25"/>
    </row>
    <row r="149" spans="1:14" ht="2.1" customHeight="1" x14ac:dyDescent="0.2">
      <c r="A149" s="2"/>
      <c r="B149" s="2"/>
    </row>
    <row r="150" spans="1:14" x14ac:dyDescent="0.2">
      <c r="B150" s="3" t="s">
        <v>355</v>
      </c>
      <c r="F150" s="30" t="s">
        <v>43</v>
      </c>
      <c r="H150" s="12" t="str">
        <f>IF(J150="x","-",IF(F150="x","-","x"))</f>
        <v>x</v>
      </c>
      <c r="J150" s="30" t="s">
        <v>43</v>
      </c>
      <c r="L150" s="7"/>
      <c r="N150" s="25"/>
    </row>
    <row r="151" spans="1:14" ht="2.1" customHeight="1" x14ac:dyDescent="0.2"/>
    <row r="152" spans="1:14" x14ac:dyDescent="0.2">
      <c r="B152" s="3" t="s">
        <v>431</v>
      </c>
      <c r="F152" s="30" t="s">
        <v>43</v>
      </c>
      <c r="H152" s="12" t="str">
        <f>IF(J152="x","-",IF(F152="x","-","x"))</f>
        <v>x</v>
      </c>
      <c r="J152" s="30" t="s">
        <v>43</v>
      </c>
      <c r="L152" s="7"/>
      <c r="N152" s="25"/>
    </row>
    <row r="153" spans="1:14" ht="2.1" customHeight="1" x14ac:dyDescent="0.2"/>
    <row r="154" spans="1:14" ht="72.75" customHeight="1" x14ac:dyDescent="0.2"/>
    <row r="155" spans="1:14" ht="56.25" customHeight="1" x14ac:dyDescent="0.2"/>
    <row r="156" spans="1:14" ht="37.9" customHeight="1" x14ac:dyDescent="0.2"/>
    <row r="157" spans="1:14" ht="45" customHeight="1" x14ac:dyDescent="0.2"/>
    <row r="158" spans="1:14" ht="10.9" customHeight="1" x14ac:dyDescent="0.2"/>
    <row r="159" spans="1:14" s="39" customFormat="1" ht="63" customHeight="1" x14ac:dyDescent="0.2">
      <c r="A159" s="2" t="s">
        <v>542</v>
      </c>
      <c r="B159" s="34"/>
      <c r="C159" s="35"/>
      <c r="D159" s="35"/>
      <c r="E159" s="35"/>
      <c r="F159" s="34"/>
      <c r="G159" s="34"/>
      <c r="H159" s="36"/>
      <c r="I159" s="34"/>
      <c r="J159" s="34"/>
      <c r="K159" s="34"/>
      <c r="L159" s="34"/>
      <c r="M159" s="34"/>
      <c r="N159" s="34"/>
    </row>
    <row r="160" spans="1:14" s="39" customFormat="1" ht="2.25" customHeight="1" x14ac:dyDescent="0.2">
      <c r="A160" s="34"/>
      <c r="B160" s="34"/>
      <c r="C160" s="35"/>
      <c r="D160" s="35"/>
      <c r="E160" s="35"/>
      <c r="F160" s="34"/>
      <c r="G160" s="34"/>
      <c r="H160" s="36"/>
      <c r="I160" s="34"/>
      <c r="J160" s="34"/>
      <c r="K160" s="34"/>
      <c r="L160" s="34"/>
      <c r="M160" s="34"/>
      <c r="N160" s="34"/>
    </row>
    <row r="161" spans="1:18" s="39" customFormat="1" ht="70.5" customHeight="1" x14ac:dyDescent="0.2">
      <c r="A161" s="52"/>
      <c r="B161" s="404"/>
      <c r="C161" s="404"/>
      <c r="D161" s="404"/>
      <c r="E161" s="404"/>
      <c r="F161" s="404"/>
      <c r="G161" s="404"/>
      <c r="H161" s="404"/>
      <c r="I161" s="404"/>
      <c r="J161" s="404"/>
      <c r="K161" s="404"/>
      <c r="L161" s="404"/>
      <c r="M161" s="404"/>
      <c r="N161" s="404"/>
      <c r="O161" s="52"/>
      <c r="P161" s="52"/>
    </row>
    <row r="162" spans="1:18" s="34" customFormat="1" ht="20.100000000000001" customHeight="1" x14ac:dyDescent="0.2">
      <c r="C162" s="35"/>
      <c r="D162" s="35"/>
      <c r="E162" s="35"/>
      <c r="H162" s="36"/>
    </row>
    <row r="163" spans="1:18" x14ac:dyDescent="0.2">
      <c r="A163" s="2" t="s">
        <v>38</v>
      </c>
      <c r="D163" s="34" t="b">
        <f>ISTEXT(B161)</f>
        <v>0</v>
      </c>
    </row>
    <row r="164" spans="1:18" ht="1.5" customHeight="1" x14ac:dyDescent="0.2">
      <c r="A164" s="2"/>
    </row>
    <row r="165" spans="1:18" ht="14.25" x14ac:dyDescent="0.2">
      <c r="A165" s="2"/>
      <c r="B165" s="3" t="s">
        <v>448</v>
      </c>
      <c r="D165" s="69" t="str">
        <f>IF(OR(COUNTIF(H15:H31,"x")=0,COUNTIF(F165,"x")&gt;0),"erfüllt", "nicht erfüllt")</f>
        <v>nicht erfüllt</v>
      </c>
      <c r="F165" s="30" t="s">
        <v>43</v>
      </c>
      <c r="H165" s="3" t="s">
        <v>451</v>
      </c>
    </row>
    <row r="166" spans="1:18" ht="1.5" customHeight="1" x14ac:dyDescent="0.2">
      <c r="A166" s="2"/>
    </row>
    <row r="167" spans="1:18" ht="14.25" x14ac:dyDescent="0.2">
      <c r="B167" s="3" t="s">
        <v>251</v>
      </c>
      <c r="D167" s="69" t="str">
        <f>IF(OR(COUNTIF(H34:H152,"x")=0,COUNTIF(F167,"x")&gt;0),"erfüllt", "nicht erfüllt")</f>
        <v>nicht erfüllt</v>
      </c>
      <c r="F167" s="30" t="s">
        <v>43</v>
      </c>
      <c r="H167" s="3" t="s">
        <v>449</v>
      </c>
    </row>
    <row r="168" spans="1:18" ht="1.5" customHeight="1" x14ac:dyDescent="0.2">
      <c r="D168" s="89"/>
    </row>
    <row r="170" spans="1:18" ht="13.5" customHeight="1" x14ac:dyDescent="0.2">
      <c r="A170" s="34"/>
      <c r="B170" s="3" t="s">
        <v>39</v>
      </c>
      <c r="D170" s="3" t="str">
        <f>IF(ISTEXT(Name_Kontr),Name_Kontr,"")</f>
        <v/>
      </c>
      <c r="F170" s="328" t="str">
        <f>IF(AND(NOT(D163),COUNTIF(F165:F167,"x")&gt;0),"Begründung und Empfehlung des weiteren Vorgehens erforderlich.","")</f>
        <v/>
      </c>
      <c r="G170" s="328"/>
      <c r="H170" s="328"/>
      <c r="I170" s="328"/>
      <c r="J170" s="328"/>
      <c r="K170" s="328"/>
      <c r="L170" s="328"/>
      <c r="M170" s="328"/>
      <c r="N170" s="328"/>
    </row>
    <row r="171" spans="1:18" ht="2.1" customHeight="1" x14ac:dyDescent="0.2">
      <c r="A171" s="34" t="s">
        <v>42</v>
      </c>
      <c r="F171" s="328"/>
      <c r="G171" s="328"/>
      <c r="H171" s="328"/>
      <c r="I171" s="328"/>
      <c r="J171" s="328"/>
      <c r="K171" s="328"/>
      <c r="L171" s="328"/>
      <c r="M171" s="328"/>
      <c r="N171" s="328"/>
    </row>
    <row r="172" spans="1:18" x14ac:dyDescent="0.2">
      <c r="A172" s="34" t="s">
        <v>43</v>
      </c>
      <c r="B172" s="3" t="s">
        <v>40</v>
      </c>
      <c r="D172" s="47">
        <f ca="1">Datum</f>
        <v>45866</v>
      </c>
      <c r="F172" s="328"/>
      <c r="G172" s="328"/>
      <c r="H172" s="328"/>
      <c r="I172" s="328"/>
      <c r="J172" s="328"/>
      <c r="K172" s="328"/>
      <c r="L172" s="328"/>
      <c r="M172" s="328"/>
      <c r="N172" s="328"/>
    </row>
    <row r="174" spans="1:18" ht="237.75" customHeight="1" x14ac:dyDescent="0.2"/>
    <row r="175" spans="1:18" ht="15.75" hidden="1" x14ac:dyDescent="0.25">
      <c r="D175" s="3" t="s">
        <v>157</v>
      </c>
      <c r="L175" s="28" t="s">
        <v>176</v>
      </c>
      <c r="N175" s="28" t="s">
        <v>177</v>
      </c>
      <c r="O175" s="28" t="s">
        <v>178</v>
      </c>
      <c r="Q175"/>
      <c r="R175"/>
    </row>
    <row r="176" spans="1:18" ht="15.75" hidden="1" x14ac:dyDescent="0.25">
      <c r="L176" s="28" t="s">
        <v>179</v>
      </c>
      <c r="N176" s="28" t="s">
        <v>180</v>
      </c>
      <c r="O176" s="28" t="s">
        <v>178</v>
      </c>
      <c r="Q176"/>
      <c r="R176"/>
    </row>
    <row r="177" spans="4:18" ht="15.75" hidden="1" x14ac:dyDescent="0.25">
      <c r="D177" s="3" t="s">
        <v>119</v>
      </c>
      <c r="L177" s="28" t="s">
        <v>181</v>
      </c>
      <c r="N177" s="28" t="s">
        <v>182</v>
      </c>
      <c r="O177" s="28" t="s">
        <v>183</v>
      </c>
      <c r="Q177"/>
      <c r="R177"/>
    </row>
    <row r="178" spans="4:18" ht="15.75" hidden="1" x14ac:dyDescent="0.25">
      <c r="D178" s="3" t="s">
        <v>120</v>
      </c>
      <c r="L178" s="28" t="s">
        <v>184</v>
      </c>
      <c r="N178" s="28" t="s">
        <v>185</v>
      </c>
      <c r="O178" s="28" t="s">
        <v>178</v>
      </c>
      <c r="Q178"/>
      <c r="R178"/>
    </row>
    <row r="179" spans="4:18" ht="15.75" hidden="1" x14ac:dyDescent="0.25">
      <c r="D179" s="3" t="s">
        <v>162</v>
      </c>
      <c r="L179" s="28" t="s">
        <v>186</v>
      </c>
      <c r="N179" s="28" t="s">
        <v>187</v>
      </c>
      <c r="O179" s="28" t="s">
        <v>183</v>
      </c>
      <c r="Q179"/>
      <c r="R179"/>
    </row>
    <row r="180" spans="4:18" ht="14.25" hidden="1" x14ac:dyDescent="0.2">
      <c r="D180" s="3" t="s">
        <v>121</v>
      </c>
      <c r="L180" s="28" t="s">
        <v>188</v>
      </c>
      <c r="N180" s="28" t="s">
        <v>189</v>
      </c>
      <c r="O180" s="28" t="s">
        <v>190</v>
      </c>
      <c r="Q180" s="28" t="s">
        <v>191</v>
      </c>
      <c r="R180" s="28" t="s">
        <v>191</v>
      </c>
    </row>
    <row r="181" spans="4:18" ht="15.75" hidden="1" x14ac:dyDescent="0.25">
      <c r="D181" s="3" t="s">
        <v>122</v>
      </c>
      <c r="L181" s="28" t="s">
        <v>192</v>
      </c>
      <c r="N181" s="28" t="s">
        <v>193</v>
      </c>
      <c r="O181" s="28" t="s">
        <v>183</v>
      </c>
      <c r="Q181"/>
      <c r="R181"/>
    </row>
    <row r="182" spans="4:18" ht="15.75" hidden="1" x14ac:dyDescent="0.25">
      <c r="D182" s="3" t="s">
        <v>163</v>
      </c>
      <c r="L182" s="28" t="s">
        <v>194</v>
      </c>
      <c r="N182" s="28" t="s">
        <v>195</v>
      </c>
      <c r="O182" s="28" t="s">
        <v>196</v>
      </c>
      <c r="Q182"/>
      <c r="R182"/>
    </row>
    <row r="183" spans="4:18" ht="15.75" hidden="1" x14ac:dyDescent="0.25">
      <c r="D183" s="3" t="s">
        <v>123</v>
      </c>
      <c r="L183" s="28" t="s">
        <v>197</v>
      </c>
      <c r="N183" s="28" t="s">
        <v>198</v>
      </c>
      <c r="O183" s="28" t="s">
        <v>199</v>
      </c>
      <c r="Q183"/>
      <c r="R183"/>
    </row>
    <row r="184" spans="4:18" ht="15.75" hidden="1" x14ac:dyDescent="0.25">
      <c r="D184" s="3" t="s">
        <v>124</v>
      </c>
      <c r="L184" s="28" t="s">
        <v>191</v>
      </c>
      <c r="N184" s="28" t="s">
        <v>200</v>
      </c>
      <c r="O184" s="28" t="s">
        <v>199</v>
      </c>
      <c r="Q184"/>
      <c r="R184"/>
    </row>
    <row r="185" spans="4:18" ht="14.25" hidden="1" x14ac:dyDescent="0.2">
      <c r="D185" s="3" t="s">
        <v>125</v>
      </c>
      <c r="L185" s="28" t="s">
        <v>201</v>
      </c>
      <c r="N185" s="28" t="s">
        <v>202</v>
      </c>
      <c r="O185" s="28" t="s">
        <v>203</v>
      </c>
      <c r="Q185" s="28" t="s">
        <v>191</v>
      </c>
      <c r="R185" s="28" t="s">
        <v>191</v>
      </c>
    </row>
    <row r="186" spans="4:18" ht="14.25" hidden="1" x14ac:dyDescent="0.2">
      <c r="D186" s="3" t="s">
        <v>158</v>
      </c>
      <c r="L186" s="28" t="s">
        <v>204</v>
      </c>
      <c r="N186" s="28" t="s">
        <v>205</v>
      </c>
      <c r="O186" s="28" t="s">
        <v>206</v>
      </c>
      <c r="Q186" s="28" t="s">
        <v>191</v>
      </c>
      <c r="R186" s="28" t="s">
        <v>191</v>
      </c>
    </row>
    <row r="187" spans="4:18" hidden="1" x14ac:dyDescent="0.2">
      <c r="D187" s="3" t="s">
        <v>159</v>
      </c>
    </row>
    <row r="188" spans="4:18" hidden="1" x14ac:dyDescent="0.2">
      <c r="D188" s="3" t="s">
        <v>160</v>
      </c>
    </row>
    <row r="189" spans="4:18" hidden="1" x14ac:dyDescent="0.2">
      <c r="D189" s="3" t="s">
        <v>161</v>
      </c>
    </row>
    <row r="190" spans="4:18" hidden="1" x14ac:dyDescent="0.2">
      <c r="D190" s="3" t="s">
        <v>126</v>
      </c>
    </row>
    <row r="191" spans="4:18" hidden="1" x14ac:dyDescent="0.2">
      <c r="D191" s="3" t="s">
        <v>127</v>
      </c>
    </row>
    <row r="192" spans="4:18" hidden="1" x14ac:dyDescent="0.2">
      <c r="D192" s="3" t="s">
        <v>128</v>
      </c>
    </row>
    <row r="193" spans="4:23" hidden="1" x14ac:dyDescent="0.2">
      <c r="D193" s="3" t="s">
        <v>129</v>
      </c>
    </row>
    <row r="194" spans="4:23" hidden="1" x14ac:dyDescent="0.2">
      <c r="D194" s="3" t="s">
        <v>130</v>
      </c>
      <c r="P194" s="2" t="s">
        <v>555</v>
      </c>
      <c r="S194" s="2" t="s">
        <v>565</v>
      </c>
      <c r="U194" s="3" t="s">
        <v>581</v>
      </c>
      <c r="W194" s="3" t="s">
        <v>582</v>
      </c>
    </row>
    <row r="195" spans="4:23" hidden="1" x14ac:dyDescent="0.2">
      <c r="D195" s="3" t="s">
        <v>131</v>
      </c>
      <c r="N195" s="3" t="s">
        <v>157</v>
      </c>
      <c r="P195" s="3" t="s">
        <v>43</v>
      </c>
      <c r="S195" s="3" t="s">
        <v>43</v>
      </c>
    </row>
    <row r="196" spans="4:23" hidden="1" x14ac:dyDescent="0.2">
      <c r="D196" s="3" t="s">
        <v>164</v>
      </c>
    </row>
    <row r="197" spans="4:23" hidden="1" x14ac:dyDescent="0.2">
      <c r="D197" s="3" t="s">
        <v>132</v>
      </c>
      <c r="N197" s="3" t="s">
        <v>399</v>
      </c>
      <c r="P197" s="3" t="s">
        <v>556</v>
      </c>
      <c r="S197" s="3" t="s">
        <v>566</v>
      </c>
    </row>
    <row r="198" spans="4:23" hidden="1" x14ac:dyDescent="0.2">
      <c r="D198" s="3" t="s">
        <v>134</v>
      </c>
      <c r="N198" s="3" t="s">
        <v>400</v>
      </c>
      <c r="P198" s="3" t="s">
        <v>556</v>
      </c>
      <c r="S198" s="3" t="s">
        <v>566</v>
      </c>
    </row>
    <row r="199" spans="4:23" hidden="1" x14ac:dyDescent="0.2">
      <c r="D199" s="3" t="s">
        <v>135</v>
      </c>
      <c r="N199" s="3" t="s">
        <v>401</v>
      </c>
      <c r="P199" s="3" t="s">
        <v>556</v>
      </c>
      <c r="S199" s="3" t="s">
        <v>567</v>
      </c>
    </row>
    <row r="200" spans="4:23" hidden="1" x14ac:dyDescent="0.2">
      <c r="D200" s="3" t="s">
        <v>136</v>
      </c>
      <c r="N200" s="3" t="s">
        <v>402</v>
      </c>
      <c r="P200" s="3" t="s">
        <v>556</v>
      </c>
      <c r="S200" s="3" t="s">
        <v>567</v>
      </c>
    </row>
    <row r="201" spans="4:23" hidden="1" x14ac:dyDescent="0.2">
      <c r="D201" s="3" t="s">
        <v>137</v>
      </c>
      <c r="N201" s="3" t="s">
        <v>403</v>
      </c>
      <c r="P201" s="3" t="s">
        <v>556</v>
      </c>
      <c r="S201" s="3" t="s">
        <v>567</v>
      </c>
    </row>
    <row r="202" spans="4:23" hidden="1" x14ac:dyDescent="0.2">
      <c r="D202" s="3" t="s">
        <v>138</v>
      </c>
      <c r="N202" s="3" t="s">
        <v>404</v>
      </c>
      <c r="P202" s="3" t="s">
        <v>556</v>
      </c>
      <c r="S202" s="3" t="s">
        <v>567</v>
      </c>
    </row>
    <row r="203" spans="4:23" hidden="1" x14ac:dyDescent="0.2">
      <c r="D203" s="3" t="s">
        <v>139</v>
      </c>
      <c r="N203" s="3" t="s">
        <v>405</v>
      </c>
      <c r="P203" s="3" t="s">
        <v>556</v>
      </c>
      <c r="S203" s="3" t="s">
        <v>568</v>
      </c>
    </row>
    <row r="204" spans="4:23" hidden="1" x14ac:dyDescent="0.2">
      <c r="D204" s="3" t="s">
        <v>133</v>
      </c>
      <c r="N204" s="3" t="s">
        <v>406</v>
      </c>
      <c r="P204" s="3" t="s">
        <v>556</v>
      </c>
      <c r="S204" s="3" t="s">
        <v>568</v>
      </c>
    </row>
    <row r="205" spans="4:23" hidden="1" x14ac:dyDescent="0.2">
      <c r="D205" s="3" t="s">
        <v>140</v>
      </c>
      <c r="N205" s="3" t="s">
        <v>407</v>
      </c>
      <c r="P205" s="3" t="s">
        <v>556</v>
      </c>
      <c r="S205" s="3" t="s">
        <v>569</v>
      </c>
    </row>
    <row r="206" spans="4:23" hidden="1" x14ac:dyDescent="0.2">
      <c r="D206" s="3" t="s">
        <v>141</v>
      </c>
      <c r="N206" s="3" t="s">
        <v>408</v>
      </c>
      <c r="P206" s="3" t="s">
        <v>556</v>
      </c>
      <c r="S206" s="3" t="s">
        <v>569</v>
      </c>
    </row>
    <row r="207" spans="4:23" hidden="1" x14ac:dyDescent="0.2">
      <c r="D207" s="3" t="s">
        <v>142</v>
      </c>
      <c r="N207" s="3" t="s">
        <v>409</v>
      </c>
      <c r="P207" s="3" t="s">
        <v>556</v>
      </c>
      <c r="S207" s="3" t="s">
        <v>567</v>
      </c>
    </row>
    <row r="208" spans="4:23" hidden="1" x14ac:dyDescent="0.2">
      <c r="D208" s="3" t="s">
        <v>143</v>
      </c>
      <c r="N208" s="3" t="s">
        <v>410</v>
      </c>
      <c r="P208" s="3" t="s">
        <v>558</v>
      </c>
      <c r="S208" s="3" t="s">
        <v>570</v>
      </c>
    </row>
    <row r="209" spans="4:19" hidden="1" x14ac:dyDescent="0.2">
      <c r="D209" s="3" t="s">
        <v>144</v>
      </c>
      <c r="N209" s="3" t="s">
        <v>411</v>
      </c>
      <c r="P209" s="3" t="s">
        <v>559</v>
      </c>
      <c r="S209" s="3" t="s">
        <v>571</v>
      </c>
    </row>
    <row r="210" spans="4:19" hidden="1" x14ac:dyDescent="0.2">
      <c r="D210" s="3" t="s">
        <v>145</v>
      </c>
      <c r="N210" s="3" t="s">
        <v>121</v>
      </c>
      <c r="P210" s="3" t="s">
        <v>560</v>
      </c>
      <c r="S210" s="3" t="s">
        <v>571</v>
      </c>
    </row>
    <row r="211" spans="4:19" hidden="1" x14ac:dyDescent="0.2">
      <c r="D211" s="3" t="s">
        <v>147</v>
      </c>
      <c r="N211" s="3" t="s">
        <v>412</v>
      </c>
      <c r="P211" s="3" t="s">
        <v>559</v>
      </c>
      <c r="S211" s="3" t="s">
        <v>572</v>
      </c>
    </row>
    <row r="212" spans="4:19" hidden="1" x14ac:dyDescent="0.2">
      <c r="D212" s="3" t="s">
        <v>148</v>
      </c>
      <c r="N212" s="3" t="s">
        <v>119</v>
      </c>
      <c r="P212" s="3" t="s">
        <v>560</v>
      </c>
      <c r="S212" s="3" t="s">
        <v>572</v>
      </c>
    </row>
    <row r="213" spans="4:19" hidden="1" x14ac:dyDescent="0.2">
      <c r="D213" s="3" t="s">
        <v>149</v>
      </c>
      <c r="N213" s="3" t="s">
        <v>413</v>
      </c>
      <c r="P213" s="3" t="s">
        <v>559</v>
      </c>
      <c r="S213" s="3" t="s">
        <v>573</v>
      </c>
    </row>
    <row r="214" spans="4:19" hidden="1" x14ac:dyDescent="0.2">
      <c r="D214" s="3" t="s">
        <v>146</v>
      </c>
      <c r="N214" s="3" t="s">
        <v>414</v>
      </c>
      <c r="P214" s="3" t="s">
        <v>560</v>
      </c>
      <c r="S214" s="3" t="s">
        <v>573</v>
      </c>
    </row>
    <row r="215" spans="4:19" hidden="1" x14ac:dyDescent="0.2">
      <c r="D215" s="3" t="s">
        <v>150</v>
      </c>
      <c r="N215" s="3" t="s">
        <v>415</v>
      </c>
      <c r="P215" s="3" t="s">
        <v>559</v>
      </c>
      <c r="S215" s="3" t="s">
        <v>574</v>
      </c>
    </row>
    <row r="216" spans="4:19" hidden="1" x14ac:dyDescent="0.2">
      <c r="D216" s="3" t="s">
        <v>151</v>
      </c>
      <c r="N216" s="3" t="s">
        <v>416</v>
      </c>
      <c r="P216" s="3" t="s">
        <v>560</v>
      </c>
      <c r="S216" s="3" t="s">
        <v>574</v>
      </c>
    </row>
    <row r="217" spans="4:19" hidden="1" x14ac:dyDescent="0.2">
      <c r="D217" s="3" t="s">
        <v>152</v>
      </c>
      <c r="N217" s="3" t="s">
        <v>417</v>
      </c>
      <c r="P217" s="51" t="s">
        <v>563</v>
      </c>
      <c r="S217" s="3" t="s">
        <v>575</v>
      </c>
    </row>
    <row r="218" spans="4:19" hidden="1" x14ac:dyDescent="0.2">
      <c r="D218" s="3" t="s">
        <v>153</v>
      </c>
      <c r="N218" s="3" t="s">
        <v>418</v>
      </c>
      <c r="P218" s="3" t="s">
        <v>561</v>
      </c>
      <c r="S218" s="3" t="s">
        <v>576</v>
      </c>
    </row>
    <row r="219" spans="4:19" hidden="1" x14ac:dyDescent="0.2">
      <c r="D219" s="3" t="s">
        <v>154</v>
      </c>
      <c r="N219" s="3" t="s">
        <v>419</v>
      </c>
      <c r="P219" s="3" t="s">
        <v>561</v>
      </c>
      <c r="S219" s="3" t="s">
        <v>577</v>
      </c>
    </row>
    <row r="220" spans="4:19" hidden="1" x14ac:dyDescent="0.2">
      <c r="D220" s="3" t="s">
        <v>155</v>
      </c>
      <c r="N220" s="3" t="s">
        <v>420</v>
      </c>
      <c r="P220" s="3" t="s">
        <v>561</v>
      </c>
      <c r="S220" s="3" t="s">
        <v>576</v>
      </c>
    </row>
    <row r="221" spans="4:19" hidden="1" x14ac:dyDescent="0.2">
      <c r="D221" s="3" t="s">
        <v>156</v>
      </c>
      <c r="N221" s="3" t="s">
        <v>421</v>
      </c>
      <c r="P221" s="3" t="s">
        <v>562</v>
      </c>
      <c r="S221" s="51" t="s">
        <v>578</v>
      </c>
    </row>
    <row r="222" spans="4:19" hidden="1" x14ac:dyDescent="0.2">
      <c r="D222" s="3" t="s">
        <v>69</v>
      </c>
      <c r="N222" s="3" t="s">
        <v>422</v>
      </c>
      <c r="P222" s="3" t="s">
        <v>126</v>
      </c>
      <c r="S222" s="3" t="s">
        <v>579</v>
      </c>
    </row>
    <row r="223" spans="4:19" hidden="1" x14ac:dyDescent="0.2">
      <c r="N223" s="3" t="s">
        <v>423</v>
      </c>
      <c r="P223" s="3" t="s">
        <v>127</v>
      </c>
      <c r="S223" s="3" t="s">
        <v>579</v>
      </c>
    </row>
    <row r="224" spans="4:19" hidden="1" x14ac:dyDescent="0.2">
      <c r="N224" s="3" t="s">
        <v>424</v>
      </c>
      <c r="P224" s="3" t="s">
        <v>127</v>
      </c>
      <c r="S224" s="3" t="s">
        <v>579</v>
      </c>
    </row>
    <row r="225" spans="11:23" hidden="1" x14ac:dyDescent="0.2">
      <c r="N225" s="3" t="s">
        <v>128</v>
      </c>
      <c r="P225" s="3" t="s">
        <v>126</v>
      </c>
      <c r="S225" s="3" t="s">
        <v>579</v>
      </c>
    </row>
    <row r="226" spans="11:23" hidden="1" x14ac:dyDescent="0.2">
      <c r="N226" s="3" t="s">
        <v>425</v>
      </c>
      <c r="P226" s="3" t="s">
        <v>564</v>
      </c>
      <c r="S226" s="51" t="s">
        <v>578</v>
      </c>
    </row>
    <row r="227" spans="11:23" hidden="1" x14ac:dyDescent="0.2"/>
    <row r="228" spans="11:23" hidden="1" x14ac:dyDescent="0.2"/>
    <row r="229" spans="11:23" hidden="1" x14ac:dyDescent="0.2"/>
    <row r="230" spans="11:23" hidden="1" x14ac:dyDescent="0.2">
      <c r="K230" s="2" t="s">
        <v>583</v>
      </c>
      <c r="N230" s="3" t="str">
        <f>INDEX(N194:Y226,MATCH(Wärmeerzeuger1,N194:N226,0),MATCH("Wärmeerzeuger",N194:Y194,0))</f>
        <v>-</v>
      </c>
    </row>
    <row r="231" spans="11:23" hidden="1" x14ac:dyDescent="0.2">
      <c r="K231" s="2" t="s">
        <v>584</v>
      </c>
      <c r="N231" s="3" t="e">
        <f>INDEX(N194:Y226,MATCH(Wärmeerzeuger2,N194:N226,0),MATCH("Wärmeerzeuger",N194:Y194,0))</f>
        <v>#N/A</v>
      </c>
    </row>
    <row r="232" spans="11:23" hidden="1" x14ac:dyDescent="0.2">
      <c r="K232" s="2" t="s">
        <v>585</v>
      </c>
      <c r="L232" s="2"/>
      <c r="N232" s="3" t="str">
        <f>INDEX(N194:Y226,MATCH(Wärmeerzeuger1,N194:N226,0),MATCH("Energiequelle",N194:Y194,0))</f>
        <v>-</v>
      </c>
    </row>
    <row r="233" spans="11:23" hidden="1" x14ac:dyDescent="0.2">
      <c r="K233" s="2" t="s">
        <v>586</v>
      </c>
      <c r="L233" s="2"/>
      <c r="N233" s="3" t="e">
        <f>INDEX(N194:Y226,MATCH(Wärmeerzeuger2,N194:N226,0),MATCH("Energiequelle",N194:Y194,0))</f>
        <v>#N/A</v>
      </c>
    </row>
    <row r="234" spans="11:23" hidden="1" x14ac:dyDescent="0.2"/>
    <row r="235" spans="11:23" hidden="1" x14ac:dyDescent="0.2"/>
    <row r="236" spans="11:23" hidden="1" x14ac:dyDescent="0.2">
      <c r="W236" s="3" t="s">
        <v>549</v>
      </c>
    </row>
    <row r="237" spans="11:23" hidden="1" x14ac:dyDescent="0.2"/>
    <row r="238" spans="11:23" hidden="1" x14ac:dyDescent="0.2">
      <c r="N238" s="3" t="str">
        <f>Wärmeerzeuger1</f>
        <v>Wärmeerzeugung wählen</v>
      </c>
      <c r="W238" s="3" t="s">
        <v>547</v>
      </c>
    </row>
    <row r="239" spans="11:23" hidden="1" x14ac:dyDescent="0.2">
      <c r="N239" s="3" t="str">
        <f>WZ1_Zweck</f>
        <v>Zweck gem. Angaben EN-103 eintragen</v>
      </c>
      <c r="W239" s="3" t="s">
        <v>550</v>
      </c>
    </row>
    <row r="240" spans="11:23" hidden="1" x14ac:dyDescent="0.2">
      <c r="N240" s="3">
        <f>WZ1_Gebäude</f>
        <v>0</v>
      </c>
      <c r="W240" s="3" t="s">
        <v>548</v>
      </c>
    </row>
    <row r="241" spans="14:25" hidden="1" x14ac:dyDescent="0.2">
      <c r="W241" s="3" t="s">
        <v>551</v>
      </c>
    </row>
    <row r="242" spans="14:25" hidden="1" x14ac:dyDescent="0.2">
      <c r="N242" s="3">
        <f>Wärmeerzeuger2</f>
        <v>0</v>
      </c>
      <c r="W242" s="3" t="s">
        <v>552</v>
      </c>
    </row>
    <row r="243" spans="14:25" hidden="1" x14ac:dyDescent="0.2">
      <c r="N243" s="3">
        <f>WZ2_Zweck</f>
        <v>0</v>
      </c>
      <c r="W243" s="3" t="s">
        <v>553</v>
      </c>
    </row>
    <row r="244" spans="14:25" hidden="1" x14ac:dyDescent="0.2">
      <c r="N244" s="3">
        <f>WZ2_Gebäude</f>
        <v>0</v>
      </c>
      <c r="W244" s="3" t="s">
        <v>554</v>
      </c>
    </row>
    <row r="245" spans="14:25" hidden="1" x14ac:dyDescent="0.2"/>
    <row r="246" spans="14:25" hidden="1" x14ac:dyDescent="0.2"/>
    <row r="247" spans="14:25" hidden="1" x14ac:dyDescent="0.2"/>
    <row r="248" spans="14:25" hidden="1" x14ac:dyDescent="0.2"/>
    <row r="249" spans="14:25" hidden="1" x14ac:dyDescent="0.2">
      <c r="N249" s="3" t="s">
        <v>524</v>
      </c>
      <c r="O249" s="3" t="s">
        <v>516</v>
      </c>
      <c r="Q249" s="3" t="str">
        <f>IF(OR(WZ1_Zweck="Heizung (H)",WZ1_Zweck="Heizung (H) + Warmwasser (WW)",WZ1_Zweck="Heizung (H) + Prozesse (Proz.)",WZ1_Zweck="Heizung (H) + Warmwasser (WW) + Prozesse (Proz.)"),CONCATENATE(N230," ",WZ1_Gebäude),"-")</f>
        <v>-</v>
      </c>
      <c r="S249" s="137"/>
      <c r="T249" s="137"/>
      <c r="U249" s="137"/>
      <c r="V249" s="137"/>
      <c r="W249" s="137"/>
      <c r="X249" s="137"/>
      <c r="Y249" s="137"/>
    </row>
    <row r="250" spans="14:25" hidden="1" x14ac:dyDescent="0.2">
      <c r="S250" s="123"/>
      <c r="T250" s="123"/>
      <c r="U250" s="123"/>
      <c r="V250" s="123"/>
      <c r="W250" s="2"/>
      <c r="X250" s="2"/>
      <c r="Y250" s="2"/>
    </row>
    <row r="251" spans="14:25" hidden="1" x14ac:dyDescent="0.2">
      <c r="N251" s="3" t="s">
        <v>525</v>
      </c>
      <c r="O251" s="3" t="s">
        <v>517</v>
      </c>
      <c r="Q251" s="3" t="str">
        <f>IF(OR(WZ2_Zweck="Heizung (H)",WZ2_Zweck="Heizung (H) + Warmwasser (WW)",WZ2_Zweck="Heizung (H) + Prozesse (Proz.)",WZ2_Zweck="Heizung (H) + Warmwasser (WW) + Prozesse (Proz.)"),CONCATENATE(N230," ",WZ2_Gebäude),"-")</f>
        <v>-</v>
      </c>
      <c r="S251" s="137"/>
      <c r="T251" s="137"/>
      <c r="U251" s="137"/>
      <c r="V251" s="137"/>
      <c r="W251" s="137"/>
      <c r="X251" s="137"/>
      <c r="Y251" s="137"/>
    </row>
    <row r="252" spans="14:25" hidden="1" x14ac:dyDescent="0.2">
      <c r="S252" s="123"/>
      <c r="T252" s="123"/>
      <c r="U252" s="123"/>
      <c r="V252" s="123"/>
      <c r="W252" s="2"/>
      <c r="X252" s="2"/>
      <c r="Y252" s="2"/>
    </row>
    <row r="253" spans="14:25" hidden="1" x14ac:dyDescent="0.2">
      <c r="N253" s="3" t="s">
        <v>526</v>
      </c>
      <c r="O253" s="3" t="s">
        <v>518</v>
      </c>
      <c r="Q253" s="3" t="str">
        <f>IF(OR(WZ1_Zweck="Heizung (H)",WZ1_Zweck="Heizung (H) + Warmwasser (WW)",WZ1_Zweck="Heizung (H) + Prozesse (Proz.)",WZ1_Zweck="Heizung (H) + Warmwasser (WW) + Prozesse (Proz.)"),N232,"-")</f>
        <v>-</v>
      </c>
      <c r="S253" s="405"/>
      <c r="T253" s="405"/>
      <c r="U253" s="405"/>
      <c r="V253" s="405"/>
      <c r="W253" s="405"/>
      <c r="X253" s="405"/>
      <c r="Y253" s="405"/>
    </row>
    <row r="254" spans="14:25" hidden="1" x14ac:dyDescent="0.2">
      <c r="S254" s="123"/>
      <c r="T254" s="123"/>
      <c r="U254" s="123"/>
      <c r="V254" s="123"/>
      <c r="W254" s="2"/>
      <c r="X254" s="2"/>
      <c r="Y254" s="2"/>
    </row>
    <row r="255" spans="14:25" hidden="1" x14ac:dyDescent="0.2">
      <c r="N255" s="3" t="s">
        <v>527</v>
      </c>
      <c r="O255" s="3" t="s">
        <v>519</v>
      </c>
      <c r="Q255" s="3" t="str">
        <f>IF(OR(WZ2_Zweck="Heizung (H)",WZ2_Zweck="Heizung (H) + Warmwasser (WW)",WZ2_Zweck="Heizung (H) + Prozesse (Proz.)",WZ2_Zweck="Heizung (H) + Warmwasser (WW) + Prozesse (Proz.)"),N233,"-")</f>
        <v>-</v>
      </c>
      <c r="S255" s="405"/>
      <c r="T255" s="405"/>
      <c r="U255" s="405"/>
      <c r="V255" s="405"/>
      <c r="W255" s="405"/>
      <c r="X255" s="405"/>
      <c r="Y255" s="405"/>
    </row>
    <row r="256" spans="14:25" hidden="1" x14ac:dyDescent="0.2">
      <c r="S256" s="123"/>
      <c r="T256" s="123"/>
      <c r="U256" s="123"/>
      <c r="V256" s="123"/>
      <c r="W256" s="2"/>
      <c r="X256" s="2"/>
      <c r="Y256" s="2"/>
    </row>
    <row r="257" spans="14:25" hidden="1" x14ac:dyDescent="0.2">
      <c r="N257" s="3" t="s">
        <v>528</v>
      </c>
      <c r="O257" s="3" t="s">
        <v>520</v>
      </c>
      <c r="Q257" s="1" t="str">
        <f>IF(OR(WZ1_Zweck="Warmwasser (WW)",WZ1_Zweck="Heizung (H) + Warmwasser (WW)",WZ1_Zweck="Warmwasser (WW) + Prozesse (Proz.)",WZ1_Zweck="Heizung (H) + Warmwasser (WW) + Prozesse (Proz.)"),CONCATENATE(N230," ",WZ1_Gebäude),"-")</f>
        <v>-</v>
      </c>
      <c r="R257" s="1"/>
      <c r="S257" s="1"/>
      <c r="T257" s="1"/>
      <c r="U257" s="1"/>
      <c r="V257" s="1"/>
      <c r="W257" s="1"/>
      <c r="X257" s="1"/>
      <c r="Y257" s="1"/>
    </row>
    <row r="258" spans="14:25" hidden="1" x14ac:dyDescent="0.2">
      <c r="S258" s="123"/>
      <c r="T258" s="123"/>
      <c r="U258" s="123"/>
      <c r="V258" s="123"/>
      <c r="W258" s="2"/>
      <c r="X258" s="2"/>
      <c r="Y258" s="2"/>
    </row>
    <row r="259" spans="14:25" hidden="1" x14ac:dyDescent="0.2">
      <c r="N259" s="3" t="s">
        <v>529</v>
      </c>
      <c r="O259" s="3" t="s">
        <v>521</v>
      </c>
      <c r="Q259" s="3" t="str">
        <f>IF(OR(WZ2_Zweck="Warmwasser (WW)",WZ2_Zweck="Heizung (H) + Warmwasser (WW)",WZ2_Zweck="Warmwasser (WW) + Prozesse (Proz.)",WZ2_Zweck="Heizung (H) + Warmwasser (WW) + Prozesse (Proz.)"),CONCATENATE(N231," ",WZ2_Gebäude),"-")</f>
        <v>-</v>
      </c>
      <c r="S259" s="137"/>
      <c r="T259" s="137"/>
      <c r="U259" s="137"/>
      <c r="V259" s="137"/>
      <c r="W259" s="137"/>
      <c r="X259" s="137"/>
      <c r="Y259" s="137"/>
    </row>
    <row r="260" spans="14:25" hidden="1" x14ac:dyDescent="0.2">
      <c r="S260" s="123"/>
      <c r="T260" s="123"/>
      <c r="U260" s="123"/>
      <c r="V260" s="123"/>
      <c r="W260" s="2"/>
      <c r="X260" s="2"/>
      <c r="Y260" s="2"/>
    </row>
    <row r="261" spans="14:25" hidden="1" x14ac:dyDescent="0.2">
      <c r="N261" s="3" t="s">
        <v>530</v>
      </c>
      <c r="O261" s="3" t="s">
        <v>522</v>
      </c>
      <c r="Q261" s="3" t="str">
        <f>IF(OR(WZ1_Zweck="Warmwasser (WW)",WZ1_Zweck="Heizung (H) + Warmwasser (WW)",WZ1_Zweck="Warmwasser (WW) + Prozesse (Proz.)",WZ1_Zweck="Heizung (H) + Warmwasser (WW) + Prozesse (Proz.)"),N232,"-")</f>
        <v>-</v>
      </c>
      <c r="S261" s="405"/>
      <c r="T261" s="405"/>
      <c r="U261" s="405"/>
      <c r="V261" s="405"/>
      <c r="W261" s="405"/>
      <c r="X261" s="405"/>
      <c r="Y261" s="405"/>
    </row>
    <row r="262" spans="14:25" hidden="1" x14ac:dyDescent="0.2">
      <c r="S262" s="123"/>
      <c r="T262" s="123"/>
      <c r="U262" s="123"/>
      <c r="V262" s="123"/>
      <c r="W262" s="2"/>
      <c r="X262" s="2"/>
      <c r="Y262" s="2"/>
    </row>
    <row r="263" spans="14:25" hidden="1" x14ac:dyDescent="0.2">
      <c r="N263" s="3" t="s">
        <v>531</v>
      </c>
      <c r="O263" s="3" t="s">
        <v>523</v>
      </c>
      <c r="Q263" s="3" t="str">
        <f>IF(OR(WZ2_Zweck="Warmwasser (WW)",WZ2_Zweck="Heizung (H) + Warmwasser (WW)",WZ2_Zweck="Warmwasser (WW) + Prozesse (Proz.)",WZ2_Zweck="Heizung (H) + Warmwasser (WW) + Prozesse (Proz.)"),N233,"-")</f>
        <v>-</v>
      </c>
      <c r="S263" s="405"/>
      <c r="T263" s="405"/>
      <c r="U263" s="405"/>
      <c r="V263" s="405"/>
      <c r="W263" s="405"/>
      <c r="X263" s="405"/>
      <c r="Y263" s="405"/>
    </row>
    <row r="264" spans="14:25" hidden="1" x14ac:dyDescent="0.2"/>
    <row r="265" spans="14:25" hidden="1" x14ac:dyDescent="0.2"/>
  </sheetData>
  <sheetProtection algorithmName="SHA-512" hashValue="QhQjZevbsSL4vcycqR7FQ0aVXdqbAJa//T7Ve+sbbVOR7iqvgEqp9BD6tVZCXdRhA164wOdPvke2JQfWalYMWA==" saltValue="jc4axCG22nige/qNoCd6fA==" spinCount="100000" sheet="1" formatRows="0"/>
  <mergeCells count="7">
    <mergeCell ref="B29:D29"/>
    <mergeCell ref="S255:Y255"/>
    <mergeCell ref="S261:Y261"/>
    <mergeCell ref="S263:Y263"/>
    <mergeCell ref="B161:N161"/>
    <mergeCell ref="F170:N172"/>
    <mergeCell ref="S253:Y253"/>
  </mergeCells>
  <phoneticPr fontId="7" type="noConversion"/>
  <conditionalFormatting sqref="B48:N57 B86:N90">
    <cfRule type="expression" dxfId="189" priority="28">
      <formula>$B$50=""</formula>
    </cfRule>
  </conditionalFormatting>
  <conditionalFormatting sqref="B58:N67 B92:N96">
    <cfRule type="expression" dxfId="188" priority="27">
      <formula>$B$60=""</formula>
    </cfRule>
  </conditionalFormatting>
  <conditionalFormatting sqref="B98:N102 B68:N77">
    <cfRule type="expression" dxfId="187" priority="25">
      <formula>$B$70=""</formula>
    </cfRule>
  </conditionalFormatting>
  <conditionalFormatting sqref="C99:L99">
    <cfRule type="expression" dxfId="186" priority="19">
      <formula>$F$68="x"</formula>
    </cfRule>
  </conditionalFormatting>
  <conditionalFormatting sqref="C118:N122">
    <cfRule type="expression" dxfId="185" priority="18">
      <formula>$D$116=""</formula>
    </cfRule>
  </conditionalFormatting>
  <conditionalFormatting sqref="D165">
    <cfRule type="beginsWith" dxfId="184" priority="5" operator="beginsWith" text="erfüllt">
      <formula>LEFT(D165,LEN("erfüllt"))="erfüllt"</formula>
    </cfRule>
    <cfRule type="containsText" dxfId="183" priority="6" operator="containsText" text="nicht erfüllt">
      <formula>NOT(ISERROR(SEARCH("nicht erfüllt",D165)))</formula>
    </cfRule>
  </conditionalFormatting>
  <conditionalFormatting sqref="D167:D168">
    <cfRule type="beginsWith" dxfId="181" priority="7" operator="beginsWith" text="erfüllt">
      <formula>LEFT(D167,LEN("erfüllt"))="erfüllt"</formula>
    </cfRule>
    <cfRule type="containsText" dxfId="180" priority="8" operator="containsText" text="nicht erfüllt">
      <formula>NOT(ISERROR(SEARCH("nicht erfüllt",D167)))</formula>
    </cfRule>
  </conditionalFormatting>
  <conditionalFormatting sqref="D126:N130">
    <cfRule type="expression" dxfId="179" priority="17">
      <formula>$D$124=""</formula>
    </cfRule>
  </conditionalFormatting>
  <conditionalFormatting sqref="D134:N138">
    <cfRule type="expression" dxfId="178" priority="16">
      <formula>$D$132=""</formula>
    </cfRule>
  </conditionalFormatting>
  <conditionalFormatting sqref="H15:H152">
    <cfRule type="cellIs" dxfId="177" priority="1" operator="equal">
      <formula>"x"</formula>
    </cfRule>
  </conditionalFormatting>
  <conditionalFormatting sqref="H98">
    <cfRule type="expression" dxfId="176" priority="15">
      <formula>$F$68="x"</formula>
    </cfRule>
  </conditionalFormatting>
  <conditionalFormatting sqref="H100">
    <cfRule type="expression" dxfId="175" priority="4">
      <formula>$F$68="x"</formula>
    </cfRule>
  </conditionalFormatting>
  <conditionalFormatting sqref="H102">
    <cfRule type="expression" dxfId="174" priority="3">
      <formula>$F$68="x"</formula>
    </cfRule>
  </conditionalFormatting>
  <dataValidations count="5">
    <dataValidation type="list" allowBlank="1" showInputMessage="1" showErrorMessage="1" sqref="F139" xr:uid="{00000000-0002-0000-0200-000000000000}">
      <formula1>$A$213:$A$214</formula1>
    </dataValidation>
    <dataValidation type="list" allowBlank="1" showInputMessage="1" showErrorMessage="1" sqref="E176:G221 I176:I221" xr:uid="{00000000-0002-0000-0200-000001000000}">
      <formula1>Erzeugung</formula1>
    </dataValidation>
    <dataValidation type="list" allowBlank="1" showInputMessage="1" showErrorMessage="1" sqref="D108" xr:uid="{00000000-0002-0000-0200-000002000000}">
      <formula1>$D$175:$D$222</formula1>
    </dataValidation>
    <dataValidation type="list" allowBlank="1" showInputMessage="1" showErrorMessage="1" sqref="F19 F68 J148 J152 J144 J142 J140 J138 J136 J134 L138 J130 J128 J126 L130 J122 J120 J118 L122 J114 J112 J110 F140 F138 F136 F134 F132 F130 F128 F126 F124 F122 F120 F118 F116 L114 F150 F144 F142 F114 F112 F110 F108 F106 J102 J100 J98 J96 J94 J92 J90 J88 J86 J84 J82 J80 F102 F100 F98 F96 F94 F92 F90 F88 F86 F84 F82 F80 F76 F74 F72 F70 F21 F64 F62 F60 F56:F58 F54 F52 F50 J150 F44 F42 F40 F167 F148 J23 J21 J19 F34:F38 F23 F66 F152 F46:F48 J25:J31 F25:F31 J116 J124 J132" xr:uid="{00000000-0002-0000-0200-000003000000}">
      <formula1>$A$120:$A$121</formula1>
    </dataValidation>
    <dataValidation type="list" allowBlank="1" showInputMessage="1" showErrorMessage="1" sqref="D116 D124 D132" xr:uid="{00000000-0002-0000-0200-000004000000}">
      <formula1>$D$176:$D$221</formula1>
    </dataValidation>
  </dataValidations>
  <hyperlinks>
    <hyperlink ref="N1" r:id="rId1" xr:uid="{68DE2442-D9B2-40BC-8527-ADF8AEC44BBE}"/>
    <hyperlink ref="N2" location="'EN-Kt.'!A1" display="Zurück zm EN-Kt. " xr:uid="{8D6A02ED-85FC-42DA-AE3A-62ECC369835D}"/>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 r:id="rId4"/>
  <legacyDrawingHF r:id="rId5"/>
  <extLst>
    <ext xmlns:x14="http://schemas.microsoft.com/office/spreadsheetml/2009/9/main" uri="{78C0D931-6437-407d-A8EE-F0AAD7539E65}">
      <x14:conditionalFormattings>
        <x14:conditionalFormatting xmlns:xm="http://schemas.microsoft.com/office/excel/2006/main">
          <x14:cfRule type="containsText" priority="9" operator="containsText" text="nicht" id="{286EB6D6-16AB-4E16-97AF-925C17B45BDE}">
            <xm:f>NOT(ISERROR(SEARCH("nicht",'EN-104'!B168)))</xm:f>
            <x14:dxf>
              <font>
                <color rgb="FF9C0006"/>
              </font>
              <fill>
                <patternFill>
                  <bgColor rgb="FFFFC7CE"/>
                </patternFill>
              </fill>
            </x14:dxf>
          </x14:cfRule>
          <xm:sqref>D167:D168 D165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5000000}">
          <x14:formula1>
            <xm:f>'EN-Kt.'!$A$207:$A$208</xm:f>
          </x14:formula1>
          <xm:sqref>F17 F15 F165</xm:sqref>
        </x14:dataValidation>
        <x14:dataValidation type="list" allowBlank="1" showInputMessage="1" showErrorMessage="1" xr:uid="{00000000-0002-0000-0200-000006000000}">
          <x14:formula1>
            <xm:f>'EN-Kt.'!$C$298:$C$302</xm:f>
          </x14:formula1>
          <xm:sqref>D34</xm:sqref>
        </x14:dataValidation>
        <x14:dataValidation type="list" allowBlank="1" showInputMessage="1" showErrorMessage="1" xr:uid="{00000000-0002-0000-0200-000007000000}">
          <x14:formula1>
            <xm:f>'EN-Kt.'!$C$304:$C$307</xm:f>
          </x14:formula1>
          <xm:sqref>D9:L9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31F35-67F1-4F2E-B6FC-32E17AAF97A4}">
  <sheetPr codeName="Tabelle24">
    <tabColor theme="0"/>
  </sheetPr>
  <dimension ref="A1:Y220"/>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0.5" style="3" customWidth="1"/>
    <col min="14" max="14" width="44.625" style="3" customWidth="1"/>
    <col min="15" max="15" width="10.875" style="3"/>
    <col min="16" max="20" width="10.875" style="3" hidden="1" customWidth="1"/>
    <col min="21" max="16384" width="10.875" style="3"/>
  </cols>
  <sheetData>
    <row r="1" spans="1:16" s="22" customFormat="1" ht="18" x14ac:dyDescent="0.25">
      <c r="A1" s="6" t="s">
        <v>792</v>
      </c>
      <c r="B1" s="6"/>
      <c r="N1" s="117" t="s">
        <v>503</v>
      </c>
      <c r="P1" s="23"/>
    </row>
    <row r="2" spans="1:16" s="22" customFormat="1" ht="18" x14ac:dyDescent="0.25">
      <c r="A2" s="6" t="s">
        <v>793</v>
      </c>
      <c r="B2" s="6"/>
      <c r="N2" s="117" t="s">
        <v>734</v>
      </c>
    </row>
    <row r="3" spans="1:16" ht="63.95" customHeight="1" x14ac:dyDescent="0.2">
      <c r="A3" s="2" t="s">
        <v>61</v>
      </c>
      <c r="D3" s="1"/>
      <c r="F3" s="7"/>
      <c r="G3" s="7"/>
      <c r="H3" s="7"/>
      <c r="I3" s="7"/>
      <c r="J3" s="8"/>
      <c r="L3" s="8"/>
    </row>
    <row r="4" spans="1:16" ht="2.1" customHeight="1" x14ac:dyDescent="0.2">
      <c r="A4" s="2"/>
      <c r="D4" s="1"/>
      <c r="F4" s="7"/>
      <c r="G4" s="7"/>
      <c r="H4" s="7"/>
      <c r="I4" s="7"/>
      <c r="J4" s="8"/>
      <c r="L4" s="8"/>
    </row>
    <row r="5" spans="1:16" x14ac:dyDescent="0.2">
      <c r="B5" s="3" t="s">
        <v>62</v>
      </c>
      <c r="D5" s="97" t="str">
        <f>IF(ISTEXT(Gemeinde),Gemeinde,"")</f>
        <v/>
      </c>
      <c r="E5" s="16"/>
      <c r="F5" s="18"/>
      <c r="G5" s="18"/>
      <c r="H5" s="18"/>
      <c r="I5" s="18"/>
      <c r="J5" s="19"/>
      <c r="K5" s="16"/>
      <c r="L5" s="19"/>
      <c r="M5" s="16"/>
      <c r="N5" s="16"/>
    </row>
    <row r="6" spans="1:16" ht="2.1" customHeight="1" x14ac:dyDescent="0.2">
      <c r="D6" s="96"/>
      <c r="F6" s="7"/>
      <c r="G6" s="7"/>
      <c r="H6" s="7"/>
      <c r="I6" s="7"/>
      <c r="J6" s="8"/>
      <c r="L6" s="8"/>
    </row>
    <row r="7" spans="1:16" x14ac:dyDescent="0.2">
      <c r="B7" s="3" t="s">
        <v>63</v>
      </c>
      <c r="D7" s="16" t="str">
        <f>IF(ISTEXT(Bauvorhaben),Bauvorhaben,"")</f>
        <v/>
      </c>
      <c r="E7" s="16"/>
      <c r="F7" s="18"/>
      <c r="G7" s="18"/>
      <c r="H7" s="18"/>
      <c r="I7" s="18"/>
      <c r="J7" s="19"/>
      <c r="K7" s="16"/>
      <c r="L7" s="19"/>
      <c r="M7" s="16"/>
      <c r="N7" s="16"/>
    </row>
    <row r="8" spans="1:16" ht="2.1" customHeight="1" x14ac:dyDescent="0.2">
      <c r="F8" s="7"/>
      <c r="G8" s="7"/>
      <c r="H8" s="7"/>
      <c r="I8" s="7"/>
      <c r="J8" s="8"/>
      <c r="L8" s="8"/>
    </row>
    <row r="9" spans="1:16" x14ac:dyDescent="0.2">
      <c r="B9" s="38" t="s">
        <v>64</v>
      </c>
      <c r="C9" s="38"/>
      <c r="D9" s="218" t="s">
        <v>491</v>
      </c>
      <c r="E9" s="198"/>
      <c r="F9" s="198"/>
      <c r="G9" s="198"/>
      <c r="H9" s="198"/>
      <c r="I9" s="198"/>
      <c r="J9" s="198"/>
      <c r="K9" s="198"/>
      <c r="L9" s="198"/>
      <c r="M9" s="198"/>
      <c r="N9" s="198"/>
    </row>
    <row r="10" spans="1:16" ht="2.1" customHeight="1" x14ac:dyDescent="0.2">
      <c r="F10" s="7"/>
      <c r="G10" s="7"/>
      <c r="H10" s="7"/>
      <c r="I10" s="7"/>
      <c r="J10" s="8"/>
      <c r="L10" s="8"/>
    </row>
    <row r="11" spans="1:16" x14ac:dyDescent="0.2">
      <c r="B11" s="3" t="s">
        <v>65</v>
      </c>
      <c r="D11" s="16" t="str">
        <f>IF(ISTEXT(Kontrollbeauftragter),Kontrollbeauftragter,"")</f>
        <v/>
      </c>
      <c r="E11" s="16"/>
      <c r="F11" s="18"/>
      <c r="G11" s="18"/>
      <c r="H11" s="18"/>
      <c r="I11" s="18"/>
      <c r="J11" s="19"/>
      <c r="K11" s="16"/>
      <c r="L11" s="19"/>
      <c r="M11" s="16"/>
      <c r="N11" s="16"/>
    </row>
    <row r="12" spans="1:16" ht="20.100000000000001" customHeight="1" x14ac:dyDescent="0.2"/>
    <row r="13" spans="1:16" ht="61.15" customHeight="1" x14ac:dyDescent="0.2">
      <c r="A13" s="2" t="s">
        <v>444</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736</v>
      </c>
      <c r="F15" s="30" t="s">
        <v>43</v>
      </c>
      <c r="H15" s="12" t="str">
        <f>IF(J15="x","-",IF(F15="x","-","x"))</f>
        <v>x</v>
      </c>
      <c r="J15" s="115"/>
      <c r="K15" s="26"/>
      <c r="L15" s="115"/>
      <c r="N15" s="103"/>
    </row>
    <row r="16" spans="1:16" ht="2.1" customHeight="1" x14ac:dyDescent="0.2">
      <c r="A16" s="2"/>
      <c r="B16" s="2"/>
      <c r="F16" s="115"/>
      <c r="G16" s="7"/>
      <c r="H16" s="7"/>
      <c r="I16" s="7"/>
      <c r="J16" s="251"/>
      <c r="K16" s="26"/>
      <c r="L16" s="251"/>
      <c r="N16" s="214"/>
    </row>
    <row r="17" spans="2:19" ht="14.1" customHeight="1" x14ac:dyDescent="0.2">
      <c r="B17" s="81" t="s">
        <v>756</v>
      </c>
      <c r="F17" s="30" t="s">
        <v>43</v>
      </c>
      <c r="H17" s="12" t="str">
        <f>IF(J17="x","-",IF(F17="x","-","x"))</f>
        <v>x</v>
      </c>
      <c r="J17" s="115"/>
      <c r="K17" s="26"/>
      <c r="L17" s="115"/>
      <c r="N17" s="103"/>
    </row>
    <row r="18" spans="2:19" ht="2.1" customHeight="1" x14ac:dyDescent="0.2">
      <c r="F18" s="115" t="s">
        <v>43</v>
      </c>
      <c r="H18" s="7"/>
      <c r="J18" s="115"/>
      <c r="K18" s="26"/>
      <c r="L18" s="115"/>
      <c r="N18" s="214"/>
    </row>
    <row r="19" spans="2:19" x14ac:dyDescent="0.2">
      <c r="B19" s="3" t="s">
        <v>757</v>
      </c>
      <c r="F19" s="30" t="s">
        <v>43</v>
      </c>
      <c r="H19" s="12" t="str">
        <f>IF(J19="x","-",IF(F19="x","-","x"))</f>
        <v>x</v>
      </c>
      <c r="J19" s="30" t="s">
        <v>43</v>
      </c>
      <c r="K19" s="26"/>
      <c r="L19" s="115"/>
      <c r="N19" s="103"/>
    </row>
    <row r="20" spans="2:19" ht="2.1" customHeight="1" x14ac:dyDescent="0.2">
      <c r="F20" s="115"/>
      <c r="H20" s="7"/>
      <c r="J20" s="115"/>
      <c r="K20" s="26"/>
      <c r="L20" s="115"/>
      <c r="N20" s="214"/>
    </row>
    <row r="21" spans="2:19" x14ac:dyDescent="0.2">
      <c r="B21" s="3" t="s">
        <v>758</v>
      </c>
      <c r="F21" s="30" t="s">
        <v>43</v>
      </c>
      <c r="H21" s="12" t="str">
        <f>IF(J21="x","-",IF(F21="x","-","x"))</f>
        <v>x</v>
      </c>
      <c r="J21" s="30" t="s">
        <v>43</v>
      </c>
      <c r="K21" s="26"/>
      <c r="L21" s="115"/>
      <c r="N21" s="103"/>
      <c r="S21" s="3" t="str">
        <f>IF(OR(AND(C38="-", Q21=C118),OR(Q17="III – Verwaltung",Q19="III – Verwaltung")),"nicht zulässig", IF(AND(OR(E17="x",E19="x",E21="x"),Q21=""),"Angabe fehlt",""  ))</f>
        <v/>
      </c>
    </row>
    <row r="22" spans="2:19" ht="2.1" customHeight="1" x14ac:dyDescent="0.2">
      <c r="F22" s="115"/>
      <c r="H22" s="7"/>
      <c r="J22" s="115"/>
      <c r="K22" s="26"/>
      <c r="L22" s="115"/>
      <c r="N22" s="214" t="s">
        <v>814</v>
      </c>
    </row>
    <row r="23" spans="2:19" x14ac:dyDescent="0.2">
      <c r="B23" s="3" t="s">
        <v>759</v>
      </c>
      <c r="F23" s="30" t="s">
        <v>43</v>
      </c>
      <c r="H23" s="12" t="str">
        <f>IF(J23="x","-",IF(F23="x","-","x"))</f>
        <v>x</v>
      </c>
      <c r="J23" s="30" t="s">
        <v>43</v>
      </c>
      <c r="K23" s="26"/>
      <c r="L23" s="115"/>
      <c r="N23" s="103"/>
    </row>
    <row r="24" spans="2:19" ht="2.1" customHeight="1" x14ac:dyDescent="0.2">
      <c r="F24" s="115"/>
      <c r="H24" s="7"/>
      <c r="J24" s="115"/>
      <c r="K24" s="26"/>
      <c r="L24" s="115"/>
      <c r="N24" s="214" t="s">
        <v>815</v>
      </c>
    </row>
    <row r="25" spans="2:19" x14ac:dyDescent="0.2">
      <c r="B25" s="3" t="s">
        <v>763</v>
      </c>
      <c r="F25" s="30" t="s">
        <v>43</v>
      </c>
      <c r="H25" s="12" t="str">
        <f>IF(J25="x","-",IF(F25="x","-","x"))</f>
        <v>x</v>
      </c>
      <c r="J25" s="30" t="s">
        <v>43</v>
      </c>
      <c r="K25" s="26"/>
      <c r="L25" s="115"/>
      <c r="M25" s="51"/>
      <c r="N25" s="103"/>
    </row>
    <row r="26" spans="2:19" ht="2.1" customHeight="1" x14ac:dyDescent="0.2">
      <c r="F26" s="27"/>
      <c r="H26" s="14"/>
      <c r="J26" s="27"/>
      <c r="K26" s="26"/>
      <c r="L26" s="115"/>
      <c r="N26" s="214"/>
    </row>
    <row r="27" spans="2:19" ht="13.5" customHeight="1" x14ac:dyDescent="0.2">
      <c r="F27" s="27"/>
      <c r="H27" s="14"/>
      <c r="J27" s="27"/>
      <c r="K27" s="26"/>
      <c r="L27" s="115"/>
      <c r="N27" s="103"/>
    </row>
    <row r="28" spans="2:19" ht="2.1" customHeight="1" x14ac:dyDescent="0.2">
      <c r="F28" s="27"/>
      <c r="H28" s="14"/>
      <c r="J28" s="27"/>
      <c r="K28" s="26"/>
      <c r="L28" s="115"/>
      <c r="N28" s="214"/>
    </row>
    <row r="29" spans="2:19" ht="13.5" customHeight="1" x14ac:dyDescent="0.2">
      <c r="B29" s="3" t="s">
        <v>813</v>
      </c>
      <c r="F29" s="30" t="s">
        <v>43</v>
      </c>
      <c r="H29" s="12" t="str">
        <f>IF(J29="x","-",IF(F29="x","-","x"))</f>
        <v>x</v>
      </c>
      <c r="J29" s="27"/>
      <c r="K29" s="26"/>
      <c r="L29" s="115"/>
      <c r="N29" s="103"/>
    </row>
    <row r="30" spans="2:19" ht="1.5" customHeight="1" x14ac:dyDescent="0.2">
      <c r="F30" s="27"/>
      <c r="H30" s="14"/>
      <c r="J30" s="27"/>
      <c r="K30" s="26"/>
      <c r="L30" s="115"/>
      <c r="N30" s="214"/>
    </row>
    <row r="31" spans="2:19" ht="13.5" customHeight="1" x14ac:dyDescent="0.2">
      <c r="F31" s="27"/>
      <c r="H31" s="14"/>
      <c r="J31" s="27"/>
      <c r="K31" s="26"/>
      <c r="L31" s="115"/>
      <c r="N31" s="214"/>
    </row>
    <row r="32" spans="2:19" ht="2.1" customHeight="1" thickBot="1" x14ac:dyDescent="0.25">
      <c r="F32" s="27"/>
      <c r="H32" s="14"/>
      <c r="J32" s="27"/>
      <c r="K32" s="26"/>
      <c r="L32" s="115"/>
      <c r="N32" s="214"/>
    </row>
    <row r="33" spans="1:14" ht="13.9" customHeight="1" thickBot="1" x14ac:dyDescent="0.25">
      <c r="A33" s="2" t="s">
        <v>760</v>
      </c>
      <c r="B33" s="2"/>
      <c r="F33" s="258" t="s">
        <v>43</v>
      </c>
      <c r="J33" s="26"/>
      <c r="K33" s="26"/>
      <c r="L33" s="115"/>
      <c r="N33" s="214"/>
    </row>
    <row r="34" spans="1:14" ht="2.1" customHeight="1" x14ac:dyDescent="0.2">
      <c r="A34" s="2"/>
      <c r="B34" s="2"/>
      <c r="F34" s="115" t="s">
        <v>42</v>
      </c>
      <c r="G34" s="7"/>
      <c r="H34" s="7"/>
      <c r="I34" s="7"/>
      <c r="J34" s="251"/>
      <c r="K34" s="26"/>
      <c r="L34" s="251"/>
      <c r="N34" s="214"/>
    </row>
    <row r="35" spans="1:14" ht="13.9" customHeight="1" x14ac:dyDescent="0.2">
      <c r="A35" s="2"/>
      <c r="B35" s="3" t="s">
        <v>761</v>
      </c>
      <c r="D35" s="16" t="str">
        <f>Kanton</f>
        <v>Kt. auswählen</v>
      </c>
      <c r="F35" s="115"/>
      <c r="G35" s="7"/>
      <c r="H35" s="7"/>
      <c r="I35" s="7"/>
      <c r="J35" s="251"/>
      <c r="K35" s="26"/>
      <c r="L35" s="251"/>
      <c r="N35" s="103"/>
    </row>
    <row r="36" spans="1:14" ht="2.1" customHeight="1" x14ac:dyDescent="0.2">
      <c r="A36" s="2"/>
      <c r="B36" s="2"/>
      <c r="F36" s="115"/>
      <c r="G36" s="7"/>
      <c r="H36" s="7"/>
      <c r="I36" s="7"/>
      <c r="J36" s="251"/>
      <c r="K36" s="26"/>
      <c r="L36" s="251"/>
      <c r="N36" s="214"/>
    </row>
    <row r="37" spans="1:14" x14ac:dyDescent="0.2">
      <c r="B37" s="3" t="s">
        <v>100</v>
      </c>
      <c r="D37" s="247" t="s">
        <v>107</v>
      </c>
      <c r="F37" s="30" t="str">
        <f>IF($F$33="x","x","-")</f>
        <v>-</v>
      </c>
      <c r="H37" s="12" t="str">
        <f>IF(J37="x","-",IF(F37="x","-","x"))</f>
        <v>x</v>
      </c>
      <c r="J37" s="26"/>
      <c r="K37" s="26"/>
      <c r="L37" s="115"/>
      <c r="N37" s="103"/>
    </row>
    <row r="38" spans="1:14" ht="1.5" customHeight="1" x14ac:dyDescent="0.2">
      <c r="D38" s="11"/>
      <c r="F38" s="27"/>
      <c r="H38" s="14"/>
      <c r="J38" s="26"/>
      <c r="K38" s="26"/>
      <c r="L38" s="115"/>
      <c r="N38" s="214"/>
    </row>
    <row r="39" spans="1:14" ht="15.75" x14ac:dyDescent="0.25">
      <c r="A39" s="228" t="s">
        <v>502</v>
      </c>
      <c r="B39" s="3" t="s">
        <v>762</v>
      </c>
      <c r="D39" s="248" t="s">
        <v>791</v>
      </c>
      <c r="F39" s="30" t="str">
        <f>IF($F$33="x","x","-")</f>
        <v>-</v>
      </c>
      <c r="H39" s="12" t="str">
        <f>IF(OR(F39="x",J39="x"),"-",IF(F39="x","-","x"))</f>
        <v>x</v>
      </c>
      <c r="J39" s="26"/>
      <c r="K39" s="26"/>
      <c r="L39" s="115"/>
      <c r="N39" s="103"/>
    </row>
    <row r="40" spans="1:14" ht="1.5" customHeight="1" x14ac:dyDescent="0.2">
      <c r="D40" s="11"/>
      <c r="F40" s="27"/>
      <c r="H40" s="14"/>
      <c r="J40" s="26"/>
      <c r="K40" s="26"/>
      <c r="L40" s="115"/>
      <c r="N40" s="214"/>
    </row>
    <row r="41" spans="1:14" ht="12" customHeight="1" x14ac:dyDescent="0.2">
      <c r="B41" s="3" t="s">
        <v>102</v>
      </c>
      <c r="D41" s="247" t="s">
        <v>428</v>
      </c>
      <c r="F41" s="30" t="str">
        <f>IF($F$33="x","x","-")</f>
        <v>-</v>
      </c>
      <c r="H41" s="12" t="str">
        <f>IF(OR(F41="x",J41="x"),"-",IF(F41="x","-","x"))</f>
        <v>x</v>
      </c>
      <c r="J41" s="26"/>
      <c r="K41" s="26"/>
      <c r="L41" s="115"/>
      <c r="M41" s="3" t="s">
        <v>822</v>
      </c>
      <c r="N41" s="103"/>
    </row>
    <row r="42" spans="1:14" ht="1.5" customHeight="1" x14ac:dyDescent="0.2">
      <c r="D42" s="1"/>
      <c r="F42" s="115"/>
      <c r="H42" s="7"/>
      <c r="J42" s="115"/>
      <c r="K42" s="26"/>
      <c r="L42" s="115"/>
      <c r="N42" s="214"/>
    </row>
    <row r="43" spans="1:14" x14ac:dyDescent="0.2">
      <c r="B43" s="3" t="s">
        <v>764</v>
      </c>
      <c r="D43" s="250">
        <v>0</v>
      </c>
      <c r="F43" s="30" t="str">
        <f>IF($F$33="x","x","-")</f>
        <v>-</v>
      </c>
      <c r="H43" s="12" t="str">
        <f>IF(OR(F43="x",J43="x"),"-",IF(F43="x","-","x"))</f>
        <v>x</v>
      </c>
      <c r="J43" s="115"/>
      <c r="K43" s="26"/>
      <c r="L43" s="115"/>
      <c r="N43" s="103"/>
    </row>
    <row r="44" spans="1:14" ht="2.1" customHeight="1" x14ac:dyDescent="0.2">
      <c r="F44" s="115"/>
      <c r="H44" s="7"/>
      <c r="J44" s="115"/>
      <c r="K44" s="26"/>
      <c r="L44" s="115"/>
      <c r="N44" s="214"/>
    </row>
    <row r="45" spans="1:14" x14ac:dyDescent="0.2">
      <c r="B45" s="3" t="s">
        <v>765</v>
      </c>
      <c r="F45" s="30" t="str">
        <f>IF($F$33="x","x","-")</f>
        <v>-</v>
      </c>
      <c r="H45" s="12" t="str">
        <f>IF(OR(F45="x",J45="x"),"-",IF(F45="x","-","x"))</f>
        <v>x</v>
      </c>
      <c r="J45" s="115"/>
      <c r="K45" s="26"/>
      <c r="L45" s="115"/>
      <c r="N45" s="103"/>
    </row>
    <row r="46" spans="1:14" ht="2.1" customHeight="1" x14ac:dyDescent="0.2">
      <c r="F46" s="115"/>
      <c r="H46" s="7"/>
      <c r="J46" s="115"/>
      <c r="K46" s="26"/>
      <c r="L46" s="115"/>
      <c r="N46" s="214"/>
    </row>
    <row r="47" spans="1:14" x14ac:dyDescent="0.2">
      <c r="B47" s="3" t="s">
        <v>766</v>
      </c>
      <c r="F47" s="26"/>
      <c r="J47" s="26"/>
      <c r="K47" s="26"/>
      <c r="L47" s="115"/>
      <c r="N47" s="103"/>
    </row>
    <row r="48" spans="1:14" ht="2.1" customHeight="1" x14ac:dyDescent="0.2">
      <c r="F48" s="115"/>
      <c r="H48" s="7"/>
      <c r="J48" s="115"/>
      <c r="K48" s="26"/>
      <c r="L48" s="115"/>
      <c r="N48" s="214"/>
    </row>
    <row r="49" spans="1:14" ht="14.25" x14ac:dyDescent="0.25">
      <c r="A49" s="227" t="s">
        <v>502</v>
      </c>
      <c r="B49" s="3" t="s">
        <v>767</v>
      </c>
      <c r="F49" s="30" t="str">
        <f>IF($F$33="x","x","-")</f>
        <v>-</v>
      </c>
      <c r="H49" s="12" t="str">
        <f>IF(OR(F49="x",J49="x"),"-",IF(F49="x","-","x"))</f>
        <v>x</v>
      </c>
      <c r="J49" s="115"/>
      <c r="K49" s="26"/>
      <c r="L49" s="115"/>
      <c r="N49" s="103"/>
    </row>
    <row r="50" spans="1:14" ht="15" thickBot="1" x14ac:dyDescent="0.3">
      <c r="A50" s="227"/>
      <c r="F50" s="27"/>
      <c r="H50" s="14"/>
      <c r="J50" s="115"/>
      <c r="K50" s="26"/>
      <c r="L50" s="115"/>
      <c r="N50" s="214"/>
    </row>
    <row r="51" spans="1:14" ht="13.9" customHeight="1" thickBot="1" x14ac:dyDescent="0.25">
      <c r="A51" s="2" t="s">
        <v>770</v>
      </c>
      <c r="F51" s="258" t="s">
        <v>43</v>
      </c>
      <c r="H51" s="7"/>
      <c r="J51" s="115"/>
      <c r="K51" s="26"/>
      <c r="L51" s="115"/>
      <c r="N51" s="214"/>
    </row>
    <row r="52" spans="1:14" ht="1.5" customHeight="1" x14ac:dyDescent="0.2">
      <c r="F52" s="115"/>
      <c r="H52" s="7"/>
      <c r="J52" s="115"/>
      <c r="K52" s="26"/>
      <c r="L52" s="115"/>
      <c r="N52" s="214"/>
    </row>
    <row r="53" spans="1:14" ht="14.25" x14ac:dyDescent="0.25">
      <c r="A53" s="227" t="s">
        <v>502</v>
      </c>
      <c r="B53" s="3" t="s">
        <v>771</v>
      </c>
      <c r="F53" s="30" t="str">
        <f>IF($F$51="x","x","-")</f>
        <v>-</v>
      </c>
      <c r="H53" s="12" t="str">
        <f>IF(OR(F53="x",J53="x"),"-",IF(F53="x","-","x"))</f>
        <v>x</v>
      </c>
      <c r="J53" s="115"/>
      <c r="K53" s="26"/>
      <c r="L53" s="115"/>
      <c r="N53" s="103"/>
    </row>
    <row r="54" spans="1:14" ht="2.1" customHeight="1" x14ac:dyDescent="0.2">
      <c r="F54" s="115"/>
      <c r="H54" s="7"/>
      <c r="J54" s="115"/>
      <c r="K54" s="26"/>
      <c r="L54" s="115"/>
      <c r="N54" s="214"/>
    </row>
    <row r="55" spans="1:14" x14ac:dyDescent="0.2">
      <c r="B55" s="3" t="s">
        <v>817</v>
      </c>
      <c r="F55" s="30" t="str">
        <f>IF($F$51="x","x","-")</f>
        <v>-</v>
      </c>
      <c r="H55" s="12" t="str">
        <f>IF(OR(F55="x",J55="x"),"-",IF(F55="x","-","x"))</f>
        <v>x</v>
      </c>
      <c r="J55" s="115"/>
      <c r="K55" s="26"/>
      <c r="L55" s="115"/>
      <c r="N55" s="103"/>
    </row>
    <row r="56" spans="1:14" ht="2.1" customHeight="1" x14ac:dyDescent="0.2">
      <c r="F56" s="115"/>
      <c r="H56" s="7"/>
      <c r="J56" s="115"/>
      <c r="K56" s="26"/>
      <c r="L56" s="115"/>
      <c r="N56" s="214"/>
    </row>
    <row r="57" spans="1:14" x14ac:dyDescent="0.2">
      <c r="B57" s="3" t="s">
        <v>795</v>
      </c>
      <c r="F57" s="30" t="str">
        <f>IF($F$51="x","x","-")</f>
        <v>-</v>
      </c>
      <c r="H57" s="12" t="str">
        <f>IF(OR(F57="x",J57="x"),"-",IF(F57="x","-","x"))</f>
        <v>x</v>
      </c>
      <c r="J57" s="115"/>
      <c r="K57" s="26"/>
      <c r="L57" s="115"/>
      <c r="N57" s="103"/>
    </row>
    <row r="58" spans="1:14" ht="2.1" customHeight="1" x14ac:dyDescent="0.2">
      <c r="F58" s="115"/>
      <c r="H58" s="7"/>
      <c r="J58" s="115"/>
      <c r="K58" s="26"/>
      <c r="L58" s="115"/>
      <c r="N58" s="214"/>
    </row>
    <row r="59" spans="1:14" x14ac:dyDescent="0.2">
      <c r="B59" s="3" t="s">
        <v>796</v>
      </c>
      <c r="F59" s="30" t="str">
        <f>IF($F$51="x","x","-")</f>
        <v>-</v>
      </c>
      <c r="H59" s="12" t="str">
        <f>IF(OR(F59="x",J59="x"),"-",IF(F59="x","-","x"))</f>
        <v>x</v>
      </c>
      <c r="J59" s="115"/>
      <c r="K59" s="26"/>
      <c r="L59" s="115"/>
      <c r="N59" s="103"/>
    </row>
    <row r="60" spans="1:14" ht="1.5" customHeight="1" x14ac:dyDescent="0.2">
      <c r="F60" s="75"/>
      <c r="H60" s="76"/>
      <c r="J60" s="115"/>
      <c r="K60" s="26"/>
      <c r="L60" s="115"/>
      <c r="N60" s="214"/>
    </row>
    <row r="61" spans="1:14" x14ac:dyDescent="0.2">
      <c r="A61" s="11"/>
      <c r="B61" s="3" t="s">
        <v>797</v>
      </c>
      <c r="F61" s="30" t="str">
        <f>IF($F$51="x","x","-")</f>
        <v>-</v>
      </c>
      <c r="H61" s="12" t="str">
        <f>IF(OR(F61="x",J61="x"),"-",IF(F61="x","-","x"))</f>
        <v>x</v>
      </c>
      <c r="J61" s="115"/>
      <c r="K61" s="26"/>
      <c r="L61" s="115"/>
      <c r="N61" s="103"/>
    </row>
    <row r="62" spans="1:14" ht="14.1" customHeight="1" x14ac:dyDescent="0.2">
      <c r="B62" s="38"/>
      <c r="D62" s="38"/>
      <c r="F62" s="27"/>
      <c r="H62" s="7"/>
      <c r="J62" s="115"/>
      <c r="K62" s="26"/>
      <c r="L62" s="115"/>
      <c r="N62" s="103"/>
    </row>
    <row r="63" spans="1:14" ht="1.5" customHeight="1" x14ac:dyDescent="0.2">
      <c r="D63" s="48"/>
      <c r="F63" s="115"/>
      <c r="H63" s="7"/>
      <c r="J63" s="115"/>
      <c r="K63" s="26"/>
      <c r="L63" s="115"/>
      <c r="N63" s="214"/>
    </row>
    <row r="64" spans="1:14" x14ac:dyDescent="0.2">
      <c r="F64" s="27"/>
      <c r="H64" s="14"/>
      <c r="J64" s="115"/>
      <c r="K64" s="26"/>
      <c r="L64" s="115"/>
      <c r="N64" s="103"/>
    </row>
    <row r="65" spans="1:14" ht="2.1" customHeight="1" x14ac:dyDescent="0.2">
      <c r="D65" s="1"/>
      <c r="F65" s="115"/>
      <c r="H65" s="7"/>
      <c r="J65" s="115"/>
      <c r="K65" s="26"/>
      <c r="L65" s="115"/>
      <c r="N65" s="214"/>
    </row>
    <row r="66" spans="1:14" x14ac:dyDescent="0.2">
      <c r="F66" s="27"/>
      <c r="H66" s="14"/>
      <c r="J66" s="115"/>
      <c r="K66" s="26"/>
      <c r="L66" s="115"/>
      <c r="N66" s="103"/>
    </row>
    <row r="67" spans="1:14" ht="2.1" customHeight="1" x14ac:dyDescent="0.2">
      <c r="D67" s="1"/>
      <c r="F67" s="115"/>
      <c r="H67" s="7"/>
      <c r="J67" s="115"/>
      <c r="K67" s="26"/>
      <c r="L67" s="115"/>
      <c r="N67" s="214"/>
    </row>
    <row r="68" spans="1:14" x14ac:dyDescent="0.2">
      <c r="F68" s="27"/>
      <c r="H68" s="14"/>
      <c r="J68" s="115"/>
      <c r="K68" s="26"/>
      <c r="L68" s="115"/>
      <c r="N68" s="103"/>
    </row>
    <row r="69" spans="1:14" ht="2.1" customHeight="1" x14ac:dyDescent="0.2">
      <c r="D69" s="1"/>
      <c r="F69" s="115"/>
      <c r="H69" s="7"/>
      <c r="J69" s="115"/>
      <c r="K69" s="26"/>
      <c r="L69" s="115"/>
      <c r="N69" s="214"/>
    </row>
    <row r="70" spans="1:14" ht="15" customHeight="1" x14ac:dyDescent="0.2">
      <c r="F70" s="27"/>
      <c r="H70" s="14"/>
      <c r="J70" s="115"/>
      <c r="K70" s="26"/>
      <c r="L70" s="115"/>
      <c r="N70" s="103"/>
    </row>
    <row r="71" spans="1:14" ht="14.1" customHeight="1" x14ac:dyDescent="0.2">
      <c r="B71" s="3" t="s">
        <v>798</v>
      </c>
      <c r="D71" s="38"/>
      <c r="F71" s="30" t="str">
        <f>IF($F$51="x","x","-")</f>
        <v>-</v>
      </c>
      <c r="H71" s="12" t="str">
        <f>IF(OR(F71="x",J71="x"),"-",IF(F71="x","-","x"))</f>
        <v>x</v>
      </c>
      <c r="J71" s="115"/>
      <c r="K71" s="26"/>
      <c r="L71" s="115"/>
      <c r="N71" s="214"/>
    </row>
    <row r="72" spans="1:14" ht="2.25" customHeight="1" x14ac:dyDescent="0.2">
      <c r="D72" s="48"/>
      <c r="F72" s="115"/>
      <c r="H72" s="7"/>
      <c r="J72" s="115"/>
      <c r="K72" s="26"/>
      <c r="L72" s="115"/>
      <c r="N72" s="214"/>
    </row>
    <row r="73" spans="1:14" x14ac:dyDescent="0.2">
      <c r="F73" s="27"/>
      <c r="H73" s="14"/>
      <c r="J73" s="115"/>
      <c r="K73" s="26"/>
      <c r="L73" s="115"/>
      <c r="N73" s="103"/>
    </row>
    <row r="74" spans="1:14" ht="2.1" customHeight="1" thickBot="1" x14ac:dyDescent="0.25">
      <c r="D74" s="1"/>
      <c r="F74" s="115"/>
      <c r="H74" s="7"/>
      <c r="J74" s="115"/>
      <c r="K74" s="26"/>
      <c r="L74" s="115"/>
      <c r="N74" s="214"/>
    </row>
    <row r="75" spans="1:14" ht="14.25" thickBot="1" x14ac:dyDescent="0.25">
      <c r="A75" s="2" t="s">
        <v>799</v>
      </c>
      <c r="B75" s="2"/>
      <c r="F75" s="258" t="s">
        <v>43</v>
      </c>
      <c r="J75" s="26"/>
      <c r="K75" s="26"/>
      <c r="L75" s="26"/>
      <c r="N75" s="214"/>
    </row>
    <row r="76" spans="1:14" ht="2.1" customHeight="1" x14ac:dyDescent="0.2">
      <c r="A76" s="2"/>
      <c r="B76" s="2"/>
      <c r="F76" s="26"/>
      <c r="J76" s="26"/>
      <c r="K76" s="26"/>
      <c r="L76" s="26"/>
      <c r="N76" s="214"/>
    </row>
    <row r="77" spans="1:14" x14ac:dyDescent="0.2">
      <c r="B77" s="3" t="s">
        <v>818</v>
      </c>
      <c r="F77" s="30" t="str">
        <f>IF($F$75="x","x","-")</f>
        <v>-</v>
      </c>
      <c r="H77" s="12" t="str">
        <f>IF(OR(F77="x",J77="x"),"-",IF(F77="x","-","x"))</f>
        <v>x</v>
      </c>
      <c r="J77" s="27"/>
      <c r="K77" s="26"/>
      <c r="L77" s="115"/>
      <c r="N77" s="103"/>
    </row>
    <row r="78" spans="1:14" ht="2.1" customHeight="1" x14ac:dyDescent="0.2">
      <c r="D78" s="1"/>
      <c r="F78" s="115"/>
      <c r="H78" s="7"/>
      <c r="J78" s="115"/>
      <c r="K78" s="26"/>
      <c r="L78" s="115"/>
      <c r="N78" s="214"/>
    </row>
    <row r="79" spans="1:14" x14ac:dyDescent="0.2">
      <c r="B79" s="3" t="s">
        <v>819</v>
      </c>
      <c r="F79" s="30" t="str">
        <f>IF($F$75="x","x","-")</f>
        <v>-</v>
      </c>
      <c r="H79" s="12" t="str">
        <f>IF(OR(F79="x",J79="x"),"-",IF(F79="x","-","x"))</f>
        <v>x</v>
      </c>
      <c r="J79" s="27"/>
      <c r="K79" s="26"/>
      <c r="L79" s="115"/>
      <c r="N79" s="103"/>
    </row>
    <row r="80" spans="1:14" ht="2.1" customHeight="1" x14ac:dyDescent="0.2">
      <c r="D80" s="1"/>
      <c r="F80" s="115"/>
      <c r="H80" s="7"/>
      <c r="J80" s="115"/>
      <c r="K80" s="26"/>
      <c r="L80" s="115"/>
      <c r="N80" s="214"/>
    </row>
    <row r="81" spans="1:14" x14ac:dyDescent="0.2">
      <c r="B81" s="3" t="s">
        <v>820</v>
      </c>
      <c r="F81" s="30" t="str">
        <f>IF($F$75="x","x","-")</f>
        <v>-</v>
      </c>
      <c r="H81" s="12" t="str">
        <f>IF(OR(F81="x",J81="x"),"-",IF(F81="x","-","x"))</f>
        <v>x</v>
      </c>
      <c r="J81" s="27"/>
      <c r="K81" s="26"/>
      <c r="L81" s="30" t="s">
        <v>43</v>
      </c>
      <c r="N81" s="103"/>
    </row>
    <row r="82" spans="1:14" x14ac:dyDescent="0.2">
      <c r="E82" s="4"/>
      <c r="F82" s="26"/>
      <c r="J82" s="26"/>
      <c r="K82" s="26"/>
      <c r="L82" s="26"/>
      <c r="N82" s="214"/>
    </row>
    <row r="83" spans="1:14" x14ac:dyDescent="0.2">
      <c r="B83" s="3" t="s">
        <v>800</v>
      </c>
      <c r="F83" s="30" t="s">
        <v>43</v>
      </c>
      <c r="H83" s="12" t="str">
        <f>IF(OR(F83="x",J83="x"),"-",IF(F83="x","-","x"))</f>
        <v>x</v>
      </c>
      <c r="J83" s="27"/>
      <c r="K83" s="26"/>
      <c r="L83" s="115"/>
      <c r="M83" s="51"/>
      <c r="N83" s="103"/>
    </row>
    <row r="84" spans="1:14" ht="2.1" customHeight="1" x14ac:dyDescent="0.2">
      <c r="D84" s="1"/>
      <c r="F84" s="115"/>
      <c r="H84" s="7"/>
      <c r="J84" s="115"/>
      <c r="K84" s="26"/>
      <c r="L84" s="115"/>
      <c r="N84" s="214"/>
    </row>
    <row r="85" spans="1:14" x14ac:dyDescent="0.2">
      <c r="F85" s="27"/>
      <c r="H85" s="14"/>
      <c r="J85" s="27"/>
      <c r="K85" s="26"/>
      <c r="L85" s="115"/>
      <c r="N85" s="103"/>
    </row>
    <row r="86" spans="1:14" ht="2.1" customHeight="1" thickBot="1" x14ac:dyDescent="0.25">
      <c r="D86" s="1"/>
      <c r="F86" s="115"/>
      <c r="H86" s="7"/>
      <c r="J86" s="115"/>
      <c r="K86" s="26"/>
      <c r="L86" s="115"/>
      <c r="N86" s="214"/>
    </row>
    <row r="87" spans="1:14" ht="14.25" thickBot="1" x14ac:dyDescent="0.25">
      <c r="A87" s="2" t="s">
        <v>801</v>
      </c>
      <c r="F87" s="258" t="s">
        <v>43</v>
      </c>
      <c r="J87" s="27"/>
      <c r="K87" s="26"/>
      <c r="L87" s="115"/>
      <c r="N87" s="103"/>
    </row>
    <row r="88" spans="1:14" ht="1.5" customHeight="1" x14ac:dyDescent="0.2">
      <c r="A88" s="2"/>
      <c r="F88" s="27"/>
      <c r="J88" s="27"/>
      <c r="K88" s="26"/>
      <c r="L88" s="115"/>
      <c r="N88" s="214"/>
    </row>
    <row r="89" spans="1:14" x14ac:dyDescent="0.2">
      <c r="B89" s="3" t="s">
        <v>802</v>
      </c>
      <c r="E89" s="4"/>
      <c r="F89" s="30" t="str">
        <f>IF($F$87="x","x","-")</f>
        <v>-</v>
      </c>
      <c r="H89" s="12" t="str">
        <f>IF(OR(F89="x",J89="x"),"-",IF(F89="x","-","x"))</f>
        <v>x</v>
      </c>
      <c r="J89" s="26"/>
      <c r="K89" s="26"/>
      <c r="L89" s="30" t="s">
        <v>43</v>
      </c>
      <c r="N89" s="214"/>
    </row>
    <row r="90" spans="1:14" ht="1.5" customHeight="1" x14ac:dyDescent="0.2">
      <c r="E90" s="4"/>
      <c r="F90" s="26" t="s">
        <v>816</v>
      </c>
      <c r="J90" s="26"/>
      <c r="K90" s="26"/>
      <c r="L90" s="26"/>
      <c r="N90" s="214"/>
    </row>
    <row r="91" spans="1:14" x14ac:dyDescent="0.2">
      <c r="B91" s="3" t="s">
        <v>821</v>
      </c>
      <c r="F91" s="30" t="str">
        <f>IF($F$87="x","x","-")</f>
        <v>-</v>
      </c>
      <c r="H91" s="12" t="str">
        <f>IF(OR(F91="x",J91="x"),"-",IF(F91="x","-","x"))</f>
        <v>x</v>
      </c>
      <c r="J91" s="27"/>
      <c r="K91" s="26"/>
      <c r="L91" s="30" t="s">
        <v>43</v>
      </c>
      <c r="M91" s="51"/>
      <c r="N91" s="103"/>
    </row>
    <row r="92" spans="1:14" ht="2.1" customHeight="1" x14ac:dyDescent="0.2">
      <c r="D92" s="1"/>
      <c r="F92" s="115"/>
      <c r="H92" s="7"/>
      <c r="J92" s="115"/>
      <c r="K92" s="26"/>
      <c r="L92" s="115"/>
      <c r="N92" s="214"/>
    </row>
    <row r="93" spans="1:14" x14ac:dyDescent="0.2">
      <c r="B93" s="3" t="s">
        <v>803</v>
      </c>
      <c r="F93" s="30" t="str">
        <f>IF($F$87="x","x","-")</f>
        <v>-</v>
      </c>
      <c r="H93" s="12" t="str">
        <f>IF(OR(F93="x",J93="x"),"-",IF(F93="x","-","x"))</f>
        <v>x</v>
      </c>
      <c r="J93" s="27"/>
      <c r="K93" s="26"/>
      <c r="L93" s="115"/>
      <c r="N93" s="103"/>
    </row>
    <row r="94" spans="1:14" ht="2.1" customHeight="1" x14ac:dyDescent="0.2">
      <c r="D94" s="1"/>
      <c r="F94" s="115"/>
      <c r="H94" s="7"/>
      <c r="J94" s="115"/>
      <c r="K94" s="26"/>
      <c r="L94" s="115"/>
      <c r="N94" s="214"/>
    </row>
    <row r="95" spans="1:14" x14ac:dyDescent="0.2">
      <c r="B95" s="3" t="s">
        <v>804</v>
      </c>
      <c r="F95" s="30" t="str">
        <f>IF($F$87="x","x","-")</f>
        <v>-</v>
      </c>
      <c r="H95" s="12" t="str">
        <f>IF(OR(F95="x",J95="x"),"-",IF(F95="x","-","x"))</f>
        <v>x</v>
      </c>
      <c r="J95" s="27"/>
      <c r="K95" s="26"/>
      <c r="L95" s="115"/>
      <c r="N95" s="103"/>
    </row>
    <row r="96" spans="1:14" ht="1.5" customHeight="1" x14ac:dyDescent="0.2">
      <c r="F96" s="27"/>
      <c r="H96" s="14"/>
      <c r="J96" s="27"/>
      <c r="K96" s="26"/>
      <c r="L96" s="115"/>
      <c r="N96" s="214"/>
    </row>
    <row r="97" spans="1:17" x14ac:dyDescent="0.2">
      <c r="B97" s="3" t="s">
        <v>808</v>
      </c>
      <c r="E97" s="4"/>
      <c r="F97" s="30" t="str">
        <f>IF($F$87="x","x","-")</f>
        <v>-</v>
      </c>
      <c r="H97" s="12" t="str">
        <f>IF(OR(F97="x",J97="x"),"-",IF(F97="x","-","x"))</f>
        <v>x</v>
      </c>
      <c r="J97" s="26"/>
      <c r="K97" s="26"/>
      <c r="L97" s="26"/>
      <c r="N97" s="214"/>
    </row>
    <row r="98" spans="1:17" ht="1.5" customHeight="1" x14ac:dyDescent="0.2">
      <c r="E98" s="4"/>
      <c r="F98" s="26"/>
      <c r="J98" s="26"/>
      <c r="K98" s="26"/>
      <c r="L98" s="26"/>
      <c r="N98" s="214"/>
    </row>
    <row r="99" spans="1:17" x14ac:dyDescent="0.2">
      <c r="B99" s="3" t="s">
        <v>805</v>
      </c>
      <c r="F99" s="30" t="str">
        <f>IF($F$87="x","x","-")</f>
        <v>-</v>
      </c>
      <c r="H99" s="12" t="str">
        <f>IF(OR(F99="x",J99="x"),"-",IF(F99="x","-","x"))</f>
        <v>x</v>
      </c>
      <c r="J99" s="27"/>
      <c r="K99" s="26"/>
      <c r="L99" s="115"/>
      <c r="M99" s="51"/>
      <c r="N99" s="103"/>
    </row>
    <row r="100" spans="1:17" ht="2.1" customHeight="1" x14ac:dyDescent="0.2">
      <c r="D100" s="1"/>
      <c r="F100" s="115"/>
      <c r="H100" s="7"/>
      <c r="J100" s="115"/>
      <c r="K100" s="26"/>
      <c r="L100" s="115"/>
      <c r="N100" s="214"/>
    </row>
    <row r="101" spans="1:17" x14ac:dyDescent="0.2">
      <c r="B101" s="3" t="s">
        <v>806</v>
      </c>
      <c r="F101" s="30" t="str">
        <f>IF($F$87="x","x","-")</f>
        <v>-</v>
      </c>
      <c r="H101" s="12" t="str">
        <f>IF(OR(F101="x",J101="x"),"-",IF(F101="x","-","x"))</f>
        <v>x</v>
      </c>
      <c r="J101" s="27"/>
      <c r="K101" s="26"/>
      <c r="L101" s="115"/>
      <c r="N101" s="103"/>
    </row>
    <row r="102" spans="1:17" ht="2.1" customHeight="1" x14ac:dyDescent="0.2">
      <c r="D102" s="1"/>
      <c r="F102" s="115"/>
      <c r="H102" s="7"/>
      <c r="J102" s="115"/>
      <c r="K102" s="26"/>
      <c r="L102" s="115"/>
      <c r="N102" s="214"/>
    </row>
    <row r="103" spans="1:17" x14ac:dyDescent="0.2">
      <c r="B103" s="3" t="s">
        <v>807</v>
      </c>
      <c r="F103" s="30" t="str">
        <f>IF($F$87="x","x","-")</f>
        <v>-</v>
      </c>
      <c r="H103" s="12" t="str">
        <f>IF(OR(F103="x",J103="x"),"-",IF(F103="x","-","x"))</f>
        <v>x</v>
      </c>
      <c r="J103" s="27"/>
      <c r="K103" s="26"/>
      <c r="L103" s="30" t="s">
        <v>43</v>
      </c>
      <c r="M103" s="3" t="s">
        <v>860</v>
      </c>
      <c r="N103" s="103"/>
    </row>
    <row r="104" spans="1:17" ht="1.5" customHeight="1" x14ac:dyDescent="0.2">
      <c r="F104" s="26"/>
      <c r="J104" s="26"/>
      <c r="K104" s="26"/>
      <c r="L104" s="26"/>
      <c r="N104" s="214"/>
    </row>
    <row r="105" spans="1:17" ht="13.5" customHeight="1" x14ac:dyDescent="0.2">
      <c r="F105" s="26"/>
      <c r="J105" s="26"/>
      <c r="K105" s="26"/>
      <c r="L105" s="26"/>
      <c r="M105" s="51" t="str">
        <f>IF(Kanton="Schwyz","Verschärfte VHKA-Anforderung im Kt. SZ (KEnV § 26)","")</f>
        <v/>
      </c>
      <c r="N105" s="214"/>
    </row>
    <row r="106" spans="1:17" x14ac:dyDescent="0.2">
      <c r="A106" s="2" t="s">
        <v>809</v>
      </c>
      <c r="B106" s="2"/>
      <c r="F106" s="26"/>
      <c r="J106" s="26"/>
      <c r="K106" s="26"/>
      <c r="L106" s="26"/>
      <c r="N106" s="214"/>
    </row>
    <row r="107" spans="1:17" ht="2.1" customHeight="1" x14ac:dyDescent="0.2">
      <c r="A107" s="2"/>
      <c r="B107" s="2"/>
      <c r="F107" s="26"/>
      <c r="J107" s="26"/>
      <c r="K107" s="26"/>
      <c r="L107" s="26"/>
      <c r="N107" s="214"/>
    </row>
    <row r="108" spans="1:17" x14ac:dyDescent="0.2">
      <c r="B108" s="3" t="s">
        <v>811</v>
      </c>
      <c r="D108" s="252">
        <f>D43*10/1000</f>
        <v>0</v>
      </c>
      <c r="F108" s="30" t="str">
        <f>IF($F$87="x","x","-")</f>
        <v>-</v>
      </c>
      <c r="H108" s="12" t="str">
        <f>IF(OR(F108="x",J108="x"),"-",IF(F108="x","-","x"))</f>
        <v>x</v>
      </c>
      <c r="J108" s="30" t="s">
        <v>43</v>
      </c>
      <c r="K108" s="26"/>
      <c r="L108" s="30" t="s">
        <v>43</v>
      </c>
      <c r="M108" s="3" t="str">
        <f>IF(Kanton="Schwyz","Befreiung möglich wenn Globalstrahlung &lt; 1'120 kWh/m²a","")</f>
        <v/>
      </c>
      <c r="N108" s="103"/>
      <c r="P108" s="88" t="s">
        <v>812</v>
      </c>
    </row>
    <row r="109" spans="1:17" ht="1.5" customHeight="1" x14ac:dyDescent="0.2">
      <c r="D109" s="249"/>
      <c r="F109" s="27"/>
      <c r="H109" s="14"/>
      <c r="J109" s="115"/>
      <c r="K109" s="26"/>
      <c r="L109" s="115"/>
      <c r="N109" s="214"/>
    </row>
    <row r="110" spans="1:17" ht="14.1" customHeight="1" x14ac:dyDescent="0.2">
      <c r="C110" s="3" t="s">
        <v>810</v>
      </c>
      <c r="D110" s="37" t="s">
        <v>609</v>
      </c>
      <c r="F110" s="27"/>
      <c r="H110" s="12" t="str">
        <f>IF(OR(D110="Ja",F108="x"),"-","x")</f>
        <v>x</v>
      </c>
      <c r="J110" s="27"/>
      <c r="K110" s="26"/>
      <c r="L110" s="115"/>
      <c r="M110" s="3" t="str">
        <f>IF(Kanton="Schwyz","Beurteilung der Globalstrahlung unter: map.geo.sz.ch","")</f>
        <v/>
      </c>
      <c r="N110" s="103"/>
      <c r="P110" s="3" t="str">
        <f>IF(Kanton="Schwyz","Ersatzabgabe im Kt. SZ nicht zulässig.","Ja")</f>
        <v>Ja</v>
      </c>
      <c r="Q110" s="3" t="s">
        <v>609</v>
      </c>
    </row>
    <row r="111" spans="1:17" ht="1.5" customHeight="1" x14ac:dyDescent="0.2">
      <c r="D111" s="1"/>
      <c r="F111" s="7"/>
      <c r="H111" s="7"/>
      <c r="J111" s="115"/>
      <c r="K111" s="26"/>
      <c r="L111" s="115"/>
    </row>
    <row r="112" spans="1:17" x14ac:dyDescent="0.2">
      <c r="D112" s="34" t="b">
        <f>D110="Ja"</f>
        <v>0</v>
      </c>
      <c r="F112" s="27"/>
      <c r="H112" s="14"/>
      <c r="J112" s="7"/>
      <c r="L112" s="7"/>
      <c r="N112" s="93"/>
    </row>
    <row r="113" spans="1:16" ht="2.1" customHeight="1" x14ac:dyDescent="0.2">
      <c r="D113" s="1"/>
      <c r="F113" s="7"/>
      <c r="H113" s="7"/>
      <c r="J113" s="7"/>
      <c r="L113" s="7"/>
    </row>
    <row r="114" spans="1:16" s="39" customFormat="1" ht="27" customHeight="1" x14ac:dyDescent="0.2">
      <c r="A114" s="2" t="s">
        <v>542</v>
      </c>
      <c r="B114" s="34"/>
      <c r="C114" s="35"/>
      <c r="D114" s="35"/>
      <c r="E114" s="35"/>
      <c r="F114" s="34"/>
      <c r="G114" s="34"/>
      <c r="H114" s="36"/>
      <c r="I114" s="34"/>
      <c r="J114" s="34"/>
      <c r="K114" s="34"/>
      <c r="L114" s="34"/>
      <c r="M114" s="34"/>
      <c r="N114" s="34"/>
    </row>
    <row r="115" spans="1:16" s="39" customFormat="1" ht="2.25" customHeight="1" x14ac:dyDescent="0.2">
      <c r="A115" s="34"/>
      <c r="B115" s="34"/>
      <c r="C115" s="35"/>
      <c r="D115" s="35"/>
      <c r="E115" s="35"/>
      <c r="F115" s="34"/>
      <c r="G115" s="34"/>
      <c r="H115" s="36"/>
      <c r="I115" s="34"/>
      <c r="J115" s="34"/>
      <c r="K115" s="34"/>
      <c r="L115" s="34"/>
      <c r="M115" s="34"/>
      <c r="N115" s="34"/>
    </row>
    <row r="116" spans="1:16" s="39" customFormat="1" ht="70.5" customHeight="1" x14ac:dyDescent="0.2">
      <c r="A116" s="52"/>
      <c r="B116" s="404"/>
      <c r="C116" s="404"/>
      <c r="D116" s="404"/>
      <c r="E116" s="404"/>
      <c r="F116" s="404"/>
      <c r="G116" s="404"/>
      <c r="H116" s="404"/>
      <c r="I116" s="404"/>
      <c r="J116" s="404"/>
      <c r="K116" s="404"/>
      <c r="L116" s="404"/>
      <c r="M116" s="404"/>
      <c r="N116" s="404"/>
      <c r="O116" s="52"/>
      <c r="P116" s="52"/>
    </row>
    <row r="117" spans="1:16" s="34" customFormat="1" ht="20.100000000000001" customHeight="1" x14ac:dyDescent="0.2">
      <c r="C117" s="35"/>
      <c r="D117" s="35"/>
      <c r="E117" s="35"/>
      <c r="H117" s="36"/>
    </row>
    <row r="118" spans="1:16" x14ac:dyDescent="0.2">
      <c r="A118" s="2" t="s">
        <v>38</v>
      </c>
      <c r="D118" s="34" t="b">
        <f>ISTEXT(B116)</f>
        <v>0</v>
      </c>
    </row>
    <row r="119" spans="1:16" ht="1.5" customHeight="1" x14ac:dyDescent="0.2">
      <c r="A119" s="2"/>
    </row>
    <row r="120" spans="1:16" ht="14.25" x14ac:dyDescent="0.2">
      <c r="A120" s="2"/>
      <c r="B120" s="3" t="s">
        <v>448</v>
      </c>
      <c r="D120" s="69" t="str">
        <f>IF(OR(COUNTIF(H15:H25,"x")=0,COUNTIF(F120,"x")&gt;0),"erfüllt", "nicht erfüllt")</f>
        <v>nicht erfüllt</v>
      </c>
      <c r="F120" s="30" t="s">
        <v>43</v>
      </c>
      <c r="H120" s="3" t="s">
        <v>451</v>
      </c>
      <c r="P120" s="51"/>
    </row>
    <row r="121" spans="1:16" ht="1.5" customHeight="1" x14ac:dyDescent="0.2">
      <c r="A121" s="2"/>
    </row>
    <row r="122" spans="1:16" ht="14.25" x14ac:dyDescent="0.2">
      <c r="B122" s="3" t="s">
        <v>251</v>
      </c>
      <c r="D122" s="69" t="str">
        <f>IF(OR(COUNTIF(H37:H113,"x")=0,COUNTIF(F122,"x")&gt;0),"erfüllt", "nicht erfüllt")</f>
        <v>nicht erfüllt</v>
      </c>
      <c r="F122" s="30" t="s">
        <v>43</v>
      </c>
      <c r="H122" s="3" t="s">
        <v>449</v>
      </c>
      <c r="P122" s="51"/>
    </row>
    <row r="123" spans="1:16" ht="1.5" customHeight="1" x14ac:dyDescent="0.2">
      <c r="D123" s="89"/>
      <c r="P123" s="51"/>
    </row>
    <row r="124" spans="1:16" x14ac:dyDescent="0.2">
      <c r="P124" s="51"/>
    </row>
    <row r="125" spans="1:16" ht="13.5" customHeight="1" x14ac:dyDescent="0.2">
      <c r="A125" s="34"/>
      <c r="B125" s="3" t="s">
        <v>39</v>
      </c>
      <c r="D125" s="3" t="str">
        <f>IF(ISTEXT(Name_Kontr),Name_Kontr,"")</f>
        <v/>
      </c>
      <c r="F125" s="328" t="str">
        <f>IF(AND(NOT(D118),COUNTIF(F120:F122,"x")&gt;0),"Begründung und Empfehlung des weiteren Vorgehens erforderlich.","")</f>
        <v/>
      </c>
      <c r="G125" s="328"/>
      <c r="H125" s="328"/>
      <c r="I125" s="328"/>
      <c r="J125" s="328"/>
      <c r="K125" s="328"/>
      <c r="L125" s="328"/>
      <c r="M125" s="328"/>
      <c r="N125" s="328"/>
      <c r="P125" s="51"/>
    </row>
    <row r="126" spans="1:16" ht="2.1" customHeight="1" x14ac:dyDescent="0.2">
      <c r="A126" s="34" t="s">
        <v>42</v>
      </c>
      <c r="F126" s="328"/>
      <c r="G126" s="328"/>
      <c r="H126" s="328"/>
      <c r="I126" s="328"/>
      <c r="J126" s="328"/>
      <c r="K126" s="328"/>
      <c r="L126" s="328"/>
      <c r="M126" s="328"/>
      <c r="N126" s="328"/>
      <c r="P126" s="51"/>
    </row>
    <row r="127" spans="1:16" x14ac:dyDescent="0.2">
      <c r="A127" s="34" t="s">
        <v>43</v>
      </c>
      <c r="B127" s="3" t="s">
        <v>40</v>
      </c>
      <c r="D127" s="47">
        <f ca="1">Datum</f>
        <v>45866</v>
      </c>
      <c r="F127" s="328"/>
      <c r="G127" s="328"/>
      <c r="H127" s="328"/>
      <c r="I127" s="328"/>
      <c r="J127" s="328"/>
      <c r="K127" s="328"/>
      <c r="L127" s="328"/>
      <c r="M127" s="328"/>
      <c r="N127" s="328"/>
      <c r="P127" s="51"/>
    </row>
    <row r="129" spans="4:18" ht="237.75" customHeight="1" x14ac:dyDescent="0.2"/>
    <row r="130" spans="4:18" ht="15.75" hidden="1" x14ac:dyDescent="0.25">
      <c r="D130" s="3" t="s">
        <v>157</v>
      </c>
      <c r="L130" s="28" t="s">
        <v>176</v>
      </c>
      <c r="N130" s="28" t="s">
        <v>177</v>
      </c>
      <c r="O130" s="28" t="s">
        <v>178</v>
      </c>
      <c r="Q130"/>
      <c r="R130"/>
    </row>
    <row r="131" spans="4:18" ht="15.75" hidden="1" x14ac:dyDescent="0.25">
      <c r="L131" s="28" t="s">
        <v>179</v>
      </c>
      <c r="N131" s="28" t="s">
        <v>180</v>
      </c>
      <c r="O131" s="28" t="s">
        <v>178</v>
      </c>
      <c r="Q131"/>
      <c r="R131"/>
    </row>
    <row r="132" spans="4:18" ht="15.75" hidden="1" x14ac:dyDescent="0.25">
      <c r="D132" s="3" t="s">
        <v>119</v>
      </c>
      <c r="L132" s="28" t="s">
        <v>181</v>
      </c>
      <c r="N132" s="28" t="s">
        <v>182</v>
      </c>
      <c r="O132" s="28" t="s">
        <v>183</v>
      </c>
      <c r="Q132"/>
      <c r="R132"/>
    </row>
    <row r="133" spans="4:18" ht="15.75" hidden="1" x14ac:dyDescent="0.25">
      <c r="D133" s="3" t="s">
        <v>120</v>
      </c>
      <c r="L133" s="28" t="s">
        <v>184</v>
      </c>
      <c r="N133" s="28" t="s">
        <v>185</v>
      </c>
      <c r="O133" s="28" t="s">
        <v>178</v>
      </c>
      <c r="Q133"/>
      <c r="R133"/>
    </row>
    <row r="134" spans="4:18" ht="15.75" hidden="1" x14ac:dyDescent="0.25">
      <c r="D134" s="3" t="s">
        <v>162</v>
      </c>
      <c r="L134" s="28" t="s">
        <v>186</v>
      </c>
      <c r="N134" s="28" t="s">
        <v>187</v>
      </c>
      <c r="O134" s="28" t="s">
        <v>183</v>
      </c>
      <c r="Q134"/>
      <c r="R134"/>
    </row>
    <row r="135" spans="4:18" ht="14.25" hidden="1" x14ac:dyDescent="0.2">
      <c r="D135" s="3" t="s">
        <v>121</v>
      </c>
      <c r="L135" s="28" t="s">
        <v>188</v>
      </c>
      <c r="N135" s="28" t="s">
        <v>189</v>
      </c>
      <c r="O135" s="28" t="s">
        <v>190</v>
      </c>
      <c r="Q135" s="28" t="s">
        <v>191</v>
      </c>
      <c r="R135" s="28" t="s">
        <v>191</v>
      </c>
    </row>
    <row r="136" spans="4:18" ht="15.75" hidden="1" x14ac:dyDescent="0.25">
      <c r="D136" s="3" t="s">
        <v>122</v>
      </c>
      <c r="L136" s="28" t="s">
        <v>192</v>
      </c>
      <c r="N136" s="28" t="s">
        <v>193</v>
      </c>
      <c r="O136" s="28" t="s">
        <v>183</v>
      </c>
      <c r="Q136"/>
      <c r="R136"/>
    </row>
    <row r="137" spans="4:18" ht="15.75" hidden="1" x14ac:dyDescent="0.25">
      <c r="D137" s="3" t="s">
        <v>163</v>
      </c>
      <c r="L137" s="28" t="s">
        <v>194</v>
      </c>
      <c r="N137" s="28" t="s">
        <v>195</v>
      </c>
      <c r="O137" s="28" t="s">
        <v>196</v>
      </c>
      <c r="Q137"/>
      <c r="R137"/>
    </row>
    <row r="138" spans="4:18" ht="15.75" hidden="1" x14ac:dyDescent="0.25">
      <c r="D138" s="3" t="s">
        <v>123</v>
      </c>
      <c r="L138" s="28" t="s">
        <v>197</v>
      </c>
      <c r="N138" s="28" t="s">
        <v>198</v>
      </c>
      <c r="O138" s="28" t="s">
        <v>199</v>
      </c>
      <c r="Q138"/>
      <c r="R138"/>
    </row>
    <row r="139" spans="4:18" ht="15.75" hidden="1" x14ac:dyDescent="0.25">
      <c r="D139" s="3" t="s">
        <v>124</v>
      </c>
      <c r="L139" s="28" t="s">
        <v>191</v>
      </c>
      <c r="N139" s="28" t="s">
        <v>200</v>
      </c>
      <c r="O139" s="28" t="s">
        <v>199</v>
      </c>
      <c r="Q139"/>
      <c r="R139"/>
    </row>
    <row r="140" spans="4:18" ht="14.25" hidden="1" x14ac:dyDescent="0.2">
      <c r="D140" s="3" t="s">
        <v>125</v>
      </c>
      <c r="L140" s="28" t="s">
        <v>201</v>
      </c>
      <c r="N140" s="28" t="s">
        <v>202</v>
      </c>
      <c r="O140" s="28" t="s">
        <v>203</v>
      </c>
      <c r="Q140" s="28" t="s">
        <v>191</v>
      </c>
      <c r="R140" s="28" t="s">
        <v>191</v>
      </c>
    </row>
    <row r="141" spans="4:18" ht="14.25" hidden="1" x14ac:dyDescent="0.2">
      <c r="D141" s="3" t="s">
        <v>158</v>
      </c>
      <c r="L141" s="28" t="s">
        <v>204</v>
      </c>
      <c r="N141" s="28" t="s">
        <v>205</v>
      </c>
      <c r="O141" s="28" t="s">
        <v>206</v>
      </c>
      <c r="Q141" s="28" t="s">
        <v>191</v>
      </c>
      <c r="R141" s="28" t="s">
        <v>191</v>
      </c>
    </row>
    <row r="142" spans="4:18" hidden="1" x14ac:dyDescent="0.2">
      <c r="D142" s="3" t="s">
        <v>159</v>
      </c>
    </row>
    <row r="143" spans="4:18" hidden="1" x14ac:dyDescent="0.2">
      <c r="D143" s="3" t="s">
        <v>160</v>
      </c>
    </row>
    <row r="144" spans="4:18" hidden="1" x14ac:dyDescent="0.2">
      <c r="D144" s="3" t="s">
        <v>161</v>
      </c>
    </row>
    <row r="145" spans="4:23" hidden="1" x14ac:dyDescent="0.2">
      <c r="D145" s="3" t="s">
        <v>126</v>
      </c>
    </row>
    <row r="146" spans="4:23" hidden="1" x14ac:dyDescent="0.2">
      <c r="D146" s="3" t="s">
        <v>127</v>
      </c>
    </row>
    <row r="147" spans="4:23" hidden="1" x14ac:dyDescent="0.2">
      <c r="D147" s="3" t="s">
        <v>128</v>
      </c>
    </row>
    <row r="148" spans="4:23" hidden="1" x14ac:dyDescent="0.2">
      <c r="D148" s="3" t="s">
        <v>129</v>
      </c>
    </row>
    <row r="149" spans="4:23" hidden="1" x14ac:dyDescent="0.2">
      <c r="D149" s="3" t="s">
        <v>130</v>
      </c>
      <c r="P149" s="2" t="s">
        <v>555</v>
      </c>
      <c r="S149" s="2" t="s">
        <v>565</v>
      </c>
      <c r="U149" s="3" t="s">
        <v>581</v>
      </c>
      <c r="W149" s="3" t="s">
        <v>582</v>
      </c>
    </row>
    <row r="150" spans="4:23" hidden="1" x14ac:dyDescent="0.2">
      <c r="D150" s="3" t="s">
        <v>131</v>
      </c>
      <c r="N150" s="3" t="s">
        <v>157</v>
      </c>
      <c r="P150" s="3" t="s">
        <v>43</v>
      </c>
      <c r="S150" s="3" t="s">
        <v>43</v>
      </c>
    </row>
    <row r="151" spans="4:23" hidden="1" x14ac:dyDescent="0.2">
      <c r="D151" s="3" t="s">
        <v>164</v>
      </c>
    </row>
    <row r="152" spans="4:23" hidden="1" x14ac:dyDescent="0.2">
      <c r="D152" s="3" t="s">
        <v>132</v>
      </c>
      <c r="N152" s="3" t="s">
        <v>399</v>
      </c>
      <c r="P152" s="3" t="s">
        <v>556</v>
      </c>
      <c r="S152" s="3" t="s">
        <v>566</v>
      </c>
    </row>
    <row r="153" spans="4:23" hidden="1" x14ac:dyDescent="0.2">
      <c r="D153" s="3" t="s">
        <v>134</v>
      </c>
      <c r="N153" s="3" t="s">
        <v>400</v>
      </c>
      <c r="P153" s="3" t="s">
        <v>556</v>
      </c>
      <c r="S153" s="3" t="s">
        <v>566</v>
      </c>
    </row>
    <row r="154" spans="4:23" hidden="1" x14ac:dyDescent="0.2">
      <c r="D154" s="3" t="s">
        <v>135</v>
      </c>
      <c r="N154" s="3" t="s">
        <v>401</v>
      </c>
      <c r="P154" s="3" t="s">
        <v>556</v>
      </c>
      <c r="S154" s="3" t="s">
        <v>567</v>
      </c>
    </row>
    <row r="155" spans="4:23" hidden="1" x14ac:dyDescent="0.2">
      <c r="D155" s="3" t="s">
        <v>136</v>
      </c>
      <c r="N155" s="3" t="s">
        <v>402</v>
      </c>
      <c r="P155" s="3" t="s">
        <v>556</v>
      </c>
      <c r="S155" s="3" t="s">
        <v>567</v>
      </c>
    </row>
    <row r="156" spans="4:23" hidden="1" x14ac:dyDescent="0.2">
      <c r="D156" s="3" t="s">
        <v>137</v>
      </c>
      <c r="N156" s="3" t="s">
        <v>403</v>
      </c>
      <c r="P156" s="3" t="s">
        <v>556</v>
      </c>
      <c r="S156" s="3" t="s">
        <v>567</v>
      </c>
    </row>
    <row r="157" spans="4:23" hidden="1" x14ac:dyDescent="0.2">
      <c r="D157" s="3" t="s">
        <v>138</v>
      </c>
      <c r="N157" s="3" t="s">
        <v>404</v>
      </c>
      <c r="P157" s="3" t="s">
        <v>556</v>
      </c>
      <c r="S157" s="3" t="s">
        <v>567</v>
      </c>
    </row>
    <row r="158" spans="4:23" hidden="1" x14ac:dyDescent="0.2">
      <c r="D158" s="3" t="s">
        <v>139</v>
      </c>
      <c r="N158" s="3" t="s">
        <v>405</v>
      </c>
      <c r="P158" s="3" t="s">
        <v>556</v>
      </c>
      <c r="S158" s="3" t="s">
        <v>568</v>
      </c>
    </row>
    <row r="159" spans="4:23" hidden="1" x14ac:dyDescent="0.2">
      <c r="D159" s="3" t="s">
        <v>133</v>
      </c>
      <c r="N159" s="3" t="s">
        <v>406</v>
      </c>
      <c r="P159" s="3" t="s">
        <v>556</v>
      </c>
      <c r="S159" s="3" t="s">
        <v>568</v>
      </c>
    </row>
    <row r="160" spans="4:23" hidden="1" x14ac:dyDescent="0.2">
      <c r="D160" s="3" t="s">
        <v>140</v>
      </c>
      <c r="N160" s="3" t="s">
        <v>407</v>
      </c>
      <c r="P160" s="3" t="s">
        <v>556</v>
      </c>
      <c r="S160" s="3" t="s">
        <v>569</v>
      </c>
    </row>
    <row r="161" spans="4:19" hidden="1" x14ac:dyDescent="0.2">
      <c r="D161" s="3" t="s">
        <v>141</v>
      </c>
      <c r="N161" s="3" t="s">
        <v>408</v>
      </c>
      <c r="P161" s="3" t="s">
        <v>556</v>
      </c>
      <c r="S161" s="3" t="s">
        <v>569</v>
      </c>
    </row>
    <row r="162" spans="4:19" hidden="1" x14ac:dyDescent="0.2">
      <c r="D162" s="3" t="s">
        <v>142</v>
      </c>
      <c r="N162" s="3" t="s">
        <v>409</v>
      </c>
      <c r="P162" s="3" t="s">
        <v>556</v>
      </c>
      <c r="S162" s="3" t="s">
        <v>567</v>
      </c>
    </row>
    <row r="163" spans="4:19" hidden="1" x14ac:dyDescent="0.2">
      <c r="D163" s="3" t="s">
        <v>143</v>
      </c>
      <c r="N163" s="3" t="s">
        <v>410</v>
      </c>
      <c r="P163" s="3" t="s">
        <v>558</v>
      </c>
      <c r="S163" s="3" t="s">
        <v>570</v>
      </c>
    </row>
    <row r="164" spans="4:19" hidden="1" x14ac:dyDescent="0.2">
      <c r="D164" s="3" t="s">
        <v>144</v>
      </c>
      <c r="N164" s="3" t="s">
        <v>411</v>
      </c>
      <c r="P164" s="3" t="s">
        <v>559</v>
      </c>
      <c r="S164" s="3" t="s">
        <v>571</v>
      </c>
    </row>
    <row r="165" spans="4:19" hidden="1" x14ac:dyDescent="0.2">
      <c r="D165" s="3" t="s">
        <v>145</v>
      </c>
      <c r="N165" s="3" t="s">
        <v>121</v>
      </c>
      <c r="P165" s="3" t="s">
        <v>560</v>
      </c>
      <c r="S165" s="3" t="s">
        <v>571</v>
      </c>
    </row>
    <row r="166" spans="4:19" hidden="1" x14ac:dyDescent="0.2">
      <c r="D166" s="3" t="s">
        <v>147</v>
      </c>
      <c r="N166" s="3" t="s">
        <v>412</v>
      </c>
      <c r="P166" s="3" t="s">
        <v>559</v>
      </c>
      <c r="S166" s="3" t="s">
        <v>572</v>
      </c>
    </row>
    <row r="167" spans="4:19" hidden="1" x14ac:dyDescent="0.2">
      <c r="D167" s="3" t="s">
        <v>148</v>
      </c>
      <c r="N167" s="3" t="s">
        <v>119</v>
      </c>
      <c r="P167" s="3" t="s">
        <v>560</v>
      </c>
      <c r="S167" s="3" t="s">
        <v>572</v>
      </c>
    </row>
    <row r="168" spans="4:19" hidden="1" x14ac:dyDescent="0.2">
      <c r="D168" s="3" t="s">
        <v>149</v>
      </c>
      <c r="N168" s="3" t="s">
        <v>413</v>
      </c>
      <c r="P168" s="3" t="s">
        <v>559</v>
      </c>
      <c r="S168" s="3" t="s">
        <v>573</v>
      </c>
    </row>
    <row r="169" spans="4:19" hidden="1" x14ac:dyDescent="0.2">
      <c r="D169" s="3" t="s">
        <v>146</v>
      </c>
      <c r="N169" s="3" t="s">
        <v>414</v>
      </c>
      <c r="P169" s="3" t="s">
        <v>560</v>
      </c>
      <c r="S169" s="3" t="s">
        <v>573</v>
      </c>
    </row>
    <row r="170" spans="4:19" hidden="1" x14ac:dyDescent="0.2">
      <c r="D170" s="3" t="s">
        <v>150</v>
      </c>
      <c r="N170" s="3" t="s">
        <v>415</v>
      </c>
      <c r="P170" s="3" t="s">
        <v>559</v>
      </c>
      <c r="S170" s="3" t="s">
        <v>574</v>
      </c>
    </row>
    <row r="171" spans="4:19" hidden="1" x14ac:dyDescent="0.2">
      <c r="D171" s="3" t="s">
        <v>151</v>
      </c>
      <c r="N171" s="3" t="s">
        <v>416</v>
      </c>
      <c r="P171" s="3" t="s">
        <v>560</v>
      </c>
      <c r="S171" s="3" t="s">
        <v>574</v>
      </c>
    </row>
    <row r="172" spans="4:19" hidden="1" x14ac:dyDescent="0.2">
      <c r="D172" s="3" t="s">
        <v>152</v>
      </c>
      <c r="N172" s="3" t="s">
        <v>417</v>
      </c>
      <c r="P172" s="51" t="s">
        <v>563</v>
      </c>
      <c r="S172" s="3" t="s">
        <v>575</v>
      </c>
    </row>
    <row r="173" spans="4:19" hidden="1" x14ac:dyDescent="0.2">
      <c r="D173" s="3" t="s">
        <v>153</v>
      </c>
      <c r="N173" s="3" t="s">
        <v>418</v>
      </c>
      <c r="P173" s="3" t="s">
        <v>561</v>
      </c>
      <c r="S173" s="3" t="s">
        <v>576</v>
      </c>
    </row>
    <row r="174" spans="4:19" hidden="1" x14ac:dyDescent="0.2">
      <c r="D174" s="3" t="s">
        <v>154</v>
      </c>
      <c r="N174" s="3" t="s">
        <v>419</v>
      </c>
      <c r="P174" s="3" t="s">
        <v>561</v>
      </c>
      <c r="S174" s="3" t="s">
        <v>577</v>
      </c>
    </row>
    <row r="175" spans="4:19" hidden="1" x14ac:dyDescent="0.2">
      <c r="D175" s="3" t="s">
        <v>155</v>
      </c>
      <c r="N175" s="3" t="s">
        <v>420</v>
      </c>
      <c r="P175" s="3" t="s">
        <v>561</v>
      </c>
      <c r="S175" s="3" t="s">
        <v>576</v>
      </c>
    </row>
    <row r="176" spans="4:19" hidden="1" x14ac:dyDescent="0.2">
      <c r="D176" s="3" t="s">
        <v>156</v>
      </c>
      <c r="N176" s="3" t="s">
        <v>421</v>
      </c>
      <c r="P176" s="3" t="s">
        <v>562</v>
      </c>
      <c r="S176" s="51" t="s">
        <v>578</v>
      </c>
    </row>
    <row r="177" spans="4:23" hidden="1" x14ac:dyDescent="0.2">
      <c r="D177" s="3" t="s">
        <v>69</v>
      </c>
      <c r="N177" s="3" t="s">
        <v>422</v>
      </c>
      <c r="P177" s="3" t="s">
        <v>126</v>
      </c>
      <c r="S177" s="3" t="s">
        <v>579</v>
      </c>
    </row>
    <row r="178" spans="4:23" hidden="1" x14ac:dyDescent="0.2">
      <c r="N178" s="3" t="s">
        <v>423</v>
      </c>
      <c r="P178" s="3" t="s">
        <v>127</v>
      </c>
      <c r="S178" s="3" t="s">
        <v>579</v>
      </c>
    </row>
    <row r="179" spans="4:23" hidden="1" x14ac:dyDescent="0.2">
      <c r="N179" s="3" t="s">
        <v>424</v>
      </c>
      <c r="P179" s="3" t="s">
        <v>127</v>
      </c>
      <c r="S179" s="3" t="s">
        <v>579</v>
      </c>
    </row>
    <row r="180" spans="4:23" hidden="1" x14ac:dyDescent="0.2">
      <c r="N180" s="3" t="s">
        <v>128</v>
      </c>
      <c r="P180" s="3" t="s">
        <v>126</v>
      </c>
      <c r="S180" s="3" t="s">
        <v>579</v>
      </c>
    </row>
    <row r="181" spans="4:23" hidden="1" x14ac:dyDescent="0.2">
      <c r="N181" s="3" t="s">
        <v>425</v>
      </c>
      <c r="P181" s="3" t="s">
        <v>564</v>
      </c>
      <c r="S181" s="51" t="s">
        <v>578</v>
      </c>
    </row>
    <row r="182" spans="4:23" hidden="1" x14ac:dyDescent="0.2"/>
    <row r="183" spans="4:23" hidden="1" x14ac:dyDescent="0.2"/>
    <row r="184" spans="4:23" hidden="1" x14ac:dyDescent="0.2"/>
    <row r="185" spans="4:23" hidden="1" x14ac:dyDescent="0.2">
      <c r="K185" s="2" t="s">
        <v>583</v>
      </c>
      <c r="N185" s="3" t="str">
        <f>INDEX(N149:Y181,MATCH(Wärmeerzeuger1,N149:N181,0),MATCH("Wärmeerzeuger",N149:Y149,0))</f>
        <v>-</v>
      </c>
    </row>
    <row r="186" spans="4:23" hidden="1" x14ac:dyDescent="0.2">
      <c r="K186" s="2" t="s">
        <v>584</v>
      </c>
      <c r="N186" s="3" t="e">
        <f>INDEX(N149:Y181,MATCH(Wärmeerzeuger2,N149:N181,0),MATCH("Wärmeerzeuger",N149:Y149,0))</f>
        <v>#N/A</v>
      </c>
    </row>
    <row r="187" spans="4:23" hidden="1" x14ac:dyDescent="0.2">
      <c r="K187" s="2" t="s">
        <v>585</v>
      </c>
      <c r="L187" s="2"/>
      <c r="N187" s="3" t="str">
        <f>INDEX(N149:Y181,MATCH(Wärmeerzeuger1,N149:N181,0),MATCH("Energiequelle",N149:Y149,0))</f>
        <v>-</v>
      </c>
    </row>
    <row r="188" spans="4:23" hidden="1" x14ac:dyDescent="0.2">
      <c r="K188" s="2" t="s">
        <v>586</v>
      </c>
      <c r="L188" s="2"/>
      <c r="N188" s="3" t="e">
        <f>INDEX(N149:Y181,MATCH(Wärmeerzeuger2,N149:N181,0),MATCH("Energiequelle",N149:Y149,0))</f>
        <v>#N/A</v>
      </c>
    </row>
    <row r="189" spans="4:23" hidden="1" x14ac:dyDescent="0.2"/>
    <row r="190" spans="4:23" hidden="1" x14ac:dyDescent="0.2"/>
    <row r="191" spans="4:23" hidden="1" x14ac:dyDescent="0.2">
      <c r="W191" s="3" t="s">
        <v>549</v>
      </c>
    </row>
    <row r="192" spans="4:23" hidden="1" x14ac:dyDescent="0.2"/>
    <row r="193" spans="14:25" hidden="1" x14ac:dyDescent="0.2">
      <c r="N193" s="3" t="str">
        <f>Wärmeerzeuger1</f>
        <v>Wärmeerzeugung wählen</v>
      </c>
      <c r="W193" s="3" t="s">
        <v>547</v>
      </c>
    </row>
    <row r="194" spans="14:25" hidden="1" x14ac:dyDescent="0.2">
      <c r="N194" s="3" t="str">
        <f>WZ1_Zweck</f>
        <v>Zweck gem. Angaben EN-103 eintragen</v>
      </c>
      <c r="W194" s="3" t="s">
        <v>550</v>
      </c>
    </row>
    <row r="195" spans="14:25" hidden="1" x14ac:dyDescent="0.2">
      <c r="N195" s="3">
        <f>WZ1_Gebäude</f>
        <v>0</v>
      </c>
      <c r="W195" s="3" t="s">
        <v>548</v>
      </c>
    </row>
    <row r="196" spans="14:25" hidden="1" x14ac:dyDescent="0.2">
      <c r="W196" s="3" t="s">
        <v>551</v>
      </c>
    </row>
    <row r="197" spans="14:25" hidden="1" x14ac:dyDescent="0.2">
      <c r="N197" s="3">
        <f>Wärmeerzeuger2</f>
        <v>0</v>
      </c>
      <c r="W197" s="3" t="s">
        <v>552</v>
      </c>
    </row>
    <row r="198" spans="14:25" hidden="1" x14ac:dyDescent="0.2">
      <c r="N198" s="3">
        <f>WZ2_Zweck</f>
        <v>0</v>
      </c>
      <c r="W198" s="3" t="s">
        <v>553</v>
      </c>
    </row>
    <row r="199" spans="14:25" hidden="1" x14ac:dyDescent="0.2">
      <c r="N199" s="3">
        <f>WZ2_Gebäude</f>
        <v>0</v>
      </c>
      <c r="W199" s="3" t="s">
        <v>554</v>
      </c>
    </row>
    <row r="200" spans="14:25" hidden="1" x14ac:dyDescent="0.2"/>
    <row r="201" spans="14:25" hidden="1" x14ac:dyDescent="0.2"/>
    <row r="202" spans="14:25" hidden="1" x14ac:dyDescent="0.2"/>
    <row r="203" spans="14:25" hidden="1" x14ac:dyDescent="0.2"/>
    <row r="204" spans="14:25" hidden="1" x14ac:dyDescent="0.2">
      <c r="N204" s="3" t="s">
        <v>524</v>
      </c>
      <c r="O204" s="3" t="s">
        <v>516</v>
      </c>
      <c r="Q204" s="3" t="str">
        <f>IF(OR(WZ1_Zweck="Heizung (H)",WZ1_Zweck="Heizung (H) + Warmwasser (WW)",WZ1_Zweck="Heizung (H) + Prozesse (Proz.)",WZ1_Zweck="Heizung (H) + Warmwasser (WW) + Prozesse (Proz.)"),CONCATENATE(N185," ",WZ1_Gebäude),"-")</f>
        <v>-</v>
      </c>
      <c r="S204" s="137"/>
      <c r="T204" s="137"/>
      <c r="U204" s="137"/>
      <c r="V204" s="137"/>
      <c r="W204" s="137"/>
      <c r="X204" s="137"/>
      <c r="Y204" s="137"/>
    </row>
    <row r="205" spans="14:25" hidden="1" x14ac:dyDescent="0.2">
      <c r="S205" s="123"/>
      <c r="T205" s="123"/>
      <c r="U205" s="123"/>
      <c r="V205" s="123"/>
      <c r="W205" s="2"/>
      <c r="X205" s="2"/>
      <c r="Y205" s="2"/>
    </row>
    <row r="206" spans="14:25" hidden="1" x14ac:dyDescent="0.2">
      <c r="N206" s="3" t="s">
        <v>525</v>
      </c>
      <c r="O206" s="3" t="s">
        <v>517</v>
      </c>
      <c r="Q206" s="3" t="str">
        <f>IF(OR(WZ2_Zweck="Heizung (H)",WZ2_Zweck="Heizung (H) + Warmwasser (WW)",WZ2_Zweck="Heizung (H) + Prozesse (Proz.)",WZ2_Zweck="Heizung (H) + Warmwasser (WW) + Prozesse (Proz.)"),CONCATENATE(N185," ",WZ2_Gebäude),"-")</f>
        <v>-</v>
      </c>
      <c r="S206" s="137"/>
      <c r="T206" s="137"/>
      <c r="U206" s="137"/>
      <c r="V206" s="137"/>
      <c r="W206" s="137"/>
      <c r="X206" s="137"/>
      <c r="Y206" s="137"/>
    </row>
    <row r="207" spans="14:25" hidden="1" x14ac:dyDescent="0.2">
      <c r="S207" s="123"/>
      <c r="T207" s="123"/>
      <c r="U207" s="123"/>
      <c r="V207" s="123"/>
      <c r="W207" s="2"/>
      <c r="X207" s="2"/>
      <c r="Y207" s="2"/>
    </row>
    <row r="208" spans="14:25" hidden="1" x14ac:dyDescent="0.2">
      <c r="N208" s="3" t="s">
        <v>526</v>
      </c>
      <c r="O208" s="3" t="s">
        <v>518</v>
      </c>
      <c r="Q208" s="3" t="str">
        <f>IF(OR(WZ1_Zweck="Heizung (H)",WZ1_Zweck="Heizung (H) + Warmwasser (WW)",WZ1_Zweck="Heizung (H) + Prozesse (Proz.)",WZ1_Zweck="Heizung (H) + Warmwasser (WW) + Prozesse (Proz.)"),N187,"-")</f>
        <v>-</v>
      </c>
      <c r="S208" s="405"/>
      <c r="T208" s="405"/>
      <c r="U208" s="405"/>
      <c r="V208" s="405"/>
      <c r="W208" s="405"/>
      <c r="X208" s="405"/>
      <c r="Y208" s="405"/>
    </row>
    <row r="209" spans="14:25" hidden="1" x14ac:dyDescent="0.2">
      <c r="S209" s="123"/>
      <c r="T209" s="123"/>
      <c r="U209" s="123"/>
      <c r="V209" s="123"/>
      <c r="W209" s="2"/>
      <c r="X209" s="2"/>
      <c r="Y209" s="2"/>
    </row>
    <row r="210" spans="14:25" hidden="1" x14ac:dyDescent="0.2">
      <c r="N210" s="3" t="s">
        <v>527</v>
      </c>
      <c r="O210" s="3" t="s">
        <v>519</v>
      </c>
      <c r="Q210" s="3" t="str">
        <f>IF(OR(WZ2_Zweck="Heizung (H)",WZ2_Zweck="Heizung (H) + Warmwasser (WW)",WZ2_Zweck="Heizung (H) + Prozesse (Proz.)",WZ2_Zweck="Heizung (H) + Warmwasser (WW) + Prozesse (Proz.)"),N188,"-")</f>
        <v>-</v>
      </c>
      <c r="S210" s="405"/>
      <c r="T210" s="405"/>
      <c r="U210" s="405"/>
      <c r="V210" s="405"/>
      <c r="W210" s="405"/>
      <c r="X210" s="405"/>
      <c r="Y210" s="405"/>
    </row>
    <row r="211" spans="14:25" hidden="1" x14ac:dyDescent="0.2">
      <c r="S211" s="123"/>
      <c r="T211" s="123"/>
      <c r="U211" s="123"/>
      <c r="V211" s="123"/>
      <c r="W211" s="2"/>
      <c r="X211" s="2"/>
      <c r="Y211" s="2"/>
    </row>
    <row r="212" spans="14:25" hidden="1" x14ac:dyDescent="0.2">
      <c r="N212" s="3" t="s">
        <v>528</v>
      </c>
      <c r="O212" s="3" t="s">
        <v>520</v>
      </c>
      <c r="Q212" s="1" t="str">
        <f>IF(OR(WZ1_Zweck="Warmwasser (WW)",WZ1_Zweck="Heizung (H) + Warmwasser (WW)",WZ1_Zweck="Warmwasser (WW) + Prozesse (Proz.)",WZ1_Zweck="Heizung (H) + Warmwasser (WW) + Prozesse (Proz.)"),CONCATENATE(N185," ",WZ1_Gebäude),"-")</f>
        <v>-</v>
      </c>
      <c r="R212" s="1"/>
      <c r="S212" s="1"/>
      <c r="T212" s="1"/>
      <c r="U212" s="1"/>
      <c r="V212" s="1"/>
      <c r="W212" s="1"/>
      <c r="X212" s="1"/>
      <c r="Y212" s="1"/>
    </row>
    <row r="213" spans="14:25" hidden="1" x14ac:dyDescent="0.2">
      <c r="S213" s="123"/>
      <c r="T213" s="123"/>
      <c r="U213" s="123"/>
      <c r="V213" s="123"/>
      <c r="W213" s="2"/>
      <c r="X213" s="2"/>
      <c r="Y213" s="2"/>
    </row>
    <row r="214" spans="14:25" hidden="1" x14ac:dyDescent="0.2">
      <c r="N214" s="3" t="s">
        <v>529</v>
      </c>
      <c r="O214" s="3" t="s">
        <v>521</v>
      </c>
      <c r="Q214" s="3" t="str">
        <f>IF(OR(WZ2_Zweck="Warmwasser (WW)",WZ2_Zweck="Heizung (H) + Warmwasser (WW)",WZ2_Zweck="Warmwasser (WW) + Prozesse (Proz.)",WZ2_Zweck="Heizung (H) + Warmwasser (WW) + Prozesse (Proz.)"),CONCATENATE(N186," ",WZ2_Gebäude),"-")</f>
        <v>-</v>
      </c>
      <c r="S214" s="137"/>
      <c r="T214" s="137"/>
      <c r="U214" s="137"/>
      <c r="V214" s="137"/>
      <c r="W214" s="137"/>
      <c r="X214" s="137"/>
      <c r="Y214" s="137"/>
    </row>
    <row r="215" spans="14:25" hidden="1" x14ac:dyDescent="0.2">
      <c r="S215" s="123"/>
      <c r="T215" s="123"/>
      <c r="U215" s="123"/>
      <c r="V215" s="123"/>
      <c r="W215" s="2"/>
      <c r="X215" s="2"/>
      <c r="Y215" s="2"/>
    </row>
    <row r="216" spans="14:25" hidden="1" x14ac:dyDescent="0.2">
      <c r="N216" s="3" t="s">
        <v>530</v>
      </c>
      <c r="O216" s="3" t="s">
        <v>522</v>
      </c>
      <c r="Q216" s="3" t="str">
        <f>IF(OR(WZ1_Zweck="Warmwasser (WW)",WZ1_Zweck="Heizung (H) + Warmwasser (WW)",WZ1_Zweck="Warmwasser (WW) + Prozesse (Proz.)",WZ1_Zweck="Heizung (H) + Warmwasser (WW) + Prozesse (Proz.)"),N187,"-")</f>
        <v>-</v>
      </c>
      <c r="S216" s="405"/>
      <c r="T216" s="405"/>
      <c r="U216" s="405"/>
      <c r="V216" s="405"/>
      <c r="W216" s="405"/>
      <c r="X216" s="405"/>
      <c r="Y216" s="405"/>
    </row>
    <row r="217" spans="14:25" hidden="1" x14ac:dyDescent="0.2">
      <c r="S217" s="123"/>
      <c r="T217" s="123"/>
      <c r="U217" s="123"/>
      <c r="V217" s="123"/>
      <c r="W217" s="2"/>
      <c r="X217" s="2"/>
      <c r="Y217" s="2"/>
    </row>
    <row r="218" spans="14:25" hidden="1" x14ac:dyDescent="0.2">
      <c r="N218" s="3" t="s">
        <v>531</v>
      </c>
      <c r="O218" s="3" t="s">
        <v>523</v>
      </c>
      <c r="Q218" s="3" t="str">
        <f>IF(OR(WZ2_Zweck="Warmwasser (WW)",WZ2_Zweck="Heizung (H) + Warmwasser (WW)",WZ2_Zweck="Warmwasser (WW) + Prozesse (Proz.)",WZ2_Zweck="Heizung (H) + Warmwasser (WW) + Prozesse (Proz.)"),N188,"-")</f>
        <v>-</v>
      </c>
      <c r="S218" s="405"/>
      <c r="T218" s="405"/>
      <c r="U218" s="405"/>
      <c r="V218" s="405"/>
      <c r="W218" s="405"/>
      <c r="X218" s="405"/>
      <c r="Y218" s="405"/>
    </row>
    <row r="219" spans="14:25" hidden="1" x14ac:dyDescent="0.2"/>
    <row r="220" spans="14:25" hidden="1" x14ac:dyDescent="0.2"/>
  </sheetData>
  <sheetProtection algorithmName="SHA-512" hashValue="bQY3EBZc18R1ge056XRbfZBsjBKjzppAhOgby+4XTdRQKldZQKSS6osNL/623DFBlhv150+B3lr5LUCe9urZMw==" saltValue="hDSx62AkYq3g/4Xkqh3A4Q==" spinCount="100000" sheet="1" formatRows="0"/>
  <mergeCells count="6">
    <mergeCell ref="S218:Y218"/>
    <mergeCell ref="B116:N116"/>
    <mergeCell ref="F125:N127"/>
    <mergeCell ref="S208:Y208"/>
    <mergeCell ref="S210:Y210"/>
    <mergeCell ref="S216:Y216"/>
  </mergeCells>
  <conditionalFormatting sqref="D120 D122">
    <cfRule type="beginsWith" dxfId="173" priority="4" operator="beginsWith" text="erfüllt">
      <formula>LEFT(D120,LEN("erfüllt"))="erfüllt"</formula>
    </cfRule>
    <cfRule type="containsText" dxfId="172" priority="5" operator="containsText" text="nicht erfüllt">
      <formula>NOT(ISERROR(SEARCH("nicht erfüllt",D120)))</formula>
    </cfRule>
  </conditionalFormatting>
  <conditionalFormatting sqref="H15:H110">
    <cfRule type="cellIs" dxfId="170" priority="7" operator="equal">
      <formula>"x"</formula>
    </cfRule>
  </conditionalFormatting>
  <dataValidations count="3">
    <dataValidation type="list" allowBlank="1" showInputMessage="1" showErrorMessage="1" sqref="F30:F32 J95:J96 F112 J110 J79 J81 J83 J85 J87:J88 F26:F28 F62 J101 J91 F85 J93 F40 F38 F47 J26:J32 J77 J103 F109:F110 F64 F66 F68 F96 F73 F60 J99" xr:uid="{0B5F2696-636D-4CBF-81B3-83D6EC4BB640}">
      <formula1>#REF!</formula1>
    </dataValidation>
    <dataValidation type="list" allowBlank="1" showInputMessage="1" showErrorMessage="1" sqref="E131:G176 I131:I176" xr:uid="{090ED636-97CC-4AEA-B5B8-1B990605C1CA}">
      <formula1>Erzeugung</formula1>
    </dataValidation>
    <dataValidation type="list" allowBlank="1" showInputMessage="1" showErrorMessage="1" sqref="D110" xr:uid="{F55A70E7-7444-426F-8341-3DDC1810275D}">
      <formula1>$P$110:$Q$110</formula1>
    </dataValidation>
  </dataValidations>
  <hyperlinks>
    <hyperlink ref="N1" r:id="rId1" xr:uid="{5643A20E-68D4-4898-B30A-BF33DD7C26ED}"/>
    <hyperlink ref="N2" location="'EN-Kt.'!A1" display="Zurück zm EN-Kt. " xr:uid="{C13E5CDC-5B5B-4914-AA7D-8DA4D00AA178}"/>
    <hyperlink ref="A39" r:id="rId2" xr:uid="{A2313AE4-E5E3-423E-98B1-A73AE91068B7}"/>
    <hyperlink ref="A49" location="Hilfsdokumentation!A215" display="§" xr:uid="{A7E0B669-5C95-4FDD-AC63-01EAB48789D4}"/>
    <hyperlink ref="A53" location="Hilfsdokumentation!A230" display="§" xr:uid="{9165FF5D-CE03-40F2-B6D4-544D6CDB2158}"/>
    <hyperlink ref="D39" r:id="rId3" xr:uid="{A7F36258-D920-4644-A5DC-EB2B512280A2}"/>
  </hyperlinks>
  <pageMargins left="0.59055118110236227" right="0.59055118110236227" top="1.1417322834645669" bottom="1.1417322834645669" header="0.31496062992125984" footer="0.31496062992125984"/>
  <pageSetup paperSize="9" scale="67" fitToHeight="0" orientation="portrait" r:id="rId4"/>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rowBreaks count="1" manualBreakCount="1">
    <brk id="103" max="16383" man="1"/>
  </rowBreaks>
  <drawing r:id="rId5"/>
  <legacyDrawingHF r:id="rId6"/>
  <extLst>
    <ext xmlns:x14="http://schemas.microsoft.com/office/spreadsheetml/2009/9/main" uri="{78C0D931-6437-407d-A8EE-F0AAD7539E65}">
      <x14:conditionalFormattings>
        <x14:conditionalFormatting xmlns:xm="http://schemas.microsoft.com/office/excel/2006/main">
          <x14:cfRule type="containsText" priority="6" operator="containsText" text="nicht" id="{E6C23BC3-6654-42F2-AFA0-980AF194B383}">
            <xm:f>NOT(ISERROR(SEARCH("nicht",'EN-104'!B123)))</xm:f>
            <x14:dxf>
              <font>
                <color rgb="FF9C0006"/>
              </font>
              <fill>
                <patternFill>
                  <bgColor rgb="FFFFC7CE"/>
                </patternFill>
              </fill>
            </x14:dxf>
          </x14:cfRule>
          <xm:sqref>D120 D122</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62927B7B-CD73-4EBC-8177-28199565BC0D}">
          <x14:formula1>
            <xm:f>'EN-Kt.'!$C$304:$C$307</xm:f>
          </x14:formula1>
          <xm:sqref>D9:L9</xm:sqref>
        </x14:dataValidation>
        <x14:dataValidation type="list" allowBlank="1" showInputMessage="1" showErrorMessage="1" xr:uid="{6B7C5348-F1C8-4F20-8FF8-6B046975C80C}">
          <x14:formula1>
            <xm:f>'EN-Kt.'!$C$298:$C$302</xm:f>
          </x14:formula1>
          <xm:sqref>D37</xm:sqref>
        </x14:dataValidation>
        <x14:dataValidation type="list" allowBlank="1" showInputMessage="1" showErrorMessage="1" xr:uid="{0099BC33-1912-425E-8C95-0060D00AC502}">
          <x14:formula1>
            <xm:f>'EN-Kt.'!$A$207:$A$208</xm:f>
          </x14:formula1>
          <xm:sqref>F17 F108 F19 F21 F25 F23 F29 F37 F15 F39 F41 F43 F45 F49:F51 F53 F55 F57 F59 F61 F71 F77 F79 F83 F81 F89 F91 F93 F95 F97 F99 F101 F103 F122 J108 L81 L89 L91 L103 L108 J19 J21 J23 J25 F120 F33 F75 F87</xm:sqref>
        </x14:dataValidation>
        <x14:dataValidation type="list" allowBlank="1" showInputMessage="1" showErrorMessage="1" xr:uid="{31874DE7-0732-4D6F-8C0F-D1FFE6C7615E}">
          <x14:formula1>
            <xm:f>'EN-Kt.'!$C$228:$C$229</xm:f>
          </x14:formula1>
          <xm:sqref>D109</xm:sqref>
        </x14:dataValidation>
        <x14:dataValidation type="list" allowBlank="1" showInputMessage="1" showErrorMessage="1" xr:uid="{2E509E34-71C9-4BB4-A4F1-D8A54F992033}">
          <x14:formula1>
            <xm:f>'EN-Kt.'!$C$226:$C$229</xm:f>
          </x14:formula1>
          <xm:sqref>D41</xm:sqref>
        </x14:dataValidation>
        <x14:dataValidation type="list" allowBlank="1" showInputMessage="1" showErrorMessage="1" xr:uid="{3AE47F8B-8C47-48A7-8A7C-4056390EDC28}">
          <x14:formula1>
            <xm:f>'EN-102a Neubau'!$T$7:$T$8</xm:f>
          </x14:formula1>
          <xm:sqref>F88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0"/>
  </sheetPr>
  <dimension ref="A1:T183"/>
  <sheetViews>
    <sheetView showGridLines="0" zoomScaleNormal="100" zoomScalePageLayoutView="70" workbookViewId="0"/>
  </sheetViews>
  <sheetFormatPr baseColWidth="10" defaultColWidth="10.875" defaultRowHeight="13.5" x14ac:dyDescent="0.2"/>
  <cols>
    <col min="1" max="2" width="4.375" style="3" customWidth="1"/>
    <col min="3" max="3" width="20.375" style="3" customWidth="1"/>
    <col min="4" max="4" width="15.5" style="3" customWidth="1"/>
    <col min="5" max="5" width="1" style="3" customWidth="1"/>
    <col min="6" max="6" width="12.12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2.875" style="3" customWidth="1"/>
    <col min="15" max="15" width="1" style="3" customWidth="1"/>
    <col min="16" max="16" width="49" style="3" customWidth="1"/>
    <col min="17" max="16384" width="10.875" style="3"/>
  </cols>
  <sheetData>
    <row r="1" spans="1:20" ht="18" x14ac:dyDescent="0.25">
      <c r="A1" s="6" t="s">
        <v>15</v>
      </c>
      <c r="B1" s="6"/>
      <c r="P1" s="117" t="s">
        <v>503</v>
      </c>
      <c r="R1"/>
    </row>
    <row r="2" spans="1:20" ht="18" x14ac:dyDescent="0.25">
      <c r="A2" s="6" t="s">
        <v>279</v>
      </c>
      <c r="B2" s="6"/>
      <c r="P2" s="117" t="s">
        <v>734</v>
      </c>
    </row>
    <row r="3" spans="1:20" ht="63.95" customHeight="1" x14ac:dyDescent="0.2">
      <c r="A3" s="2" t="s">
        <v>61</v>
      </c>
      <c r="F3" s="1"/>
      <c r="H3" s="7"/>
      <c r="I3" s="7"/>
      <c r="J3" s="7"/>
      <c r="K3" s="7"/>
      <c r="L3" s="8"/>
      <c r="N3" s="8"/>
    </row>
    <row r="4" spans="1:20" ht="2.1" customHeight="1" x14ac:dyDescent="0.2">
      <c r="A4" s="2"/>
      <c r="F4" s="1"/>
      <c r="H4" s="7"/>
      <c r="I4" s="7"/>
      <c r="J4" s="7"/>
      <c r="K4" s="7"/>
      <c r="L4" s="8"/>
      <c r="N4" s="8"/>
    </row>
    <row r="5" spans="1:20" ht="15.75" customHeight="1" x14ac:dyDescent="0.2">
      <c r="B5" s="3" t="s">
        <v>62</v>
      </c>
      <c r="D5" s="406" t="str">
        <f>IF(ISTEXT(Gemeinde),Gemeinde,"")</f>
        <v/>
      </c>
      <c r="E5" s="406"/>
      <c r="F5" s="406"/>
      <c r="G5" s="406"/>
      <c r="H5" s="406"/>
      <c r="I5" s="406"/>
      <c r="J5" s="406"/>
      <c r="K5" s="406"/>
      <c r="L5" s="406"/>
      <c r="M5" s="406"/>
      <c r="N5" s="406"/>
      <c r="O5" s="406"/>
      <c r="P5" s="16"/>
    </row>
    <row r="6" spans="1:20" ht="2.1" customHeight="1" x14ac:dyDescent="0.2">
      <c r="D6" s="54"/>
      <c r="E6" s="54"/>
      <c r="F6" s="96"/>
      <c r="H6" s="7"/>
      <c r="I6" s="7"/>
      <c r="J6" s="7"/>
      <c r="K6" s="7"/>
      <c r="L6" s="8"/>
      <c r="N6" s="8"/>
    </row>
    <row r="7" spans="1:20" ht="15.75" customHeight="1" x14ac:dyDescent="0.2">
      <c r="B7" s="3" t="s">
        <v>63</v>
      </c>
      <c r="D7" s="407" t="str">
        <f>IF(ISTEXT(Bauvorhaben),Bauvorhaben,"")</f>
        <v/>
      </c>
      <c r="E7" s="407"/>
      <c r="F7" s="407"/>
      <c r="G7" s="407"/>
      <c r="H7" s="407"/>
      <c r="I7" s="407"/>
      <c r="J7" s="407"/>
      <c r="K7" s="407"/>
      <c r="L7" s="407"/>
      <c r="M7" s="407"/>
      <c r="N7" s="407"/>
      <c r="O7" s="407"/>
      <c r="P7" s="16"/>
    </row>
    <row r="8" spans="1:20" ht="2.1" customHeight="1" x14ac:dyDescent="0.2">
      <c r="D8" s="54"/>
      <c r="E8" s="54"/>
      <c r="H8" s="7"/>
      <c r="I8" s="7"/>
      <c r="J8" s="7"/>
      <c r="K8" s="7"/>
      <c r="L8" s="8"/>
      <c r="N8" s="8"/>
      <c r="T8" s="3" t="s">
        <v>43</v>
      </c>
    </row>
    <row r="9" spans="1:20" ht="15.75" customHeight="1" x14ac:dyDescent="0.2">
      <c r="B9" s="38" t="s">
        <v>64</v>
      </c>
      <c r="C9" s="38"/>
      <c r="D9" s="218" t="s">
        <v>491</v>
      </c>
      <c r="E9" s="218"/>
      <c r="F9" s="218"/>
      <c r="G9" s="218"/>
      <c r="H9" s="218"/>
      <c r="I9" s="218"/>
      <c r="J9" s="218"/>
      <c r="K9" s="218"/>
      <c r="L9" s="218"/>
      <c r="M9" s="218"/>
      <c r="N9" s="218"/>
      <c r="O9" s="218"/>
      <c r="P9" s="218"/>
      <c r="Q9" s="34"/>
    </row>
    <row r="10" spans="1:20" ht="2.1" customHeight="1" x14ac:dyDescent="0.2">
      <c r="D10" s="54"/>
      <c r="E10" s="54"/>
      <c r="H10" s="7"/>
      <c r="I10" s="7"/>
      <c r="J10" s="7"/>
      <c r="K10" s="7"/>
      <c r="L10" s="8"/>
      <c r="N10" s="8"/>
    </row>
    <row r="11" spans="1:20" ht="15.75" customHeight="1" x14ac:dyDescent="0.2">
      <c r="B11" s="3" t="s">
        <v>65</v>
      </c>
      <c r="D11" s="407" t="str">
        <f>IF(ISTEXT(Kontrollbeauftragter),Kontrollbeauftragter,"")</f>
        <v/>
      </c>
      <c r="E11" s="407"/>
      <c r="F11" s="407"/>
      <c r="G11" s="407"/>
      <c r="H11" s="407"/>
      <c r="I11" s="407"/>
      <c r="J11" s="407"/>
      <c r="K11" s="407"/>
      <c r="L11" s="407"/>
      <c r="M11" s="407"/>
      <c r="N11" s="407"/>
      <c r="O11" s="407"/>
      <c r="P11" s="16"/>
    </row>
    <row r="13" spans="1:20" ht="60.6" customHeight="1" x14ac:dyDescent="0.2">
      <c r="A13" s="2" t="s">
        <v>444</v>
      </c>
      <c r="B13" s="2"/>
      <c r="H13" s="7" t="s">
        <v>20</v>
      </c>
      <c r="I13" s="7"/>
      <c r="J13" s="7" t="s">
        <v>21</v>
      </c>
      <c r="K13" s="7"/>
      <c r="L13" s="8" t="s">
        <v>19</v>
      </c>
      <c r="N13" s="8" t="s">
        <v>27</v>
      </c>
      <c r="P13" s="3" t="s">
        <v>16</v>
      </c>
    </row>
    <row r="14" spans="1:20" ht="2.1" customHeight="1" x14ac:dyDescent="0.2">
      <c r="A14" s="2"/>
      <c r="B14" s="2"/>
      <c r="H14" s="7"/>
      <c r="I14" s="7"/>
      <c r="J14" s="7"/>
      <c r="K14" s="7"/>
      <c r="L14" s="8"/>
      <c r="N14" s="8"/>
    </row>
    <row r="15" spans="1:20" ht="13.5" customHeight="1" x14ac:dyDescent="0.2">
      <c r="A15" s="2"/>
      <c r="B15" s="3" t="s">
        <v>736</v>
      </c>
      <c r="H15" s="30" t="s">
        <v>43</v>
      </c>
      <c r="J15" s="12" t="str">
        <f>IF(L15="x","-",IF(H15="x","-","x"))</f>
        <v>x</v>
      </c>
      <c r="L15" s="7"/>
      <c r="N15" s="7"/>
      <c r="P15" s="25"/>
    </row>
    <row r="16" spans="1:20" ht="2.1" customHeight="1" x14ac:dyDescent="0.2">
      <c r="A16" s="2"/>
      <c r="B16" s="2"/>
      <c r="H16" s="7"/>
      <c r="I16" s="7"/>
      <c r="J16" s="7"/>
      <c r="K16" s="7"/>
      <c r="L16" s="8"/>
      <c r="N16" s="8"/>
    </row>
    <row r="17" spans="1:19" x14ac:dyDescent="0.2">
      <c r="B17" s="3" t="s">
        <v>368</v>
      </c>
      <c r="H17" s="30" t="s">
        <v>43</v>
      </c>
      <c r="J17" s="12" t="str">
        <f>IF(L17="x","-",IF(H17="x","-","x"))</f>
        <v>x</v>
      </c>
      <c r="L17" s="7"/>
      <c r="N17" s="7"/>
      <c r="P17" s="25"/>
    </row>
    <row r="18" spans="1:19" ht="2.1" customHeight="1" x14ac:dyDescent="0.2">
      <c r="H18" s="7"/>
      <c r="J18" s="7"/>
      <c r="L18" s="7"/>
      <c r="N18" s="7"/>
      <c r="P18" s="26"/>
    </row>
    <row r="19" spans="1:19" x14ac:dyDescent="0.2">
      <c r="B19" s="3" t="s">
        <v>452</v>
      </c>
      <c r="H19" s="30" t="s">
        <v>43</v>
      </c>
      <c r="J19" s="12" t="str">
        <f>IF(L19="x","-",IF(H19="x","-","x"))</f>
        <v>x</v>
      </c>
      <c r="L19" s="7"/>
      <c r="N19" s="7"/>
      <c r="P19" s="25"/>
    </row>
    <row r="20" spans="1:19" ht="2.1" customHeight="1" x14ac:dyDescent="0.2">
      <c r="H20" s="7"/>
      <c r="J20" s="7"/>
      <c r="L20" s="7"/>
      <c r="N20" s="7"/>
      <c r="P20" s="26"/>
    </row>
    <row r="21" spans="1:19" x14ac:dyDescent="0.2">
      <c r="B21" s="3" t="s">
        <v>453</v>
      </c>
      <c r="H21" s="30" t="s">
        <v>43</v>
      </c>
      <c r="J21" s="12" t="str">
        <f>IF(L21="x","-",IF(H21="x","-","x"))</f>
        <v>x</v>
      </c>
      <c r="L21" s="7"/>
      <c r="N21" s="7"/>
      <c r="P21" s="25"/>
      <c r="S21" s="3" t="str">
        <f>IF(OR(AND(C34="-", Q21=C166),OR(Q17="III – Verwaltung",Q19="III – Verwaltung")),"nicht zulässig", IF(AND(OR(E17="x",E19="x",E21="x"),Q21=""),"Angabe fehlt",""  ))</f>
        <v/>
      </c>
    </row>
    <row r="22" spans="1:19" ht="2.1" customHeight="1" x14ac:dyDescent="0.2">
      <c r="H22" s="7"/>
      <c r="J22" s="7"/>
      <c r="L22" s="7"/>
      <c r="N22" s="7"/>
      <c r="P22" s="26"/>
    </row>
    <row r="23" spans="1:19" x14ac:dyDescent="0.2">
      <c r="B23" s="3" t="s">
        <v>30</v>
      </c>
      <c r="H23" s="30" t="s">
        <v>43</v>
      </c>
      <c r="J23" s="12" t="str">
        <f>IF(L23="x","-",IF(H23="x","-","x"))</f>
        <v>x</v>
      </c>
      <c r="L23" s="7"/>
      <c r="N23" s="7"/>
      <c r="P23" s="25"/>
    </row>
    <row r="24" spans="1:19" ht="2.1" customHeight="1" x14ac:dyDescent="0.2">
      <c r="H24" s="7"/>
      <c r="J24" s="7"/>
      <c r="L24" s="7"/>
      <c r="N24" s="7"/>
      <c r="P24" s="26"/>
    </row>
    <row r="25" spans="1:19" x14ac:dyDescent="0.2">
      <c r="B25" s="3" t="s">
        <v>13</v>
      </c>
      <c r="H25" s="30" t="s">
        <v>43</v>
      </c>
      <c r="J25" s="12" t="str">
        <f>IF(L25="x","-",IF(H25="x","-","x"))</f>
        <v>x</v>
      </c>
      <c r="L25" s="30" t="s">
        <v>43</v>
      </c>
      <c r="N25" s="7"/>
      <c r="P25" s="25"/>
    </row>
    <row r="26" spans="1:19" ht="2.1" customHeight="1" x14ac:dyDescent="0.2">
      <c r="H26" s="7"/>
      <c r="J26" s="7"/>
      <c r="L26" s="7"/>
      <c r="N26" s="7"/>
      <c r="P26" s="26"/>
    </row>
    <row r="27" spans="1:19" x14ac:dyDescent="0.2">
      <c r="B27" s="3" t="s">
        <v>14</v>
      </c>
      <c r="H27" s="30" t="s">
        <v>43</v>
      </c>
      <c r="J27" s="12" t="str">
        <f>IF(L27="x","-",IF(H27="x","-","x"))</f>
        <v>x</v>
      </c>
      <c r="L27" s="30" t="s">
        <v>43</v>
      </c>
      <c r="N27" s="7"/>
      <c r="P27" s="25"/>
    </row>
    <row r="28" spans="1:19" ht="1.5" customHeight="1" x14ac:dyDescent="0.2">
      <c r="H28" s="55"/>
      <c r="J28" s="14"/>
      <c r="L28" s="7"/>
      <c r="N28" s="7"/>
      <c r="P28" s="26"/>
    </row>
    <row r="29" spans="1:19" ht="12.75" customHeight="1" x14ac:dyDescent="0.2">
      <c r="B29" s="3" t="s">
        <v>300</v>
      </c>
      <c r="F29" s="54"/>
      <c r="G29" s="54"/>
      <c r="H29" s="30" t="s">
        <v>43</v>
      </c>
      <c r="J29" s="12" t="str">
        <f>IF(OR(H$17="x",L29="x"),"-",IF(H29="x","-","x"))</f>
        <v>x</v>
      </c>
      <c r="L29" s="30" t="s">
        <v>43</v>
      </c>
      <c r="M29" s="54"/>
      <c r="N29" s="7"/>
      <c r="P29" s="49"/>
    </row>
    <row r="30" spans="1:19" ht="26.25" customHeight="1" x14ac:dyDescent="0.2">
      <c r="A30" s="2" t="s">
        <v>0</v>
      </c>
      <c r="B30" s="2"/>
      <c r="P30" s="26"/>
    </row>
    <row r="31" spans="1:19" ht="2.1" customHeight="1" x14ac:dyDescent="0.2">
      <c r="A31" s="2"/>
      <c r="B31" s="2"/>
      <c r="H31" s="7"/>
      <c r="J31" s="7"/>
      <c r="P31" s="26"/>
    </row>
    <row r="32" spans="1:19" x14ac:dyDescent="0.2">
      <c r="B32" s="3" t="s">
        <v>17</v>
      </c>
      <c r="F32" s="4"/>
      <c r="G32" s="4"/>
      <c r="H32" s="30" t="s">
        <v>43</v>
      </c>
      <c r="J32" s="12" t="str">
        <f>IF(L32="x","-",IF(H32="x","-","x"))</f>
        <v>x</v>
      </c>
      <c r="L32" s="7"/>
      <c r="N32" s="7"/>
      <c r="P32" s="25"/>
    </row>
    <row r="33" spans="1:16" ht="2.1" customHeight="1" x14ac:dyDescent="0.2">
      <c r="B33" s="4"/>
      <c r="F33" s="4"/>
      <c r="G33" s="4"/>
      <c r="H33" s="7"/>
      <c r="J33" s="7"/>
      <c r="P33" s="26"/>
    </row>
    <row r="34" spans="1:16" x14ac:dyDescent="0.2">
      <c r="B34" s="3" t="s">
        <v>18</v>
      </c>
      <c r="F34" s="4"/>
      <c r="G34" s="4"/>
      <c r="H34" s="30" t="s">
        <v>43</v>
      </c>
      <c r="J34" s="12" t="str">
        <f>IF(L34="x","-",IF(H34="x","-","x"))</f>
        <v>x</v>
      </c>
      <c r="L34" s="7"/>
      <c r="N34" s="7"/>
      <c r="P34" s="49"/>
    </row>
    <row r="35" spans="1:16" ht="20.100000000000001" customHeight="1" thickBot="1" x14ac:dyDescent="0.25">
      <c r="C35" s="4"/>
      <c r="D35" s="4"/>
      <c r="F35" s="4"/>
      <c r="G35" s="4"/>
      <c r="P35" s="26"/>
    </row>
    <row r="36" spans="1:16" ht="14.25" thickBot="1" x14ac:dyDescent="0.25">
      <c r="A36" s="2" t="s">
        <v>1</v>
      </c>
      <c r="B36" s="2"/>
      <c r="H36" s="258" t="s">
        <v>43</v>
      </c>
      <c r="P36" s="26"/>
    </row>
    <row r="37" spans="1:16" ht="2.1" customHeight="1" x14ac:dyDescent="0.2">
      <c r="A37" s="2"/>
      <c r="B37" s="2"/>
      <c r="H37" s="7"/>
      <c r="J37" s="7"/>
      <c r="P37" s="26"/>
    </row>
    <row r="38" spans="1:16" x14ac:dyDescent="0.2">
      <c r="B38" s="3" t="s">
        <v>22</v>
      </c>
      <c r="H38" s="30" t="str">
        <f>IF($H$36="x","x","-")</f>
        <v>-</v>
      </c>
      <c r="J38" s="12" t="str">
        <f>IF(L38="x","-",IF(H38="x","-","x"))</f>
        <v>x</v>
      </c>
      <c r="L38" s="30" t="str">
        <f>IF($L$36="x","x","-")</f>
        <v>-</v>
      </c>
      <c r="N38" s="30" t="s">
        <v>43</v>
      </c>
      <c r="P38" s="25"/>
    </row>
    <row r="39" spans="1:16" ht="2.1" customHeight="1" x14ac:dyDescent="0.2">
      <c r="H39" s="7"/>
      <c r="J39" s="7"/>
      <c r="P39" s="26"/>
    </row>
    <row r="40" spans="1:16" x14ac:dyDescent="0.2">
      <c r="B40" s="3" t="s">
        <v>492</v>
      </c>
      <c r="H40" s="30" t="str">
        <f>IF($H$36="x","x","-")</f>
        <v>-</v>
      </c>
      <c r="J40" s="12" t="str">
        <f>IF(L40="x","-",IF(H40="x","-","x"))</f>
        <v>x</v>
      </c>
      <c r="L40" s="30" t="str">
        <f>IF($L$36="x","x","-")</f>
        <v>-</v>
      </c>
      <c r="N40" s="7"/>
      <c r="P40" s="25"/>
    </row>
    <row r="41" spans="1:16" ht="20.100000000000001" customHeight="1" thickBot="1" x14ac:dyDescent="0.25">
      <c r="P41" s="26"/>
    </row>
    <row r="42" spans="1:16" ht="14.25" thickBot="1" x14ac:dyDescent="0.25">
      <c r="A42" s="2" t="s">
        <v>2</v>
      </c>
      <c r="B42" s="2"/>
      <c r="H42" s="258" t="s">
        <v>43</v>
      </c>
      <c r="P42" s="26"/>
    </row>
    <row r="43" spans="1:16" ht="2.1" customHeight="1" x14ac:dyDescent="0.2">
      <c r="A43" s="2"/>
      <c r="B43" s="2"/>
      <c r="P43" s="26"/>
    </row>
    <row r="44" spans="1:16" x14ac:dyDescent="0.2">
      <c r="A44" s="2"/>
      <c r="B44" s="3" t="s">
        <v>356</v>
      </c>
      <c r="H44" s="30" t="str">
        <f>IF($H$42="x","x","-")</f>
        <v>-</v>
      </c>
      <c r="L44" s="7"/>
      <c r="P44" s="25"/>
    </row>
    <row r="45" spans="1:16" ht="2.1" customHeight="1" x14ac:dyDescent="0.2">
      <c r="A45" s="2"/>
      <c r="B45" s="2"/>
      <c r="P45" s="26"/>
    </row>
    <row r="46" spans="1:16" x14ac:dyDescent="0.2">
      <c r="A46" s="2"/>
      <c r="B46" s="3" t="s">
        <v>24</v>
      </c>
      <c r="H46" s="30" t="str">
        <f>IF($H$42="x","x","-")</f>
        <v>-</v>
      </c>
      <c r="J46" s="12" t="str">
        <f>IF(OR(H$44="x",L46="x"),"-",IF(H46="x","-","x"))</f>
        <v>x</v>
      </c>
      <c r="N46" s="30" t="s">
        <v>43</v>
      </c>
      <c r="P46" s="25"/>
    </row>
    <row r="47" spans="1:16" ht="2.1" customHeight="1" x14ac:dyDescent="0.2">
      <c r="A47" s="2"/>
      <c r="H47" s="7"/>
      <c r="J47" s="7"/>
      <c r="P47" s="26"/>
    </row>
    <row r="48" spans="1:16" x14ac:dyDescent="0.2">
      <c r="A48" s="2"/>
      <c r="B48" s="3" t="s">
        <v>25</v>
      </c>
      <c r="H48" s="30" t="str">
        <f>IF($H$42="x","x","-")</f>
        <v>-</v>
      </c>
      <c r="J48" s="12" t="str">
        <f>IF(OR(H$44="x",L48="x"),"-",IF(H48="x","-","x"))</f>
        <v>x</v>
      </c>
      <c r="L48" s="30" t="str">
        <f>IF($L$42="x","x","-")</f>
        <v>-</v>
      </c>
      <c r="N48" s="7"/>
      <c r="P48" s="25"/>
    </row>
    <row r="49" spans="1:17" ht="2.1" customHeight="1" x14ac:dyDescent="0.2">
      <c r="A49" s="2"/>
      <c r="H49" s="7"/>
      <c r="J49" s="7"/>
      <c r="L49" s="7"/>
      <c r="P49" s="26"/>
    </row>
    <row r="50" spans="1:17" x14ac:dyDescent="0.2">
      <c r="A50" s="2"/>
      <c r="B50" s="3" t="s">
        <v>26</v>
      </c>
      <c r="H50" s="30" t="str">
        <f>IF($H$42="x","x","-")</f>
        <v>-</v>
      </c>
      <c r="J50" s="12" t="str">
        <f>IF(OR(H$44="x",L50="x"),"-",IF(H50="x","-","x"))</f>
        <v>x</v>
      </c>
      <c r="L50" s="30" t="str">
        <f>IF($L$42="x","x","-")</f>
        <v>-</v>
      </c>
      <c r="N50" s="30" t="s">
        <v>43</v>
      </c>
      <c r="P50" s="25"/>
    </row>
    <row r="51" spans="1:17" ht="2.1" customHeight="1" x14ac:dyDescent="0.2">
      <c r="A51" s="2"/>
      <c r="H51" s="27"/>
      <c r="J51" s="14"/>
      <c r="L51" s="27"/>
      <c r="N51" s="27"/>
      <c r="P51" s="26"/>
    </row>
    <row r="52" spans="1:17" x14ac:dyDescent="0.2">
      <c r="A52" s="2"/>
      <c r="B52" s="3" t="s">
        <v>370</v>
      </c>
      <c r="H52" s="30" t="str">
        <f>IF($H$42="x","x","-")</f>
        <v>-</v>
      </c>
      <c r="J52" s="12" t="str">
        <f>IF(OR(H$44="x",L52="x"),"-",IF(H52="x","-","x"))</f>
        <v>x</v>
      </c>
      <c r="L52" s="30" t="str">
        <f>IF($L$42="x","x","-")</f>
        <v>-</v>
      </c>
      <c r="N52" s="30" t="s">
        <v>43</v>
      </c>
      <c r="P52" s="25"/>
    </row>
    <row r="53" spans="1:17" ht="16.899999999999999" customHeight="1" thickBot="1" x14ac:dyDescent="0.25">
      <c r="P53" s="26"/>
    </row>
    <row r="54" spans="1:17" ht="14.25" thickBot="1" x14ac:dyDescent="0.25">
      <c r="A54" s="2" t="s">
        <v>3</v>
      </c>
      <c r="B54" s="2"/>
      <c r="H54" s="258" t="s">
        <v>43</v>
      </c>
      <c r="P54" s="26"/>
    </row>
    <row r="55" spans="1:17" ht="2.1" customHeight="1" x14ac:dyDescent="0.2">
      <c r="A55" s="2"/>
      <c r="B55" s="2"/>
      <c r="P55" s="26"/>
    </row>
    <row r="56" spans="1:17" x14ac:dyDescent="0.2">
      <c r="B56" s="3" t="s">
        <v>28</v>
      </c>
      <c r="D56" s="379" t="s">
        <v>428</v>
      </c>
      <c r="E56" s="379"/>
      <c r="F56" s="379"/>
      <c r="H56" s="30" t="str">
        <f>IF($H$54="x","x","-")</f>
        <v>-</v>
      </c>
      <c r="J56" s="12" t="str">
        <f>IF(L56="x","-",IF(H56="x","-","x"))</f>
        <v>x</v>
      </c>
      <c r="L56" s="7"/>
      <c r="N56" s="7"/>
      <c r="P56" s="50"/>
      <c r="Q56" s="51"/>
    </row>
    <row r="57" spans="1:17" ht="2.1" customHeight="1" x14ac:dyDescent="0.2">
      <c r="H57" s="7"/>
      <c r="J57" s="7"/>
      <c r="P57" s="26"/>
    </row>
    <row r="58" spans="1:17" x14ac:dyDescent="0.2">
      <c r="B58" s="3" t="s">
        <v>37</v>
      </c>
      <c r="D58" s="16" t="str">
        <f>'EN-Kt.'!F35</f>
        <v xml:space="preserve">Wärmeerzeugung auswählen </v>
      </c>
      <c r="E58" s="16"/>
      <c r="F58" s="16"/>
      <c r="H58" s="30" t="str">
        <f>IF($H$54="x","x","-")</f>
        <v>-</v>
      </c>
      <c r="J58" s="12" t="str">
        <f>IF(L58="x","-",IF(H58="x","-","x"))</f>
        <v>x</v>
      </c>
      <c r="L58" s="30" t="str">
        <f>IF($L$54="x","x","-")</f>
        <v>-</v>
      </c>
      <c r="O58" s="3" t="str">
        <f>IF('EN-101a'!$D$34="befreit","Auswahl nicht erforderlich, da Bagatellerweiterung","")</f>
        <v/>
      </c>
      <c r="P58" s="50"/>
    </row>
    <row r="59" spans="1:17" ht="2.1" customHeight="1" x14ac:dyDescent="0.2">
      <c r="H59" s="7"/>
      <c r="J59" s="7"/>
      <c r="O59" s="3" t="str">
        <f>IF('EN-101a'!$D$34="befreit","Auswahl nicht erforderlich, da Bagatellerweiterung","")</f>
        <v/>
      </c>
      <c r="P59" s="26"/>
    </row>
    <row r="60" spans="1:17" x14ac:dyDescent="0.2">
      <c r="B60" s="3" t="s">
        <v>462</v>
      </c>
      <c r="D60" s="16" t="str">
        <f>'EN-Kt.'!F37</f>
        <v>Grundanforderung auswählen</v>
      </c>
      <c r="E60" s="16"/>
      <c r="F60" s="16"/>
      <c r="H60" s="30" t="str">
        <f>IF($H$54="x","x","-")</f>
        <v>-</v>
      </c>
      <c r="J60" s="12" t="str">
        <f>IF(L60="x","-",IF(H60="x","-","x"))</f>
        <v>x</v>
      </c>
      <c r="L60" s="30" t="str">
        <f>IF($L$54="x","x","-")</f>
        <v>-</v>
      </c>
      <c r="N60" s="7"/>
      <c r="O60" s="3" t="str">
        <f>IF('EN-101a'!$D$34="befreit","Auswahl nicht erforderlich, da Bagatellerweiterung","")</f>
        <v/>
      </c>
      <c r="P60" s="50"/>
    </row>
    <row r="61" spans="1:17" ht="2.1" customHeight="1" x14ac:dyDescent="0.2">
      <c r="H61" s="7"/>
      <c r="J61" s="7"/>
      <c r="P61" s="26"/>
    </row>
    <row r="62" spans="1:17" x14ac:dyDescent="0.2">
      <c r="B62" s="3" t="s">
        <v>463</v>
      </c>
      <c r="H62" s="30" t="str">
        <f>IF($H$54="x","x","-")</f>
        <v>-</v>
      </c>
      <c r="J62" s="12" t="str">
        <f>IF(L62="x","-",IF(H62="x","-","x"))</f>
        <v>x</v>
      </c>
      <c r="L62" s="7"/>
      <c r="N62" s="7"/>
      <c r="P62" s="25"/>
    </row>
    <row r="63" spans="1:17" ht="2.1" customHeight="1" x14ac:dyDescent="0.2">
      <c r="H63" s="7"/>
      <c r="J63" s="7"/>
      <c r="P63" s="26"/>
    </row>
    <row r="64" spans="1:17" x14ac:dyDescent="0.2">
      <c r="B64" s="3" t="s">
        <v>4</v>
      </c>
      <c r="H64" s="30" t="str">
        <f>IF($H$54="x","x","-")</f>
        <v>-</v>
      </c>
      <c r="J64" s="12" t="str">
        <f>IF(L64="x","-",IF(H64="x","-","x"))</f>
        <v>x</v>
      </c>
      <c r="L64" s="7"/>
      <c r="N64" s="7"/>
      <c r="P64" s="25"/>
    </row>
    <row r="65" spans="2:16" ht="2.1" customHeight="1" x14ac:dyDescent="0.2">
      <c r="H65" s="7"/>
      <c r="J65" s="7"/>
      <c r="P65" s="26"/>
    </row>
    <row r="66" spans="2:16" x14ac:dyDescent="0.2">
      <c r="B66" s="3" t="s">
        <v>268</v>
      </c>
      <c r="H66" s="30" t="str">
        <f>IF($H$54="x","x","-")</f>
        <v>-</v>
      </c>
      <c r="J66" s="12" t="str">
        <f>IF(L66="x","-",IF(H66="x","-","x"))</f>
        <v>x</v>
      </c>
      <c r="L66" s="30" t="str">
        <f>IF($L$54="x","x","-")</f>
        <v>-</v>
      </c>
      <c r="N66" s="7"/>
      <c r="P66" s="25"/>
    </row>
    <row r="67" spans="2:16" ht="14.25" thickBot="1" x14ac:dyDescent="0.25">
      <c r="H67" s="14"/>
      <c r="J67" s="14"/>
      <c r="L67" s="7"/>
      <c r="N67" s="7"/>
      <c r="P67" s="26"/>
    </row>
    <row r="68" spans="2:16" ht="14.25" thickBot="1" x14ac:dyDescent="0.25">
      <c r="B68" s="3" t="s">
        <v>5</v>
      </c>
      <c r="F68" s="11" t="s">
        <v>875</v>
      </c>
      <c r="H68" s="258" t="s">
        <v>43</v>
      </c>
      <c r="O68" s="51" t="str">
        <f>IF(NOT(OR($D$56=$A$182,$D$56=$A$183,$D$56=$A$181)),"EN-101b und -102b erforderlich. Prüfung im EN-102b","")</f>
        <v/>
      </c>
      <c r="P68" s="112"/>
    </row>
    <row r="69" spans="2:16" ht="2.1" customHeight="1" x14ac:dyDescent="0.2">
      <c r="P69" s="26"/>
    </row>
    <row r="70" spans="2:16" x14ac:dyDescent="0.2">
      <c r="C70" s="3" t="s">
        <v>31</v>
      </c>
      <c r="H70" s="30" t="str">
        <f>IF($H$68="x","x","-")</f>
        <v>-</v>
      </c>
      <c r="J70" s="12" t="str">
        <f>IF(OR(L70="x",$H$68="x"),"-",IF(H70="x","-","x"))</f>
        <v>x</v>
      </c>
      <c r="L70" s="7"/>
      <c r="N70" s="7"/>
      <c r="P70" s="25"/>
    </row>
    <row r="71" spans="2:16" ht="2.1" customHeight="1" x14ac:dyDescent="0.2">
      <c r="H71" s="7"/>
      <c r="J71" s="7"/>
      <c r="P71" s="26"/>
    </row>
    <row r="72" spans="2:16" x14ac:dyDescent="0.2">
      <c r="C72" s="3" t="s">
        <v>273</v>
      </c>
      <c r="D72" s="11" t="s">
        <v>271</v>
      </c>
      <c r="F72" s="20">
        <f>IF(OR('EN-101a'!D34="befreit",'EN-Kt.'!F33:P33='EN-Kt.'!C212,D60='EN-Kt.'!C251,D60='EN-Kt.'!C253),0.17,0.15)</f>
        <v>0.15</v>
      </c>
      <c r="H72" s="30" t="str">
        <f>IF($H$68="x","x","-")</f>
        <v>-</v>
      </c>
      <c r="J72" s="12" t="str">
        <f>IF(OR(L72="x",$H$68="x"),"-",IF(H72="x","-","x"))</f>
        <v>x</v>
      </c>
      <c r="L72" s="30" t="str">
        <f>IF($L$68="x","x","-")</f>
        <v>-</v>
      </c>
      <c r="N72" s="30" t="s">
        <v>43</v>
      </c>
      <c r="P72" s="25"/>
    </row>
    <row r="73" spans="2:16" ht="2.1" customHeight="1" x14ac:dyDescent="0.2">
      <c r="C73" s="3" t="s">
        <v>273</v>
      </c>
      <c r="F73" s="11"/>
      <c r="H73" s="7"/>
      <c r="J73" s="7"/>
      <c r="N73" s="7"/>
      <c r="P73" s="26"/>
    </row>
    <row r="74" spans="2:16" x14ac:dyDescent="0.2">
      <c r="D74" s="11" t="s">
        <v>272</v>
      </c>
      <c r="F74" s="20">
        <v>0.25</v>
      </c>
      <c r="H74" s="30" t="str">
        <f>IF($H$68="x","x","-")</f>
        <v>-</v>
      </c>
      <c r="J74" s="12" t="str">
        <f>IF(OR($H$68="x",H$44="x",L74="x"),"-",IF(H74="x","-","x"))</f>
        <v>x</v>
      </c>
      <c r="L74" s="30" t="str">
        <f>IF($L$68="x","x","-")</f>
        <v>-</v>
      </c>
      <c r="N74" s="30" t="s">
        <v>43</v>
      </c>
      <c r="P74" s="25"/>
    </row>
    <row r="75" spans="2:16" ht="2.1" customHeight="1" thickBot="1" x14ac:dyDescent="0.25">
      <c r="F75" s="11"/>
      <c r="P75" s="26"/>
    </row>
    <row r="76" spans="2:16" ht="14.25" thickBot="1" x14ac:dyDescent="0.25">
      <c r="B76" s="3" t="s">
        <v>6</v>
      </c>
      <c r="F76" s="11" t="s">
        <v>875</v>
      </c>
      <c r="H76" s="258" t="s">
        <v>43</v>
      </c>
      <c r="O76" s="51" t="str">
        <f>IF(NOT(OR($D$56=$A$182,$D$56=$A$183,$D$56=$A$181)),"EN-101b und -102b erforderlich. Prüfung im EN-102b","")</f>
        <v/>
      </c>
      <c r="P76" s="112"/>
    </row>
    <row r="77" spans="2:16" ht="2.1" customHeight="1" x14ac:dyDescent="0.2">
      <c r="F77" s="11"/>
      <c r="P77" s="26"/>
    </row>
    <row r="78" spans="2:16" x14ac:dyDescent="0.2">
      <c r="C78" s="3" t="s">
        <v>31</v>
      </c>
      <c r="F78" s="11"/>
      <c r="H78" s="30" t="str">
        <f>IF($H$76="x","x","-")</f>
        <v>-</v>
      </c>
      <c r="J78" s="12" t="str">
        <f>IF(OR(L78="x",$H$76="x"),"-",IF(H78="x","-","x"))</f>
        <v>x</v>
      </c>
      <c r="L78" s="7"/>
      <c r="N78" s="7"/>
      <c r="P78" s="25"/>
    </row>
    <row r="79" spans="2:16" ht="2.1" customHeight="1" x14ac:dyDescent="0.2">
      <c r="F79" s="11"/>
      <c r="H79" s="7"/>
      <c r="J79" s="7"/>
      <c r="P79" s="26"/>
    </row>
    <row r="80" spans="2:16" x14ac:dyDescent="0.2">
      <c r="C80" s="3" t="s">
        <v>273</v>
      </c>
      <c r="D80" s="11" t="s">
        <v>271</v>
      </c>
      <c r="F80" s="20">
        <f>IF(OR('EN-101a'!D34="befreit",D60='EN-Kt.'!C251,D60='EN-Kt.'!C253),0.17,0.15)</f>
        <v>0.15</v>
      </c>
      <c r="H80" s="30" t="str">
        <f>IF($H$76="x","x","-")</f>
        <v>-</v>
      </c>
      <c r="J80" s="12" t="str">
        <f>IF(OR(L80="x",$H$76="x"),"-",IF(H80="x","-","x"))</f>
        <v>x</v>
      </c>
      <c r="L80" s="30" t="str">
        <f>IF($L$76="x","x","-")</f>
        <v>-</v>
      </c>
      <c r="N80" s="30" t="s">
        <v>43</v>
      </c>
      <c r="P80" s="25"/>
    </row>
    <row r="81" spans="2:16" ht="2.1" customHeight="1" x14ac:dyDescent="0.2">
      <c r="F81" s="11"/>
      <c r="H81" s="7"/>
      <c r="J81" s="7"/>
      <c r="N81" s="7"/>
      <c r="P81" s="26"/>
    </row>
    <row r="82" spans="2:16" x14ac:dyDescent="0.2">
      <c r="D82" s="11" t="s">
        <v>272</v>
      </c>
      <c r="F82" s="20">
        <v>0.25</v>
      </c>
      <c r="H82" s="30" t="str">
        <f>IF($H$76="x","x","-")</f>
        <v>-</v>
      </c>
      <c r="J82" s="12" t="str">
        <f>IF(OR(H$76="x",L82="x"),"-",IF(H82="x","-","x"))</f>
        <v>x</v>
      </c>
      <c r="L82" s="30" t="str">
        <f>IF($L$76="x","x","-")</f>
        <v>-</v>
      </c>
      <c r="N82" s="30" t="s">
        <v>43</v>
      </c>
      <c r="P82" s="25"/>
    </row>
    <row r="83" spans="2:16" ht="2.1" customHeight="1" thickBot="1" x14ac:dyDescent="0.25">
      <c r="F83" s="11"/>
      <c r="P83" s="26"/>
    </row>
    <row r="84" spans="2:16" ht="14.25" thickBot="1" x14ac:dyDescent="0.25">
      <c r="B84" s="3" t="s">
        <v>7</v>
      </c>
      <c r="F84" s="11" t="s">
        <v>875</v>
      </c>
      <c r="H84" s="258" t="s">
        <v>43</v>
      </c>
      <c r="O84" s="51" t="str">
        <f>IF(NOT(OR($D$56=$A$182,$D$56=$A$183,$D$56=$A$181)),"EN-101b und -102b erforderlich. Prüfung im EN-102b","")</f>
        <v/>
      </c>
      <c r="P84" s="112"/>
    </row>
    <row r="85" spans="2:16" ht="2.1" customHeight="1" x14ac:dyDescent="0.2">
      <c r="F85" s="11"/>
      <c r="P85" s="26"/>
    </row>
    <row r="86" spans="2:16" x14ac:dyDescent="0.2">
      <c r="C86" s="3" t="s">
        <v>31</v>
      </c>
      <c r="F86" s="11"/>
      <c r="H86" s="30" t="str">
        <f>IF($H$84="x","x","-")</f>
        <v>-</v>
      </c>
      <c r="J86" s="12" t="str">
        <f>IF(OR(H$84="x",L86="x"),"-",IF(H86="x","-","x"))</f>
        <v>x</v>
      </c>
      <c r="L86" s="7"/>
      <c r="N86" s="7"/>
      <c r="P86" s="25"/>
    </row>
    <row r="87" spans="2:16" ht="2.1" customHeight="1" x14ac:dyDescent="0.2">
      <c r="F87" s="11"/>
      <c r="H87" s="7" t="s">
        <v>43</v>
      </c>
      <c r="J87" s="7"/>
      <c r="P87" s="26"/>
    </row>
    <row r="88" spans="2:16" x14ac:dyDescent="0.2">
      <c r="C88" s="3" t="s">
        <v>273</v>
      </c>
      <c r="D88" s="11" t="s">
        <v>271</v>
      </c>
      <c r="F88" s="20">
        <f>IF(OR('EN-101a'!D34="befreit",D60='EN-Kt.'!C251,D60='EN-Kt.'!C253),0.17,0.15)</f>
        <v>0.15</v>
      </c>
      <c r="H88" s="30" t="str">
        <f>IF($H$84="x","x","-")</f>
        <v>-</v>
      </c>
      <c r="J88" s="12" t="str">
        <f>IF(OR(H$84="x",L88="x"),"-",IF(H88="x","-","x"))</f>
        <v>x</v>
      </c>
      <c r="L88" s="30" t="str">
        <f>IF($L$84="x","x","-")</f>
        <v>-</v>
      </c>
      <c r="N88" s="30" t="s">
        <v>43</v>
      </c>
      <c r="P88" s="25"/>
    </row>
    <row r="89" spans="2:16" ht="2.1" customHeight="1" x14ac:dyDescent="0.2">
      <c r="F89" s="11"/>
      <c r="H89" s="7"/>
      <c r="J89" s="7"/>
      <c r="N89" s="7"/>
      <c r="P89" s="26"/>
    </row>
    <row r="90" spans="2:16" x14ac:dyDescent="0.2">
      <c r="D90" s="11" t="s">
        <v>272</v>
      </c>
      <c r="F90" s="20">
        <v>0.25</v>
      </c>
      <c r="H90" s="30" t="str">
        <f>IF($H$84="x","x","-")</f>
        <v>-</v>
      </c>
      <c r="J90" s="12" t="str">
        <f>IF(OR(H$84="x",L90="x"),"-",IF(H90="x","-","x"))</f>
        <v>x</v>
      </c>
      <c r="L90" s="30" t="str">
        <f>IF($L$84="x","x","-")</f>
        <v>-</v>
      </c>
      <c r="N90" s="30" t="s">
        <v>43</v>
      </c>
      <c r="P90" s="25"/>
    </row>
    <row r="91" spans="2:16" ht="2.25" customHeight="1" x14ac:dyDescent="0.2">
      <c r="D91" s="11"/>
      <c r="F91" s="68"/>
      <c r="H91" s="27"/>
      <c r="J91" s="14"/>
      <c r="L91" s="27"/>
      <c r="N91" s="27"/>
      <c r="P91" s="26"/>
    </row>
    <row r="92" spans="2:16" ht="7.9" customHeight="1" x14ac:dyDescent="0.2">
      <c r="D92" s="11"/>
      <c r="F92" s="68"/>
      <c r="H92" s="27"/>
      <c r="J92" s="14"/>
      <c r="L92" s="27"/>
      <c r="N92" s="27"/>
      <c r="P92" s="26"/>
    </row>
    <row r="93" spans="2:16" ht="1.5" customHeight="1" thickBot="1" x14ac:dyDescent="0.25">
      <c r="F93" s="11"/>
      <c r="P93" s="26"/>
    </row>
    <row r="94" spans="2:16" ht="14.25" thickBot="1" x14ac:dyDescent="0.25">
      <c r="B94" s="3" t="s">
        <v>8</v>
      </c>
      <c r="F94" s="11" t="s">
        <v>875</v>
      </c>
      <c r="H94" s="258" t="s">
        <v>43</v>
      </c>
      <c r="O94" s="51" t="str">
        <f>IF(NOT(OR($D$56=$A$182,$D$56=$A$183,$D$56=$A$181)),"EN-101b und -102b erforderlich. Prüfung im EN-102b","")</f>
        <v/>
      </c>
      <c r="P94" s="26"/>
    </row>
    <row r="95" spans="2:16" ht="2.1" customHeight="1" x14ac:dyDescent="0.2">
      <c r="F95" s="11"/>
      <c r="P95" s="26"/>
    </row>
    <row r="96" spans="2:16" x14ac:dyDescent="0.2">
      <c r="C96" s="3" t="s">
        <v>31</v>
      </c>
      <c r="F96" s="11"/>
      <c r="H96" s="30" t="str">
        <f>IF($H$94="x","x","-")</f>
        <v>-</v>
      </c>
      <c r="J96" s="12" t="str">
        <f>IF(OR(H$94="x",L96="x"),"-",IF(H96="x","-","x"))</f>
        <v>x</v>
      </c>
      <c r="L96" s="7"/>
      <c r="N96" s="7"/>
      <c r="P96" s="25"/>
    </row>
    <row r="97" spans="1:16" ht="0.75" customHeight="1" x14ac:dyDescent="0.2">
      <c r="A97" s="5"/>
      <c r="F97" s="11"/>
      <c r="H97" s="7"/>
      <c r="J97" s="7"/>
      <c r="P97" s="26"/>
    </row>
    <row r="98" spans="1:16" x14ac:dyDescent="0.2">
      <c r="C98" s="3" t="s">
        <v>273</v>
      </c>
      <c r="D98" s="11" t="s">
        <v>271</v>
      </c>
      <c r="F98" s="20">
        <v>1.7</v>
      </c>
      <c r="H98" s="30" t="str">
        <f>IF($H$94="x","x","-")</f>
        <v>-</v>
      </c>
      <c r="J98" s="12" t="str">
        <f>IF(OR(H$94="x",L98="x"),"-",IF(H98="x","-","x"))</f>
        <v>x</v>
      </c>
      <c r="L98" s="30" t="str">
        <f>IF($L$94="x","x","-")</f>
        <v>-</v>
      </c>
      <c r="N98" s="30" t="s">
        <v>43</v>
      </c>
      <c r="P98" s="25"/>
    </row>
    <row r="99" spans="1:16" ht="2.1" customHeight="1" x14ac:dyDescent="0.2">
      <c r="F99" s="11"/>
      <c r="H99" s="7"/>
      <c r="J99" s="7"/>
      <c r="N99" s="7"/>
      <c r="P99" s="26"/>
    </row>
    <row r="100" spans="1:16" x14ac:dyDescent="0.2">
      <c r="D100" s="11" t="s">
        <v>371</v>
      </c>
      <c r="F100" s="20">
        <v>2</v>
      </c>
      <c r="H100" s="30" t="str">
        <f>IF($H$94="x","x","-")</f>
        <v>-</v>
      </c>
      <c r="J100" s="12" t="str">
        <f>IF(OR(H$94="x",L100="x"),"-",IF(H100="x","-","x"))</f>
        <v>x</v>
      </c>
      <c r="L100" s="30" t="str">
        <f>IF($L$94="x","x","-")</f>
        <v>-</v>
      </c>
      <c r="N100" s="30" t="s">
        <v>43</v>
      </c>
      <c r="P100" s="25"/>
    </row>
    <row r="101" spans="1:16" ht="2.25" customHeight="1" x14ac:dyDescent="0.2">
      <c r="D101" s="11"/>
      <c r="F101" s="68"/>
      <c r="H101" s="27"/>
      <c r="J101" s="14"/>
      <c r="L101" s="27"/>
      <c r="N101" s="27"/>
      <c r="P101" s="26"/>
    </row>
    <row r="102" spans="1:16" ht="45.75" customHeight="1" x14ac:dyDescent="0.2">
      <c r="D102" s="11"/>
      <c r="F102" s="68"/>
      <c r="H102" s="27"/>
      <c r="J102" s="14"/>
      <c r="L102" s="27"/>
      <c r="N102" s="27"/>
      <c r="P102" s="26"/>
    </row>
    <row r="103" spans="1:16" ht="1.5" customHeight="1" thickBot="1" x14ac:dyDescent="0.25">
      <c r="A103" s="5"/>
      <c r="D103" s="11"/>
      <c r="F103" s="11"/>
      <c r="P103" s="26"/>
    </row>
    <row r="104" spans="1:16" ht="14.25" thickBot="1" x14ac:dyDescent="0.25">
      <c r="B104" s="3" t="s">
        <v>33</v>
      </c>
      <c r="F104" s="11" t="s">
        <v>875</v>
      </c>
      <c r="H104" s="258" t="s">
        <v>43</v>
      </c>
      <c r="O104" s="51" t="str">
        <f>IF(NOT(OR($D$56=$A$182,$D$56=$A$183,$D$56=$A$181)),"EN-101b und -102b erforderlich. Prüfung im EN-102b","")</f>
        <v/>
      </c>
      <c r="P104" s="26"/>
    </row>
    <row r="105" spans="1:16" ht="2.1" customHeight="1" x14ac:dyDescent="0.2">
      <c r="F105" s="11"/>
      <c r="P105" s="26"/>
    </row>
    <row r="106" spans="1:16" x14ac:dyDescent="0.2">
      <c r="C106" s="3" t="s">
        <v>31</v>
      </c>
      <c r="F106" s="11"/>
      <c r="H106" s="30" t="str">
        <f>IF($H$104="x","x","-")</f>
        <v>-</v>
      </c>
      <c r="J106" s="12" t="str">
        <f>IF(OR(H$104="x",L106="x"),"-",IF(H106="x","-","x"))</f>
        <v>x</v>
      </c>
      <c r="L106" s="7"/>
      <c r="N106" s="7"/>
      <c r="P106" s="25"/>
    </row>
    <row r="107" spans="1:16" ht="2.1" customHeight="1" x14ac:dyDescent="0.2">
      <c r="F107" s="11"/>
      <c r="H107" s="7"/>
      <c r="J107" s="7"/>
      <c r="P107" s="26"/>
    </row>
    <row r="108" spans="1:16" x14ac:dyDescent="0.2">
      <c r="C108" s="3" t="s">
        <v>273</v>
      </c>
      <c r="D108" s="11" t="s">
        <v>271</v>
      </c>
      <c r="F108" s="20">
        <v>0.5</v>
      </c>
      <c r="H108" s="30" t="str">
        <f>IF($H$104="x","x","-")</f>
        <v>-</v>
      </c>
      <c r="J108" s="12" t="str">
        <f>IF(OR(H$104="x",L108="x"),"-",IF(H108="x","-","x"))</f>
        <v>x</v>
      </c>
      <c r="L108" s="30" t="str">
        <f>IF($L$104="x","x","-")</f>
        <v>-</v>
      </c>
      <c r="N108" s="30" t="s">
        <v>43</v>
      </c>
      <c r="P108" s="25"/>
    </row>
    <row r="109" spans="1:16" ht="2.1" customHeight="1" x14ac:dyDescent="0.2">
      <c r="F109" s="11"/>
      <c r="H109" s="7"/>
      <c r="J109" s="7"/>
      <c r="N109" s="7"/>
      <c r="P109" s="26"/>
    </row>
    <row r="110" spans="1:16" x14ac:dyDescent="0.2">
      <c r="D110" s="11" t="s">
        <v>371</v>
      </c>
      <c r="F110" s="20">
        <v>0.5</v>
      </c>
      <c r="H110" s="30" t="str">
        <f>IF($H$104="x","x","-")</f>
        <v>-</v>
      </c>
      <c r="J110" s="12" t="str">
        <f>IF(OR(H$104="x",L110="x"),"-",IF(H110="x","-","x"))</f>
        <v>x</v>
      </c>
      <c r="L110" s="30" t="str">
        <f>IF($L$104="x","x","-")</f>
        <v>-</v>
      </c>
      <c r="N110" s="30" t="s">
        <v>43</v>
      </c>
      <c r="P110" s="25"/>
    </row>
    <row r="111" spans="1:16" ht="1.5" customHeight="1" x14ac:dyDescent="0.2">
      <c r="D111" s="11"/>
      <c r="F111" s="68"/>
      <c r="H111" s="27"/>
      <c r="J111" s="14"/>
      <c r="L111" s="27"/>
      <c r="N111" s="27"/>
      <c r="P111" s="26"/>
    </row>
    <row r="112" spans="1:16" x14ac:dyDescent="0.2">
      <c r="D112" s="11"/>
      <c r="F112" s="68"/>
      <c r="H112" s="27"/>
      <c r="J112" s="14"/>
      <c r="L112" s="27"/>
      <c r="N112" s="27"/>
      <c r="P112" s="26"/>
    </row>
    <row r="113" spans="1:16" ht="2.1" customHeight="1" thickBot="1" x14ac:dyDescent="0.25">
      <c r="F113" s="11"/>
      <c r="P113" s="26"/>
    </row>
    <row r="114" spans="1:16" ht="14.25" thickBot="1" x14ac:dyDescent="0.25">
      <c r="B114" s="3" t="s">
        <v>270</v>
      </c>
      <c r="F114" s="11" t="s">
        <v>875</v>
      </c>
      <c r="H114" s="258" t="s">
        <v>43</v>
      </c>
      <c r="O114" s="51" t="str">
        <f>IF(NOT(OR($D$56=$A$182,$D$56=$A$183,$D$56=$A$181)),"EN-101b und -102b erforderlich. Prüfung im EN-102b","")</f>
        <v/>
      </c>
      <c r="P114" s="26"/>
    </row>
    <row r="115" spans="1:16" ht="2.1" customHeight="1" x14ac:dyDescent="0.2">
      <c r="A115" s="62" t="s">
        <v>42</v>
      </c>
      <c r="F115" s="11"/>
      <c r="P115" s="26"/>
    </row>
    <row r="116" spans="1:16" x14ac:dyDescent="0.2">
      <c r="A116" s="62" t="s">
        <v>43</v>
      </c>
      <c r="C116" s="3" t="s">
        <v>31</v>
      </c>
      <c r="F116" s="11"/>
      <c r="H116" s="30" t="str">
        <f>IF($H$114="x","x","-")</f>
        <v>-</v>
      </c>
      <c r="J116" s="12" t="str">
        <f>IF(OR(H$114="x",L116="x"),"-",IF(H116="x","-","x"))</f>
        <v>x</v>
      </c>
      <c r="L116" s="7"/>
      <c r="N116" s="7"/>
      <c r="P116" s="25"/>
    </row>
    <row r="117" spans="1:16" ht="2.1" customHeight="1" x14ac:dyDescent="0.2">
      <c r="A117" s="62"/>
      <c r="F117" s="11"/>
      <c r="H117" s="7"/>
      <c r="J117" s="7"/>
      <c r="P117" s="26"/>
    </row>
    <row r="118" spans="1:16" ht="13.9" customHeight="1" x14ac:dyDescent="0.2">
      <c r="A118" s="62"/>
      <c r="C118" s="3" t="s">
        <v>373</v>
      </c>
      <c r="F118" s="11"/>
      <c r="H118" s="30" t="str">
        <f>IF($H$114="x","x","-")</f>
        <v>-</v>
      </c>
      <c r="J118" s="12" t="str">
        <f>IF(OR(H$114="x",L118="x"),"-",IF(H118="x","-","x"))</f>
        <v>x</v>
      </c>
      <c r="L118" s="30" t="str">
        <f>IF($L$114="x","x","-")</f>
        <v>-</v>
      </c>
      <c r="N118" s="7"/>
      <c r="P118" s="25"/>
    </row>
    <row r="119" spans="1:16" ht="2.1" customHeight="1" x14ac:dyDescent="0.2">
      <c r="A119" s="62"/>
      <c r="F119" s="11"/>
      <c r="H119" s="7"/>
      <c r="J119" s="7"/>
      <c r="P119" s="26"/>
    </row>
    <row r="120" spans="1:16" x14ac:dyDescent="0.2">
      <c r="A120" s="62" t="s">
        <v>42</v>
      </c>
      <c r="C120" s="3" t="s">
        <v>273</v>
      </c>
      <c r="D120" s="11" t="s">
        <v>271</v>
      </c>
      <c r="F120" s="20">
        <f>IF(OR(D60='EN-Kt.'!C256,D60='EN-Kt.'!C258),0.8,1)</f>
        <v>1</v>
      </c>
      <c r="H120" s="30" t="str">
        <f>IF($H$114="x","x","-")</f>
        <v>-</v>
      </c>
      <c r="J120" s="12" t="str">
        <f>IF(OR(H$114="x",L120="x"),"-",IF(H120="x","-","x"))</f>
        <v>x</v>
      </c>
      <c r="L120" s="30" t="str">
        <f>IF($L$114="x","x","-")</f>
        <v>-</v>
      </c>
      <c r="N120" s="30" t="s">
        <v>43</v>
      </c>
      <c r="P120" s="25"/>
    </row>
    <row r="121" spans="1:16" ht="2.1" customHeight="1" x14ac:dyDescent="0.2">
      <c r="A121" s="62" t="s">
        <v>43</v>
      </c>
      <c r="F121" s="11"/>
      <c r="H121" s="7"/>
      <c r="J121" s="7"/>
      <c r="N121" s="7"/>
      <c r="P121" s="26"/>
    </row>
    <row r="122" spans="1:16" x14ac:dyDescent="0.2">
      <c r="A122" s="62"/>
      <c r="D122" s="11" t="s">
        <v>371</v>
      </c>
      <c r="F122" s="20">
        <v>1.3</v>
      </c>
      <c r="H122" s="30" t="str">
        <f>IF($H$114="x","x","-")</f>
        <v>-</v>
      </c>
      <c r="J122" s="12" t="str">
        <f>IF(OR(H$114="x",L122="x"),"-",IF(H122="x","-","x"))</f>
        <v>x</v>
      </c>
      <c r="L122" s="30" t="str">
        <f>IF($L$114="x","x","-")</f>
        <v>-</v>
      </c>
      <c r="N122" s="30" t="s">
        <v>43</v>
      </c>
      <c r="P122" s="25"/>
    </row>
    <row r="123" spans="1:16" ht="0.75" customHeight="1" x14ac:dyDescent="0.2">
      <c r="A123" s="34"/>
      <c r="D123" s="11"/>
      <c r="F123" s="68"/>
      <c r="H123" s="27"/>
      <c r="J123" s="14"/>
      <c r="L123" s="27"/>
      <c r="N123" s="27"/>
      <c r="P123" s="26"/>
    </row>
    <row r="124" spans="1:16" x14ac:dyDescent="0.2">
      <c r="A124" s="34"/>
      <c r="D124" s="11"/>
      <c r="F124" s="68"/>
      <c r="H124" s="27"/>
      <c r="J124" s="14"/>
      <c r="L124" s="27"/>
      <c r="N124" s="27"/>
      <c r="P124" s="26"/>
    </row>
    <row r="125" spans="1:16" ht="2.1" customHeight="1" thickBot="1" x14ac:dyDescent="0.25">
      <c r="A125" s="62"/>
      <c r="F125" s="11"/>
      <c r="H125" s="7"/>
      <c r="J125" s="7"/>
      <c r="N125" s="7"/>
      <c r="P125" s="26"/>
    </row>
    <row r="126" spans="1:16" ht="14.25" thickBot="1" x14ac:dyDescent="0.25">
      <c r="A126" s="62"/>
      <c r="B126" s="3" t="s">
        <v>32</v>
      </c>
      <c r="F126" s="11" t="s">
        <v>875</v>
      </c>
      <c r="H126" s="258" t="s">
        <v>43</v>
      </c>
      <c r="O126" s="51" t="str">
        <f>IF(NOT(OR($D$56=$A$182,$D$56=$A$183,$D$56=$A$181)),"EN-101b und -102b erforderlich. Prüfung im EN-102b","")</f>
        <v/>
      </c>
      <c r="P126" s="26"/>
    </row>
    <row r="127" spans="1:16" ht="2.1" customHeight="1" x14ac:dyDescent="0.2">
      <c r="F127" s="11"/>
      <c r="P127" s="26"/>
    </row>
    <row r="128" spans="1:16" x14ac:dyDescent="0.2">
      <c r="C128" s="3" t="s">
        <v>31</v>
      </c>
      <c r="F128" s="11"/>
      <c r="H128" s="30" t="str">
        <f>IF($H$126="x","x","-")</f>
        <v>-</v>
      </c>
      <c r="J128" s="12" t="str">
        <f>IF(OR(H$126="x",L128="x"),"-",IF(H128="x","-","x"))</f>
        <v>x</v>
      </c>
      <c r="L128" s="7"/>
      <c r="N128" s="7"/>
      <c r="P128" s="25"/>
    </row>
    <row r="129" spans="2:16" ht="2.1" customHeight="1" x14ac:dyDescent="0.2">
      <c r="F129" s="11"/>
      <c r="H129" s="7"/>
      <c r="J129" s="7"/>
      <c r="P129" s="26"/>
    </row>
    <row r="130" spans="2:16" ht="13.9" customHeight="1" x14ac:dyDescent="0.2">
      <c r="C130" s="3" t="s">
        <v>373</v>
      </c>
      <c r="F130" s="11"/>
      <c r="H130" s="30" t="str">
        <f>IF($H$126="x","x","-")</f>
        <v>-</v>
      </c>
      <c r="J130" s="12" t="str">
        <f>IF(OR(H$126="x",L130="x"),"-",IF(H130="x","-","x"))</f>
        <v>x</v>
      </c>
      <c r="L130" s="30" t="str">
        <f>IF($L$126="x","x","-")</f>
        <v>-</v>
      </c>
      <c r="N130" s="7"/>
      <c r="P130" s="25"/>
    </row>
    <row r="131" spans="2:16" ht="2.1" customHeight="1" x14ac:dyDescent="0.2">
      <c r="F131" s="11"/>
      <c r="H131" s="7"/>
      <c r="J131" s="7"/>
      <c r="P131" s="26"/>
    </row>
    <row r="132" spans="2:16" x14ac:dyDescent="0.2">
      <c r="C132" s="3" t="s">
        <v>273</v>
      </c>
      <c r="D132" s="11" t="s">
        <v>271</v>
      </c>
      <c r="F132" s="20">
        <v>1.2</v>
      </c>
      <c r="H132" s="30" t="str">
        <f>IF($H$126="x","x","-")</f>
        <v>-</v>
      </c>
      <c r="J132" s="12" t="str">
        <f>IF(OR(H$126="x",L132="x"),"-",IF(H132="x","-","x"))</f>
        <v>x</v>
      </c>
      <c r="L132" s="30" t="str">
        <f>IF($L$126="x","x","-")</f>
        <v>-</v>
      </c>
      <c r="N132" s="30" t="s">
        <v>43</v>
      </c>
      <c r="P132" s="25"/>
    </row>
    <row r="133" spans="2:16" ht="2.1" customHeight="1" x14ac:dyDescent="0.2">
      <c r="H133" s="7"/>
      <c r="J133" s="7"/>
      <c r="N133" s="7"/>
      <c r="P133" s="26"/>
    </row>
    <row r="134" spans="2:16" x14ac:dyDescent="0.2">
      <c r="D134" s="11" t="s">
        <v>371</v>
      </c>
      <c r="F134" s="20">
        <v>1.5</v>
      </c>
      <c r="H134" s="30" t="str">
        <f>IF($H$126="x","x","-")</f>
        <v>-</v>
      </c>
      <c r="J134" s="12" t="str">
        <f>IF(OR(H$126="x",L134="x"),"-",IF(H134="x","-","x"))</f>
        <v>x</v>
      </c>
      <c r="L134" s="30" t="str">
        <f>IF($L$126="x","x","-")</f>
        <v>-</v>
      </c>
      <c r="N134" s="30" t="s">
        <v>43</v>
      </c>
      <c r="P134" s="25"/>
    </row>
    <row r="135" spans="2:16" ht="2.1" customHeight="1" thickBot="1" x14ac:dyDescent="0.25">
      <c r="H135" s="7"/>
      <c r="J135" s="7"/>
      <c r="N135" s="7"/>
      <c r="P135" s="26"/>
    </row>
    <row r="136" spans="2:16" ht="14.25" thickBot="1" x14ac:dyDescent="0.25">
      <c r="B136" s="3" t="s">
        <v>9</v>
      </c>
      <c r="D136" s="51"/>
      <c r="E136" s="51"/>
      <c r="F136" s="11" t="s">
        <v>875</v>
      </c>
      <c r="H136" s="258" t="s">
        <v>43</v>
      </c>
      <c r="O136" s="51" t="str">
        <f>IF(NOT(OR($D$56=$A$182,$D$56=$A$183,$D$56=$A$181)),"EN-101b und -102b erforderlich. Prüfung im EN-102b","")</f>
        <v/>
      </c>
      <c r="P136" s="93"/>
    </row>
    <row r="137" spans="2:16" ht="2.1" customHeight="1" x14ac:dyDescent="0.2">
      <c r="P137" s="26"/>
    </row>
    <row r="138" spans="2:16" x14ac:dyDescent="0.2">
      <c r="C138" s="3" t="s">
        <v>35</v>
      </c>
      <c r="H138" s="30" t="str">
        <f>IF($H$136="x","x","-")</f>
        <v>-</v>
      </c>
      <c r="J138" s="12" t="str">
        <f>IF(OR(H$136="x",L138="x"),"-",IF(H138="x","-","x"))</f>
        <v>x</v>
      </c>
      <c r="L138" s="30" t="str">
        <f>IF($L$136="x","x","-")</f>
        <v>-</v>
      </c>
      <c r="N138" s="7"/>
      <c r="P138" s="25"/>
    </row>
    <row r="139" spans="2:16" ht="2.1" customHeight="1" x14ac:dyDescent="0.2">
      <c r="H139" s="7"/>
      <c r="J139" s="7"/>
      <c r="L139" s="7"/>
      <c r="P139" s="26"/>
    </row>
    <row r="140" spans="2:16" x14ac:dyDescent="0.2">
      <c r="C140" s="3" t="s">
        <v>34</v>
      </c>
      <c r="H140" s="30" t="str">
        <f>IF($H$136="x","x","-")</f>
        <v>-</v>
      </c>
      <c r="J140" s="12" t="str">
        <f>IF(OR(H$136="x",L140="x"),"-",IF(H140="x","-","x"))</f>
        <v>x</v>
      </c>
      <c r="L140" s="30" t="str">
        <f>IF($L$136="x","x","-")</f>
        <v>-</v>
      </c>
      <c r="N140" s="7"/>
      <c r="P140" s="25"/>
    </row>
    <row r="141" spans="2:16" ht="2.1" customHeight="1" x14ac:dyDescent="0.2">
      <c r="H141" s="7"/>
      <c r="J141" s="12"/>
      <c r="L141" s="7"/>
      <c r="P141" s="26"/>
    </row>
    <row r="142" spans="2:16" x14ac:dyDescent="0.2">
      <c r="C142" s="3" t="s">
        <v>36</v>
      </c>
      <c r="H142" s="30" t="str">
        <f>IF($H$136="x","x","-")</f>
        <v>-</v>
      </c>
      <c r="J142" s="12" t="str">
        <f>IF(OR(H$136="x",L142="x"),"-",IF(H142="x","-","x"))</f>
        <v>x</v>
      </c>
      <c r="L142" s="30" t="str">
        <f>IF($L$136="x","x","-")</f>
        <v>-</v>
      </c>
      <c r="N142" s="7"/>
      <c r="P142" s="25"/>
    </row>
    <row r="143" spans="2:16" ht="68.45" customHeight="1" x14ac:dyDescent="0.2"/>
    <row r="144" spans="2:16" ht="88.5" customHeight="1" x14ac:dyDescent="0.2"/>
    <row r="145" spans="1:16" ht="62.25" customHeight="1" x14ac:dyDescent="0.2"/>
    <row r="146" spans="1:16" ht="88.5" customHeight="1" x14ac:dyDescent="0.2"/>
    <row r="147" spans="1:16" ht="71.099999999999994" customHeight="1" x14ac:dyDescent="0.2"/>
    <row r="148" spans="1:16" s="39" customFormat="1" ht="60" customHeight="1" x14ac:dyDescent="0.2">
      <c r="A148" s="2" t="s">
        <v>542</v>
      </c>
      <c r="B148" s="34"/>
      <c r="C148" s="35"/>
      <c r="D148" s="35"/>
      <c r="E148" s="35"/>
      <c r="F148" s="34"/>
      <c r="G148" s="34"/>
      <c r="H148" s="36"/>
      <c r="I148" s="34"/>
      <c r="J148" s="34"/>
      <c r="K148" s="34"/>
      <c r="L148" s="34"/>
      <c r="M148" s="34"/>
      <c r="N148" s="34"/>
    </row>
    <row r="149" spans="1:16" s="39" customFormat="1" ht="1.5" customHeight="1" x14ac:dyDescent="0.2">
      <c r="A149" s="34"/>
      <c r="B149" s="34"/>
      <c r="C149" s="35"/>
      <c r="D149" s="35"/>
      <c r="E149" s="35"/>
      <c r="F149" s="34"/>
      <c r="G149" s="34"/>
      <c r="H149" s="36"/>
      <c r="I149" s="34"/>
      <c r="J149" s="34"/>
      <c r="K149" s="34"/>
      <c r="L149" s="34"/>
      <c r="M149" s="34"/>
      <c r="N149" s="34"/>
    </row>
    <row r="150" spans="1:16" s="39" customFormat="1" ht="70.5" customHeight="1" x14ac:dyDescent="0.2">
      <c r="A150" s="52"/>
      <c r="B150" s="404"/>
      <c r="C150" s="404"/>
      <c r="D150" s="404"/>
      <c r="E150" s="404"/>
      <c r="F150" s="404"/>
      <c r="G150" s="404"/>
      <c r="H150" s="404"/>
      <c r="I150" s="404"/>
      <c r="J150" s="404"/>
      <c r="K150" s="404"/>
      <c r="L150" s="404"/>
      <c r="M150" s="404"/>
      <c r="N150" s="404"/>
      <c r="O150" s="404"/>
      <c r="P150" s="404"/>
    </row>
    <row r="151" spans="1:16" s="34" customFormat="1" ht="20.100000000000001" customHeight="1" x14ac:dyDescent="0.2">
      <c r="C151" s="35"/>
      <c r="D151" s="35"/>
      <c r="E151" s="35"/>
      <c r="H151" s="36"/>
    </row>
    <row r="152" spans="1:16" x14ac:dyDescent="0.2">
      <c r="A152" s="2" t="s">
        <v>38</v>
      </c>
      <c r="D152" s="34" t="b">
        <f>ISTEXT(B150)</f>
        <v>0</v>
      </c>
    </row>
    <row r="153" spans="1:16" ht="1.5" customHeight="1" x14ac:dyDescent="0.2">
      <c r="A153" s="2"/>
    </row>
    <row r="154" spans="1:16" ht="14.25" x14ac:dyDescent="0.2">
      <c r="A154" s="2"/>
      <c r="B154" s="3" t="s">
        <v>448</v>
      </c>
      <c r="D154" s="388" t="str">
        <f>IF(OR(COUNTIF(J15:J29,"x")=0,COUNTIF(H154,"x")&gt;0),"erfüllt", "nicht erfüllt")</f>
        <v>nicht erfüllt</v>
      </c>
      <c r="E154" s="388"/>
      <c r="F154" s="388"/>
      <c r="H154" s="30" t="s">
        <v>43</v>
      </c>
      <c r="J154" s="3" t="s">
        <v>451</v>
      </c>
    </row>
    <row r="155" spans="1:16" ht="1.5" customHeight="1" x14ac:dyDescent="0.2">
      <c r="A155" s="2"/>
    </row>
    <row r="156" spans="1:16" ht="14.25" x14ac:dyDescent="0.2">
      <c r="B156" s="3" t="s">
        <v>251</v>
      </c>
      <c r="D156" s="388" t="str">
        <f>IF(OR(COUNTIF(J32:J142,"x")=0,COUNTIF(H156,"x")&gt;0),"erfüllt", "nicht erfüllt")</f>
        <v>nicht erfüllt</v>
      </c>
      <c r="E156" s="388"/>
      <c r="F156" s="388"/>
      <c r="H156" s="30" t="s">
        <v>43</v>
      </c>
      <c r="J156" s="3" t="s">
        <v>449</v>
      </c>
    </row>
    <row r="157" spans="1:16" ht="1.5" customHeight="1" x14ac:dyDescent="0.2">
      <c r="D157" s="89"/>
    </row>
    <row r="159" spans="1:16" ht="13.5" customHeight="1" x14ac:dyDescent="0.2">
      <c r="A159" s="34"/>
      <c r="B159" s="3" t="s">
        <v>39</v>
      </c>
      <c r="D159" s="3" t="str">
        <f>IF(ISTEXT(Name_Kontr),Name_Kontr,"")</f>
        <v/>
      </c>
      <c r="G159" s="77"/>
      <c r="H159" s="328" t="str">
        <f>IF(AND(NOT(D152),COUNTIF(H154:H156,"x")&gt;0),"Begründung und Empfehlung des weiteren Vorgehens erforderlich.","")</f>
        <v/>
      </c>
      <c r="I159" s="328"/>
      <c r="J159" s="328"/>
      <c r="K159" s="328"/>
      <c r="L159" s="328"/>
      <c r="M159" s="328"/>
      <c r="N159" s="328"/>
      <c r="O159" s="328"/>
      <c r="P159" s="328"/>
    </row>
    <row r="160" spans="1:16" ht="2.1" customHeight="1" x14ac:dyDescent="0.2">
      <c r="A160" s="34" t="s">
        <v>42</v>
      </c>
      <c r="F160" s="77"/>
      <c r="G160" s="77"/>
      <c r="H160" s="77"/>
      <c r="I160" s="77"/>
      <c r="J160" s="77"/>
      <c r="K160" s="77"/>
      <c r="L160" s="77"/>
      <c r="M160" s="77"/>
      <c r="N160" s="77"/>
    </row>
    <row r="161" spans="1:14" x14ac:dyDescent="0.2">
      <c r="A161" s="34" t="s">
        <v>43</v>
      </c>
      <c r="B161" s="3" t="s">
        <v>40</v>
      </c>
      <c r="D161" s="47">
        <f ca="1">Datum</f>
        <v>45866</v>
      </c>
      <c r="F161" s="77"/>
      <c r="G161" s="77"/>
      <c r="H161" s="77"/>
      <c r="I161" s="77"/>
      <c r="J161" s="77"/>
      <c r="K161" s="77"/>
      <c r="L161" s="77"/>
      <c r="M161" s="77"/>
      <c r="N161" s="77"/>
    </row>
    <row r="181" spans="1:1" x14ac:dyDescent="0.2">
      <c r="A181" s="3" t="s">
        <v>428</v>
      </c>
    </row>
    <row r="182" spans="1:1" x14ac:dyDescent="0.2">
      <c r="A182" s="3" t="s">
        <v>281</v>
      </c>
    </row>
    <row r="183" spans="1:1" x14ac:dyDescent="0.2">
      <c r="A183" s="3" t="s">
        <v>280</v>
      </c>
    </row>
  </sheetData>
  <sheetProtection algorithmName="SHA-512" hashValue="UTNG9+xT+EGiqeKxVw6Y8YIsPIh9remnFOyhjeB0/qIsLEK8szueZdNdwYUMoQldk2+xLcaY9RjBYNJ1iY0Zgw==" saltValue="W7Y78ZafrmyEL+CrqCVQOw==" spinCount="100000" sheet="1" formatRows="0"/>
  <mergeCells count="8">
    <mergeCell ref="H159:P159"/>
    <mergeCell ref="B150:P150"/>
    <mergeCell ref="D56:F56"/>
    <mergeCell ref="D5:O5"/>
    <mergeCell ref="D7:O7"/>
    <mergeCell ref="D11:O11"/>
    <mergeCell ref="D154:F154"/>
    <mergeCell ref="D156:F156"/>
  </mergeCells>
  <phoneticPr fontId="7" type="noConversion"/>
  <conditionalFormatting sqref="D154">
    <cfRule type="beginsWith" dxfId="169" priority="4" operator="beginsWith" text="erfüllt">
      <formula>LEFT(D154,LEN("erfüllt"))="erfüllt"</formula>
    </cfRule>
    <cfRule type="containsText" dxfId="168" priority="5" operator="containsText" text="nicht erfüllt">
      <formula>NOT(ISERROR(SEARCH("nicht erfüllt",D154)))</formula>
    </cfRule>
  </conditionalFormatting>
  <conditionalFormatting sqref="D156:D157">
    <cfRule type="beginsWith" dxfId="166" priority="6" operator="beginsWith" text="erfüllt">
      <formula>LEFT(D156,LEN("erfüllt"))="erfüllt"</formula>
    </cfRule>
    <cfRule type="containsText" dxfId="165" priority="7" operator="containsText" text="nicht erfüllt">
      <formula>NOT(ISERROR(SEARCH("nicht erfüllt",D156)))</formula>
    </cfRule>
  </conditionalFormatting>
  <conditionalFormatting sqref="H156">
    <cfRule type="expression" dxfId="164" priority="3">
      <formula>$H$136="x"</formula>
    </cfRule>
  </conditionalFormatting>
  <conditionalFormatting sqref="J15:J142">
    <cfRule type="cellIs" dxfId="163" priority="2" operator="equal">
      <formula>"x"</formula>
    </cfRule>
  </conditionalFormatting>
  <dataValidations count="3">
    <dataValidation type="list" allowBlank="1" showInputMessage="1" showErrorMessage="1" sqref="J67 H67" xr:uid="{00000000-0002-0000-0300-000000000000}">
      <formula1>#REF!</formula1>
    </dataValidation>
    <dataValidation type="list" allowBlank="1" showInputMessage="1" showErrorMessage="1" sqref="H19 H156 L58 H21 H23 H25 H128 L25 H32 H34 H38 H66 L140 H46 L48 L50:L52 H56 H58 H60 H62 H64 H70 L40 L74 H78 L82 H86 N82 L90:L92 N100:N102 N90:N92 L100:L102 N98 N108 L110:L112 H118 N110:N112 L122:L124 H130 H120 L134 H138 H140 N38 H50:H52 N50:N52 N46 L132 L60 N72 H44 N80 N74 N88 H80 H98 H88 H96 H106 N120 H108 N132 L120 H142 L138 H72 L80 L88 L98 H100:H102 H110:H112 L108 N122:N124 N134 H132 H48 H116 H27:H29 L29 L27 H134 H122:H124 H40 L38 L118 L130 L66 H74 L72 H82 H90:H92 L142" xr:uid="{00000000-0002-0000-0300-000001000000}">
      <formula1>$A$115:$A$116</formula1>
    </dataValidation>
    <dataValidation type="list" allowBlank="1" showInputMessage="1" showErrorMessage="1" sqref="H17" xr:uid="{00000000-0002-0000-0300-000002000000}">
      <formula1>$A$120:$A$121</formula1>
    </dataValidation>
  </dataValidations>
  <hyperlinks>
    <hyperlink ref="P1" r:id="rId1" xr:uid="{ADDF80F9-CB24-42C5-A87D-42D17D96A9AF}"/>
    <hyperlink ref="P2" location="'EN-Kt.'!A1" display="Zurück zm EN-Kt. " xr:uid="{B1D6C9E4-F424-42A4-8E23-1811244DD94F}"/>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16" operator="containsText" text="nicht" id="{E23F7599-DB5C-49F0-B2C6-0C81206CC87A}">
            <xm:f>NOT(ISERROR(SEARCH("nicht",'EN-104'!B160)))</xm:f>
            <x14:dxf>
              <font>
                <color rgb="FF9C0006"/>
              </font>
              <fill>
                <patternFill>
                  <bgColor rgb="FFFFC7CE"/>
                </patternFill>
              </fill>
            </x14:dxf>
          </x14:cfRule>
          <xm:sqref>D156:D157 D154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3000000}">
          <x14:formula1>
            <xm:f>'EN-Kt.'!$A$207:$A$208</xm:f>
          </x14:formula1>
          <xm:sqref>H15 H154 H36 H42 H54 H68 H76 H84 H94 H104 H114 H126 H136</xm:sqref>
        </x14:dataValidation>
        <x14:dataValidation type="list" allowBlank="1" showInputMessage="1" showErrorMessage="1" xr:uid="{00000000-0002-0000-0300-000005000000}">
          <x14:formula1>
            <xm:f>'EN-Kt.'!$C$304:$C$307</xm:f>
          </x14:formula1>
          <xm:sqref>D9</xm:sqref>
        </x14:dataValidation>
        <x14:dataValidation type="list" allowBlank="1" showInputMessage="1" showErrorMessage="1" xr:uid="{58312506-952D-44E9-A48E-DE6A6FE72F3F}">
          <x14:formula1>
            <xm:f>'EN-Kt.'!$C$226:$C$239</xm:f>
          </x14:formula1>
          <xm:sqref>D56:F56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0"/>
  </sheetPr>
  <dimension ref="A1:S154"/>
  <sheetViews>
    <sheetView showGridLines="0" zoomScaleNormal="100" zoomScalePageLayoutView="70" workbookViewId="0"/>
  </sheetViews>
  <sheetFormatPr baseColWidth="10" defaultColWidth="10.875" defaultRowHeight="13.5" x14ac:dyDescent="0.2"/>
  <cols>
    <col min="1" max="2" width="4.375" style="3" customWidth="1"/>
    <col min="3" max="3" width="24.75" style="3" customWidth="1"/>
    <col min="4" max="4" width="15.5" style="3" customWidth="1"/>
    <col min="5" max="5" width="1" style="3" customWidth="1"/>
    <col min="6" max="6" width="11.2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2.75" style="3" customWidth="1"/>
    <col min="15" max="15" width="1" style="3" customWidth="1"/>
    <col min="16" max="16" width="46.5" style="3" customWidth="1"/>
    <col min="17" max="16384" width="10.875" style="3"/>
  </cols>
  <sheetData>
    <row r="1" spans="1:18" ht="18" x14ac:dyDescent="0.25">
      <c r="A1" s="6" t="s">
        <v>15</v>
      </c>
      <c r="B1" s="6"/>
      <c r="P1" s="117" t="s">
        <v>503</v>
      </c>
      <c r="R1"/>
    </row>
    <row r="2" spans="1:18" ht="18" x14ac:dyDescent="0.25">
      <c r="A2" s="6" t="s">
        <v>278</v>
      </c>
      <c r="B2" s="6"/>
      <c r="P2" s="117" t="s">
        <v>734</v>
      </c>
    </row>
    <row r="3" spans="1:18" ht="63.95" customHeight="1" x14ac:dyDescent="0.2">
      <c r="A3" s="2" t="s">
        <v>61</v>
      </c>
      <c r="F3" s="1"/>
      <c r="H3" s="7"/>
      <c r="I3" s="7"/>
      <c r="J3" s="7"/>
      <c r="K3" s="7"/>
      <c r="L3" s="8"/>
      <c r="N3" s="8"/>
    </row>
    <row r="4" spans="1:18" ht="2.1" customHeight="1" x14ac:dyDescent="0.2">
      <c r="A4" s="2"/>
      <c r="F4" s="1"/>
      <c r="H4" s="7"/>
      <c r="I4" s="7"/>
      <c r="J4" s="7"/>
      <c r="K4" s="7"/>
      <c r="L4" s="8"/>
      <c r="N4" s="8"/>
    </row>
    <row r="5" spans="1:18" ht="15.75" customHeight="1" x14ac:dyDescent="0.2">
      <c r="B5" s="3" t="s">
        <v>62</v>
      </c>
      <c r="D5" s="406" t="str">
        <f>IF(ISTEXT(Gemeinde),Gemeinde,"")</f>
        <v/>
      </c>
      <c r="E5" s="406"/>
      <c r="F5" s="406"/>
      <c r="G5" s="406"/>
      <c r="H5" s="406"/>
      <c r="I5" s="406"/>
      <c r="J5" s="406"/>
      <c r="K5" s="406"/>
      <c r="L5" s="406"/>
      <c r="M5" s="406"/>
      <c r="N5" s="406"/>
      <c r="O5" s="406"/>
      <c r="P5" s="16"/>
    </row>
    <row r="6" spans="1:18" ht="2.1" customHeight="1" x14ac:dyDescent="0.2">
      <c r="F6" s="96"/>
      <c r="H6" s="7"/>
      <c r="I6" s="7"/>
      <c r="J6" s="7"/>
      <c r="K6" s="7"/>
      <c r="L6" s="8"/>
      <c r="N6" s="8"/>
    </row>
    <row r="7" spans="1:18" ht="15.75" customHeight="1" x14ac:dyDescent="0.2">
      <c r="B7" s="3" t="s">
        <v>63</v>
      </c>
      <c r="D7" s="407" t="str">
        <f>IF(ISTEXT(Bauvorhaben),Bauvorhaben,"")</f>
        <v/>
      </c>
      <c r="E7" s="407"/>
      <c r="F7" s="407"/>
      <c r="G7" s="407"/>
      <c r="H7" s="407"/>
      <c r="I7" s="407"/>
      <c r="J7" s="407"/>
      <c r="K7" s="407"/>
      <c r="L7" s="407"/>
      <c r="M7" s="407"/>
      <c r="N7" s="407"/>
      <c r="O7" s="407"/>
      <c r="P7" s="16"/>
    </row>
    <row r="8" spans="1:18" ht="2.1" customHeight="1" x14ac:dyDescent="0.2">
      <c r="H8" s="7"/>
      <c r="I8" s="7"/>
      <c r="J8" s="7"/>
      <c r="K8" s="7"/>
      <c r="L8" s="8"/>
      <c r="N8" s="8"/>
    </row>
    <row r="9" spans="1:18" ht="15.75" customHeight="1" x14ac:dyDescent="0.2">
      <c r="B9" s="38" t="s">
        <v>64</v>
      </c>
      <c r="C9" s="38"/>
      <c r="D9" s="218" t="s">
        <v>491</v>
      </c>
      <c r="E9" s="198"/>
      <c r="F9" s="198"/>
      <c r="G9" s="198"/>
      <c r="H9" s="198"/>
      <c r="I9" s="198"/>
      <c r="J9" s="198"/>
      <c r="K9" s="198"/>
      <c r="L9" s="198"/>
      <c r="M9" s="198"/>
      <c r="N9" s="198"/>
      <c r="O9" s="198"/>
      <c r="P9" s="198"/>
      <c r="Q9" s="34"/>
    </row>
    <row r="10" spans="1:18" ht="2.1" customHeight="1" x14ac:dyDescent="0.2">
      <c r="D10" s="26"/>
      <c r="E10" s="26"/>
      <c r="F10" s="26"/>
      <c r="G10" s="26"/>
      <c r="H10" s="26"/>
      <c r="I10" s="26"/>
      <c r="J10" s="26"/>
      <c r="K10" s="26"/>
      <c r="L10" s="26"/>
      <c r="M10" s="26"/>
      <c r="N10" s="26"/>
      <c r="O10" s="26"/>
      <c r="P10" s="26"/>
    </row>
    <row r="11" spans="1:18" ht="15.75" customHeight="1" x14ac:dyDescent="0.2">
      <c r="B11" s="3" t="s">
        <v>65</v>
      </c>
      <c r="D11" s="407" t="str">
        <f>IF(ISTEXT(Kontrollbeauftragter),Kontrollbeauftragter,"")</f>
        <v/>
      </c>
      <c r="E11" s="407"/>
      <c r="F11" s="407"/>
      <c r="G11" s="407"/>
      <c r="H11" s="407"/>
      <c r="I11" s="407"/>
      <c r="J11" s="407"/>
      <c r="K11" s="407"/>
      <c r="L11" s="407"/>
      <c r="M11" s="407"/>
      <c r="N11" s="407"/>
      <c r="O11" s="407"/>
      <c r="P11" s="16"/>
    </row>
    <row r="12" spans="1:18" ht="95.25" customHeight="1" x14ac:dyDescent="0.2">
      <c r="H12" s="7" t="s">
        <v>20</v>
      </c>
      <c r="I12" s="7"/>
      <c r="J12" s="7" t="s">
        <v>21</v>
      </c>
      <c r="K12" s="7"/>
      <c r="L12" s="8" t="s">
        <v>19</v>
      </c>
      <c r="N12" s="8" t="s">
        <v>27</v>
      </c>
      <c r="P12" s="3" t="s">
        <v>16</v>
      </c>
    </row>
    <row r="13" spans="1:18" hidden="1" x14ac:dyDescent="0.2">
      <c r="A13" s="2" t="s">
        <v>287</v>
      </c>
      <c r="B13" s="2"/>
      <c r="H13" s="7"/>
      <c r="I13" s="7"/>
      <c r="J13" s="7"/>
      <c r="K13" s="7"/>
      <c r="L13" s="8"/>
      <c r="N13" s="8"/>
    </row>
    <row r="14" spans="1:18" ht="2.1" hidden="1" customHeight="1" x14ac:dyDescent="0.2">
      <c r="A14" s="2"/>
      <c r="B14" s="2"/>
      <c r="H14" s="7"/>
      <c r="I14" s="7"/>
      <c r="J14" s="7"/>
      <c r="K14" s="7"/>
      <c r="L14" s="8"/>
      <c r="N14" s="8"/>
    </row>
    <row r="15" spans="1:18" hidden="1" x14ac:dyDescent="0.2">
      <c r="B15" s="3" t="s">
        <v>286</v>
      </c>
      <c r="H15" s="30" t="s">
        <v>43</v>
      </c>
      <c r="J15" s="12" t="str">
        <f>IF(L15="x","-",IF(H15="x","-","x"))</f>
        <v>-</v>
      </c>
      <c r="L15" s="30" t="s">
        <v>42</v>
      </c>
      <c r="N15" s="7"/>
      <c r="P15" s="9" t="str">
        <f>IF(H15="x","Kontrolle mit EN-102b","-")</f>
        <v>-</v>
      </c>
    </row>
    <row r="16" spans="1:18" ht="30.75" hidden="1" customHeight="1" x14ac:dyDescent="0.2"/>
    <row r="17" spans="1:19" x14ac:dyDescent="0.2">
      <c r="A17" s="2" t="s">
        <v>444</v>
      </c>
      <c r="B17" s="2"/>
    </row>
    <row r="18" spans="1:19" ht="2.1" customHeight="1" x14ac:dyDescent="0.2">
      <c r="A18" s="2"/>
      <c r="B18" s="2"/>
      <c r="H18" s="7"/>
      <c r="J18" s="7"/>
    </row>
    <row r="19" spans="1:19" ht="13.5" customHeight="1" x14ac:dyDescent="0.2">
      <c r="A19" s="2"/>
      <c r="B19" s="3" t="s">
        <v>736</v>
      </c>
      <c r="H19" s="30" t="s">
        <v>43</v>
      </c>
      <c r="J19" s="12" t="str">
        <f>IF(L19="x","-",IF(H19="x","-","x"))</f>
        <v>x</v>
      </c>
      <c r="L19" s="7"/>
      <c r="N19" s="7"/>
      <c r="P19" s="25"/>
    </row>
    <row r="20" spans="1:19" ht="2.1" customHeight="1" x14ac:dyDescent="0.2">
      <c r="A20" s="2"/>
      <c r="B20" s="2"/>
      <c r="H20" s="7"/>
      <c r="J20" s="7"/>
    </row>
    <row r="21" spans="1:19" x14ac:dyDescent="0.2">
      <c r="B21" s="3" t="s">
        <v>368</v>
      </c>
      <c r="F21" s="4"/>
      <c r="G21" s="4"/>
      <c r="H21" s="30" t="s">
        <v>43</v>
      </c>
      <c r="J21" s="12" t="str">
        <f>IF(OR(H$15="x",L21="x"),"-",IF(H21="x","-","x"))</f>
        <v>x</v>
      </c>
      <c r="L21" s="7"/>
      <c r="N21" s="7"/>
      <c r="P21" s="25"/>
      <c r="S21" s="3" t="str">
        <f>IF(OR(AND(C34="-", Q21=C154),OR(Q15="III – Verwaltung",Q17="III – Verwaltung")),"nicht zulässig", IF(AND(OR(E15="x",E17="x",E21="x"),Q21=""),"Angabe fehlt",""  ))</f>
        <v/>
      </c>
    </row>
    <row r="22" spans="1:19" ht="2.1" customHeight="1" x14ac:dyDescent="0.2">
      <c r="H22" s="7"/>
      <c r="J22" s="7"/>
      <c r="L22" s="7"/>
      <c r="N22" s="7"/>
      <c r="P22" s="26"/>
    </row>
    <row r="23" spans="1:19" x14ac:dyDescent="0.2">
      <c r="B23" s="3" t="s">
        <v>452</v>
      </c>
      <c r="H23" s="30" t="s">
        <v>43</v>
      </c>
      <c r="J23" s="12" t="str">
        <f>IF(OR(H$15="x",L23="x"),"-",IF(H23="x","-","x"))</f>
        <v>x</v>
      </c>
      <c r="L23" s="7"/>
      <c r="N23" s="7"/>
      <c r="P23" s="25"/>
    </row>
    <row r="24" spans="1:19" ht="2.1" customHeight="1" x14ac:dyDescent="0.2">
      <c r="H24" s="7"/>
      <c r="J24" s="7"/>
      <c r="L24" s="7"/>
      <c r="N24" s="7"/>
      <c r="P24" s="26"/>
    </row>
    <row r="25" spans="1:19" x14ac:dyDescent="0.2">
      <c r="B25" s="3" t="s">
        <v>453</v>
      </c>
      <c r="H25" s="30" t="s">
        <v>43</v>
      </c>
      <c r="J25" s="12" t="str">
        <f>IF(OR(H$15="x",L25="x"),"-",IF(H25="x","-","x"))</f>
        <v>x</v>
      </c>
      <c r="L25" s="7"/>
      <c r="N25" s="7"/>
      <c r="P25" s="25"/>
    </row>
    <row r="26" spans="1:19" ht="2.1" customHeight="1" x14ac:dyDescent="0.2">
      <c r="H26" s="7"/>
      <c r="J26" s="7"/>
      <c r="L26" s="7"/>
      <c r="N26" s="7"/>
      <c r="P26" s="26"/>
    </row>
    <row r="27" spans="1:19" x14ac:dyDescent="0.2">
      <c r="B27" s="3" t="s">
        <v>13</v>
      </c>
      <c r="H27" s="30" t="s">
        <v>43</v>
      </c>
      <c r="J27" s="12" t="str">
        <f>IF(OR(H$15="x",L27="x"),"-",IF(H27="x","-","x"))</f>
        <v>x</v>
      </c>
      <c r="L27" s="30" t="s">
        <v>43</v>
      </c>
      <c r="N27" s="7"/>
      <c r="P27" s="25"/>
    </row>
    <row r="28" spans="1:19" ht="2.1" customHeight="1" x14ac:dyDescent="0.2">
      <c r="H28" s="7"/>
      <c r="J28" s="7"/>
      <c r="L28" s="7"/>
      <c r="N28" s="7"/>
      <c r="P28" s="26"/>
    </row>
    <row r="29" spans="1:19" x14ac:dyDescent="0.2">
      <c r="B29" s="3" t="s">
        <v>14</v>
      </c>
      <c r="H29" s="30" t="s">
        <v>43</v>
      </c>
      <c r="J29" s="12" t="str">
        <f>IF(OR(H$15="x",L29="x"),"-",IF(H29="x","-","x"))</f>
        <v>x</v>
      </c>
      <c r="L29" s="30" t="s">
        <v>43</v>
      </c>
      <c r="N29" s="7"/>
      <c r="P29" s="49"/>
    </row>
    <row r="30" spans="1:19" ht="2.25" customHeight="1" x14ac:dyDescent="0.2">
      <c r="H30" s="42"/>
      <c r="J30" s="14"/>
      <c r="L30" s="42"/>
      <c r="N30" s="7"/>
      <c r="P30" s="112"/>
    </row>
    <row r="31" spans="1:19" x14ac:dyDescent="0.2">
      <c r="B31" s="3" t="s">
        <v>300</v>
      </c>
      <c r="F31" s="54"/>
      <c r="G31" s="54"/>
      <c r="H31" s="30" t="s">
        <v>43</v>
      </c>
      <c r="J31" s="12" t="str">
        <f>IF(OR(H$15="x",L31="x"),"-",IF(H31="x","-","x"))</f>
        <v>x</v>
      </c>
      <c r="L31" s="30" t="s">
        <v>43</v>
      </c>
      <c r="M31" s="54"/>
      <c r="N31" s="7"/>
      <c r="P31" s="49"/>
    </row>
    <row r="32" spans="1:19" x14ac:dyDescent="0.2">
      <c r="H32" s="27"/>
      <c r="J32" s="14"/>
      <c r="L32" s="27"/>
      <c r="N32" s="7"/>
      <c r="P32" s="112"/>
    </row>
    <row r="33" spans="1:16" ht="20.100000000000001" customHeight="1" x14ac:dyDescent="0.2">
      <c r="P33" s="26"/>
    </row>
    <row r="34" spans="1:16" x14ac:dyDescent="0.2">
      <c r="A34" s="2" t="s">
        <v>0</v>
      </c>
      <c r="B34" s="2"/>
      <c r="P34" s="26"/>
    </row>
    <row r="35" spans="1:16" ht="2.1" customHeight="1" x14ac:dyDescent="0.2">
      <c r="A35" s="2"/>
      <c r="B35" s="2"/>
      <c r="H35" s="7"/>
      <c r="J35" s="7"/>
      <c r="P35" s="26"/>
    </row>
    <row r="36" spans="1:16" x14ac:dyDescent="0.2">
      <c r="B36" s="3" t="s">
        <v>17</v>
      </c>
      <c r="F36" s="4"/>
      <c r="G36" s="4"/>
      <c r="H36" s="30" t="s">
        <v>43</v>
      </c>
      <c r="J36" s="12" t="str">
        <f>IF(OR(H$15="x",L36="x"),"-",IF(H36="x","-","x"))</f>
        <v>x</v>
      </c>
      <c r="L36" s="7"/>
      <c r="N36" s="7"/>
      <c r="P36" s="25"/>
    </row>
    <row r="37" spans="1:16" ht="2.1" customHeight="1" x14ac:dyDescent="0.2">
      <c r="B37" s="4"/>
      <c r="F37" s="4"/>
      <c r="G37" s="4"/>
      <c r="H37" s="7"/>
      <c r="J37" s="7"/>
      <c r="P37" s="26"/>
    </row>
    <row r="38" spans="1:16" x14ac:dyDescent="0.2">
      <c r="B38" s="3" t="s">
        <v>18</v>
      </c>
      <c r="F38" s="4"/>
      <c r="G38" s="4"/>
      <c r="H38" s="30" t="s">
        <v>43</v>
      </c>
      <c r="J38" s="12" t="str">
        <f>IF(OR(H$15="x",L38="x"),"-",IF(H38="x","-","x"))</f>
        <v>x</v>
      </c>
      <c r="L38" s="7"/>
      <c r="N38" s="7"/>
      <c r="P38" s="49"/>
    </row>
    <row r="39" spans="1:16" ht="20.100000000000001" customHeight="1" thickBot="1" x14ac:dyDescent="0.25">
      <c r="C39" s="4"/>
      <c r="D39" s="4"/>
      <c r="F39" s="4"/>
      <c r="G39" s="4"/>
      <c r="P39" s="26"/>
    </row>
    <row r="40" spans="1:16" ht="14.25" thickBot="1" x14ac:dyDescent="0.25">
      <c r="A40" s="2" t="s">
        <v>1</v>
      </c>
      <c r="B40" s="2"/>
      <c r="F40" s="11" t="s">
        <v>875</v>
      </c>
      <c r="H40" s="258" t="s">
        <v>43</v>
      </c>
      <c r="P40" s="26"/>
    </row>
    <row r="41" spans="1:16" ht="2.1" customHeight="1" x14ac:dyDescent="0.2">
      <c r="A41" s="2"/>
      <c r="B41" s="2"/>
      <c r="H41" s="7"/>
      <c r="J41" s="7"/>
      <c r="P41" s="26"/>
    </row>
    <row r="42" spans="1:16" x14ac:dyDescent="0.2">
      <c r="B42" s="3" t="s">
        <v>22</v>
      </c>
      <c r="H42" s="30" t="str">
        <f>IF($H$40="x","x","-")</f>
        <v>-</v>
      </c>
      <c r="J42" s="12" t="str">
        <f>IF(OR(H$15="x",L42="x"),"-",IF(H42="x","-","x"))</f>
        <v>x</v>
      </c>
      <c r="L42" s="30" t="str">
        <f>IF($L$40="x","x","-")</f>
        <v>-</v>
      </c>
      <c r="N42" s="30" t="s">
        <v>43</v>
      </c>
      <c r="P42" s="25"/>
    </row>
    <row r="43" spans="1:16" ht="2.1" customHeight="1" x14ac:dyDescent="0.2">
      <c r="H43" s="7"/>
      <c r="J43" s="7"/>
      <c r="P43" s="26"/>
    </row>
    <row r="44" spans="1:16" x14ac:dyDescent="0.2">
      <c r="B44" s="3" t="s">
        <v>23</v>
      </c>
      <c r="H44" s="30" t="str">
        <f>IF($H$40="x","x","-")</f>
        <v>-</v>
      </c>
      <c r="J44" s="12" t="str">
        <f>IF(OR(H$15="x",L44="x"),"-",IF(H44="x","-","x"))</f>
        <v>x</v>
      </c>
      <c r="L44" s="30" t="str">
        <f>IF($L$40="x","x","-")</f>
        <v>-</v>
      </c>
      <c r="N44" s="7"/>
      <c r="P44" s="25"/>
    </row>
    <row r="45" spans="1:16" ht="20.100000000000001" customHeight="1" thickBot="1" x14ac:dyDescent="0.25">
      <c r="P45" s="26"/>
    </row>
    <row r="46" spans="1:16" ht="14.25" thickBot="1" x14ac:dyDescent="0.25">
      <c r="A46" s="2" t="s">
        <v>2</v>
      </c>
      <c r="B46" s="2"/>
      <c r="F46" s="11" t="s">
        <v>875</v>
      </c>
      <c r="H46" s="258" t="s">
        <v>43</v>
      </c>
      <c r="P46" s="26"/>
    </row>
    <row r="47" spans="1:16" ht="2.1" customHeight="1" x14ac:dyDescent="0.2">
      <c r="A47" s="2"/>
      <c r="B47" s="2"/>
      <c r="P47" s="26"/>
    </row>
    <row r="48" spans="1:16" x14ac:dyDescent="0.2">
      <c r="A48" s="2"/>
      <c r="B48" s="3" t="s">
        <v>356</v>
      </c>
      <c r="H48" s="30" t="str">
        <f>IF($H$46="x","x","-")</f>
        <v>-</v>
      </c>
      <c r="L48" s="7"/>
      <c r="P48" s="25"/>
    </row>
    <row r="49" spans="1:16" ht="2.1" customHeight="1" x14ac:dyDescent="0.2">
      <c r="A49" s="2"/>
      <c r="B49" s="2"/>
      <c r="P49" s="26"/>
    </row>
    <row r="50" spans="1:16" x14ac:dyDescent="0.2">
      <c r="A50" s="2"/>
      <c r="B50" s="3" t="s">
        <v>24</v>
      </c>
      <c r="H50" s="30" t="str">
        <f>IF($H$46="x","x","-")</f>
        <v>-</v>
      </c>
      <c r="J50" s="12" t="str">
        <f>IF(OR(H$15="x",L50="x", H48="x"),"-",IF(H50="x","-","x"))</f>
        <v>x</v>
      </c>
      <c r="L50" s="30" t="str">
        <f>IF($L$46="x","x","-")</f>
        <v>-</v>
      </c>
      <c r="N50" s="30" t="s">
        <v>43</v>
      </c>
      <c r="P50" s="25"/>
    </row>
    <row r="51" spans="1:16" ht="2.1" customHeight="1" x14ac:dyDescent="0.2">
      <c r="A51" s="2"/>
      <c r="H51" s="7"/>
      <c r="J51" s="7"/>
      <c r="L51" s="7"/>
      <c r="P51" s="26"/>
    </row>
    <row r="52" spans="1:16" x14ac:dyDescent="0.2">
      <c r="A52" s="2"/>
      <c r="B52" s="3" t="s">
        <v>25</v>
      </c>
      <c r="H52" s="30" t="str">
        <f>IF($H$46="x","x","-")</f>
        <v>-</v>
      </c>
      <c r="J52" s="12" t="str">
        <f>IF(OR(H$15="x",L52="x", H48="x"),"-",IF(H52="x","-","x"))</f>
        <v>x</v>
      </c>
      <c r="L52" s="30" t="str">
        <f>IF($L$46="x","x","-")</f>
        <v>-</v>
      </c>
      <c r="N52" s="7"/>
      <c r="P52" s="25"/>
    </row>
    <row r="53" spans="1:16" ht="2.1" customHeight="1" x14ac:dyDescent="0.2">
      <c r="A53" s="2"/>
      <c r="H53" s="7"/>
      <c r="J53" s="7"/>
      <c r="L53" s="7"/>
      <c r="P53" s="26"/>
    </row>
    <row r="54" spans="1:16" x14ac:dyDescent="0.2">
      <c r="A54" s="2"/>
      <c r="B54" s="3" t="s">
        <v>26</v>
      </c>
      <c r="H54" s="30" t="str">
        <f>IF($H$46="x","x","-")</f>
        <v>-</v>
      </c>
      <c r="J54" s="12" t="str">
        <f>IF(OR(H$15="x",L54="x", H48="x"),"-",IF(H54="x","-","x"))</f>
        <v>x</v>
      </c>
      <c r="L54" s="30" t="str">
        <f>IF($L$46="x","x","-")</f>
        <v>-</v>
      </c>
      <c r="N54" s="30" t="s">
        <v>43</v>
      </c>
      <c r="P54" s="25"/>
    </row>
    <row r="55" spans="1:16" ht="19.5" customHeight="1" thickBot="1" x14ac:dyDescent="0.25">
      <c r="P55" s="26"/>
    </row>
    <row r="56" spans="1:16" ht="14.25" thickBot="1" x14ac:dyDescent="0.25">
      <c r="A56" s="2" t="s">
        <v>3</v>
      </c>
      <c r="B56" s="2"/>
      <c r="F56" s="11" t="s">
        <v>875</v>
      </c>
      <c r="H56" s="258" t="s">
        <v>43</v>
      </c>
      <c r="P56" s="26"/>
    </row>
    <row r="57" spans="1:16" ht="2.1" customHeight="1" x14ac:dyDescent="0.2">
      <c r="A57" s="2"/>
      <c r="B57" s="2"/>
      <c r="P57" s="26"/>
    </row>
    <row r="58" spans="1:16" x14ac:dyDescent="0.2">
      <c r="B58" s="3" t="s">
        <v>28</v>
      </c>
      <c r="D58" s="379" t="s">
        <v>428</v>
      </c>
      <c r="E58" s="379"/>
      <c r="F58" s="379"/>
      <c r="H58" s="30" t="str">
        <f>IF($H$56="x","x","-")</f>
        <v>-</v>
      </c>
      <c r="J58" s="12" t="str">
        <f>IF(OR(H$15="x",L58="x"),"-",IF(H58="x","-","x"))</f>
        <v>x</v>
      </c>
      <c r="L58" s="7"/>
      <c r="N58" s="7"/>
      <c r="P58" s="49"/>
    </row>
    <row r="59" spans="1:16" ht="2.1" customHeight="1" x14ac:dyDescent="0.2">
      <c r="H59" s="7"/>
      <c r="J59" s="7"/>
      <c r="P59" s="26"/>
    </row>
    <row r="60" spans="1:16" x14ac:dyDescent="0.2">
      <c r="B60" s="3" t="s">
        <v>276</v>
      </c>
      <c r="E60" s="16"/>
      <c r="F60" s="32">
        <f>20+IF(D58='EN-Kt.'!C235,2,0)+IF(OR( D58='EN-Kt.'!C236,D58='EN-Kt.'!C237,D58='EN-Kt.'!C238 ),-2,0)+IF(D58='EN-Kt.'!C239,8,0)</f>
        <v>20</v>
      </c>
      <c r="H60" s="30" t="str">
        <f>IF($H$56="x","x","-")</f>
        <v>-</v>
      </c>
      <c r="J60" s="12" t="str">
        <f>IF(OR(H$15="x",L60="x"),"-",IF(H60="x","-","x"))</f>
        <v>x</v>
      </c>
      <c r="P60" s="50"/>
    </row>
    <row r="61" spans="1:16" ht="2.1" customHeight="1" x14ac:dyDescent="0.2">
      <c r="H61" s="7"/>
      <c r="J61" s="7"/>
      <c r="P61" s="26"/>
    </row>
    <row r="62" spans="1:16" x14ac:dyDescent="0.2">
      <c r="B62" s="3" t="s">
        <v>372</v>
      </c>
      <c r="E62" s="16"/>
      <c r="F62" s="17">
        <f>(F60-20)*0.05</f>
        <v>0</v>
      </c>
      <c r="H62" s="30" t="str">
        <f>IF($H$56="x","x","-")</f>
        <v>-</v>
      </c>
      <c r="J62" s="12" t="str">
        <f>IF(OR(H$15="x",L62="x"),"-",IF(H62="x","-","x"))</f>
        <v>x</v>
      </c>
      <c r="L62" s="7"/>
      <c r="N62" s="7"/>
      <c r="P62" s="50"/>
    </row>
    <row r="63" spans="1:16" ht="2.1" customHeight="1" x14ac:dyDescent="0.2">
      <c r="H63" s="7"/>
      <c r="J63" s="7"/>
      <c r="P63" s="26"/>
    </row>
    <row r="64" spans="1:16" x14ac:dyDescent="0.2">
      <c r="B64" s="3" t="s">
        <v>29</v>
      </c>
      <c r="H64" s="30" t="str">
        <f>IF($H$56="x","x","-")</f>
        <v>-</v>
      </c>
      <c r="J64" s="12" t="str">
        <f>IF(OR(H$15="x",L64="x"),"-",IF(H64="x","-","x"))</f>
        <v>x</v>
      </c>
      <c r="L64" s="7"/>
      <c r="N64" s="7"/>
      <c r="P64" s="50"/>
    </row>
    <row r="65" spans="2:16" ht="2.1" customHeight="1" x14ac:dyDescent="0.2">
      <c r="H65" s="7"/>
      <c r="J65" s="7"/>
      <c r="P65" s="26"/>
    </row>
    <row r="66" spans="2:16" x14ac:dyDescent="0.2">
      <c r="B66" s="3" t="s">
        <v>4</v>
      </c>
      <c r="H66" s="30" t="str">
        <f>IF($H$56="x","x","-")</f>
        <v>-</v>
      </c>
      <c r="J66" s="12" t="str">
        <f>IF(OR(H$15="x",L66="x"),"-",IF(H66="x","-","x"))</f>
        <v>x</v>
      </c>
      <c r="L66" s="7"/>
      <c r="N66" s="7"/>
      <c r="P66" s="25"/>
    </row>
    <row r="67" spans="2:16" ht="2.1" customHeight="1" x14ac:dyDescent="0.2">
      <c r="H67" s="7"/>
      <c r="J67" s="7"/>
      <c r="P67" s="26"/>
    </row>
    <row r="68" spans="2:16" x14ac:dyDescent="0.2">
      <c r="B68" s="3" t="s">
        <v>277</v>
      </c>
      <c r="H68" s="30" t="str">
        <f>IF($H$56="x","x","-")</f>
        <v>-</v>
      </c>
      <c r="J68" s="12" t="str">
        <f>IF(OR(H$15="x",L68="x"),"-",IF(H68="x","-","x"))</f>
        <v>x</v>
      </c>
      <c r="L68" s="30" t="s">
        <v>43</v>
      </c>
      <c r="N68" s="7"/>
      <c r="P68" s="25"/>
    </row>
    <row r="69" spans="2:16" ht="1.5" customHeight="1" x14ac:dyDescent="0.2">
      <c r="H69" s="42"/>
      <c r="J69" s="14"/>
      <c r="L69" s="42"/>
      <c r="N69" s="7"/>
      <c r="P69" s="26"/>
    </row>
    <row r="70" spans="2:16" ht="14.25" thickBot="1" x14ac:dyDescent="0.25">
      <c r="H70" s="14"/>
      <c r="J70" s="14"/>
      <c r="L70" s="7"/>
      <c r="N70" s="7"/>
      <c r="P70" s="26"/>
    </row>
    <row r="71" spans="2:16" ht="14.25" thickBot="1" x14ac:dyDescent="0.25">
      <c r="B71" s="3" t="s">
        <v>5</v>
      </c>
      <c r="F71" s="11" t="s">
        <v>875</v>
      </c>
      <c r="H71" s="258" t="s">
        <v>43</v>
      </c>
      <c r="P71" s="26"/>
    </row>
    <row r="72" spans="2:16" ht="2.1" customHeight="1" x14ac:dyDescent="0.2">
      <c r="P72" s="26"/>
    </row>
    <row r="73" spans="2:16" x14ac:dyDescent="0.2">
      <c r="C73" s="3" t="s">
        <v>31</v>
      </c>
      <c r="H73" s="30" t="str">
        <f>IF($H$71="x","x","-")</f>
        <v>-</v>
      </c>
      <c r="J73" s="12" t="str">
        <f>IF(OR(H$15="x",L73="x", $H$71="x"),"-",IF(H73="x","-","x"))</f>
        <v>x</v>
      </c>
      <c r="L73" s="7"/>
      <c r="N73" s="7"/>
      <c r="P73" s="25"/>
    </row>
    <row r="74" spans="2:16" ht="2.1" customHeight="1" x14ac:dyDescent="0.2">
      <c r="H74" s="7"/>
      <c r="J74" s="7"/>
      <c r="P74" s="26"/>
    </row>
    <row r="75" spans="2:16" x14ac:dyDescent="0.2">
      <c r="C75" s="3" t="s">
        <v>273</v>
      </c>
      <c r="D75" s="11" t="s">
        <v>271</v>
      </c>
      <c r="F75" s="20">
        <f>(1-F$62)* 0.25</f>
        <v>0.25</v>
      </c>
      <c r="H75" s="30" t="str">
        <f>IF($H$71="x","x","-")</f>
        <v>-</v>
      </c>
      <c r="J75" s="12" t="str">
        <f>IF(OR(H$15="x",L75="x", $H$71="x"),"-",IF(H75="x","-","x"))</f>
        <v>x</v>
      </c>
      <c r="L75" s="30" t="str">
        <f>IF($L$71="x","x","-")</f>
        <v>-</v>
      </c>
      <c r="N75" s="30" t="s">
        <v>43</v>
      </c>
      <c r="P75" s="25"/>
    </row>
    <row r="76" spans="2:16" ht="2.1" customHeight="1" x14ac:dyDescent="0.2">
      <c r="C76" s="3" t="s">
        <v>273</v>
      </c>
      <c r="F76" s="11"/>
      <c r="H76" s="7"/>
      <c r="J76" s="7"/>
      <c r="N76" s="7"/>
      <c r="P76" s="26"/>
    </row>
    <row r="77" spans="2:16" x14ac:dyDescent="0.2">
      <c r="D77" s="11" t="s">
        <v>272</v>
      </c>
      <c r="F77" s="20">
        <f>(1-F$62)* 0.28</f>
        <v>0.28000000000000003</v>
      </c>
      <c r="H77" s="30" t="str">
        <f>IF($H$71="x","x","-")</f>
        <v>-</v>
      </c>
      <c r="J77" s="12" t="str">
        <f>IF(OR(H$15="x",L77="x", $H$71="x"),"-",IF(H77="x","-","x"))</f>
        <v>x</v>
      </c>
      <c r="L77" s="30" t="str">
        <f>IF($L$71="x","x","-")</f>
        <v>-</v>
      </c>
      <c r="N77" s="30" t="s">
        <v>43</v>
      </c>
      <c r="P77" s="25"/>
    </row>
    <row r="78" spans="2:16" ht="13.5" customHeight="1" thickBot="1" x14ac:dyDescent="0.25">
      <c r="F78" s="11"/>
      <c r="P78" s="26"/>
    </row>
    <row r="79" spans="2:16" ht="14.25" thickBot="1" x14ac:dyDescent="0.25">
      <c r="B79" s="3" t="s">
        <v>6</v>
      </c>
      <c r="F79" s="11" t="s">
        <v>875</v>
      </c>
      <c r="H79" s="258" t="s">
        <v>43</v>
      </c>
      <c r="P79" s="26"/>
    </row>
    <row r="80" spans="2:16" ht="2.1" customHeight="1" x14ac:dyDescent="0.2">
      <c r="F80" s="11"/>
      <c r="P80" s="26"/>
    </row>
    <row r="81" spans="2:16" x14ac:dyDescent="0.2">
      <c r="C81" s="3" t="s">
        <v>31</v>
      </c>
      <c r="F81" s="11"/>
      <c r="H81" s="30" t="str">
        <f>IF($H$79="x","x","-")</f>
        <v>-</v>
      </c>
      <c r="J81" s="12" t="str">
        <f>IF(OR(H$15="x",L81="x", $H$79="x"),"-",IF(H81="x","-","x"))</f>
        <v>x</v>
      </c>
      <c r="L81" s="7"/>
      <c r="N81" s="7"/>
      <c r="P81" s="25"/>
    </row>
    <row r="82" spans="2:16" ht="2.1" customHeight="1" x14ac:dyDescent="0.2">
      <c r="F82" s="11"/>
      <c r="H82" s="7"/>
      <c r="J82" s="7"/>
      <c r="P82" s="26"/>
    </row>
    <row r="83" spans="2:16" x14ac:dyDescent="0.2">
      <c r="C83" s="3" t="s">
        <v>269</v>
      </c>
      <c r="D83" s="11" t="s">
        <v>271</v>
      </c>
      <c r="F83" s="20">
        <f>(1-F$62)* 0.25</f>
        <v>0.25</v>
      </c>
      <c r="H83" s="30" t="str">
        <f>IF($H$79="x","x","-")</f>
        <v>-</v>
      </c>
      <c r="J83" s="12" t="str">
        <f>IF(OR(H$15="x",L83="x", $H$79="x"),"-",IF(H83="x","-","x"))</f>
        <v>x</v>
      </c>
      <c r="L83" s="30" t="str">
        <f>IF($L$79="x","x","-")</f>
        <v>-</v>
      </c>
      <c r="N83" s="30" t="s">
        <v>43</v>
      </c>
      <c r="P83" s="25"/>
    </row>
    <row r="84" spans="2:16" ht="2.1" customHeight="1" x14ac:dyDescent="0.2">
      <c r="F84" s="11"/>
      <c r="H84" s="7"/>
      <c r="J84" s="7"/>
      <c r="N84" s="7"/>
      <c r="P84" s="26"/>
    </row>
    <row r="85" spans="2:16" x14ac:dyDescent="0.2">
      <c r="D85" s="11" t="s">
        <v>272</v>
      </c>
      <c r="F85" s="20">
        <f>(1-F$62)* 0.28</f>
        <v>0.28000000000000003</v>
      </c>
      <c r="H85" s="30" t="str">
        <f>IF($H$79="x","x","-")</f>
        <v>-</v>
      </c>
      <c r="J85" s="12" t="str">
        <f>IF(OR(H$15="x",L85="x", $H$79="x"),"-",IF(H85="x","-","x"))</f>
        <v>x</v>
      </c>
      <c r="L85" s="30" t="str">
        <f>IF($L$79="x","x","-")</f>
        <v>-</v>
      </c>
      <c r="N85" s="30" t="s">
        <v>43</v>
      </c>
      <c r="P85" s="25"/>
    </row>
    <row r="86" spans="2:16" ht="13.5" customHeight="1" thickBot="1" x14ac:dyDescent="0.25">
      <c r="F86" s="11"/>
      <c r="P86" s="26"/>
    </row>
    <row r="87" spans="2:16" ht="14.25" thickBot="1" x14ac:dyDescent="0.25">
      <c r="B87" s="3" t="s">
        <v>7</v>
      </c>
      <c r="F87" s="11" t="s">
        <v>875</v>
      </c>
      <c r="H87" s="258" t="s">
        <v>43</v>
      </c>
      <c r="P87" s="26"/>
    </row>
    <row r="88" spans="2:16" ht="2.1" customHeight="1" x14ac:dyDescent="0.2">
      <c r="F88" s="11"/>
      <c r="P88" s="26"/>
    </row>
    <row r="89" spans="2:16" x14ac:dyDescent="0.2">
      <c r="C89" s="3" t="s">
        <v>31</v>
      </c>
      <c r="F89" s="11"/>
      <c r="H89" s="30" t="str">
        <f>IF($H$87="x","x","-")</f>
        <v>-</v>
      </c>
      <c r="J89" s="12" t="str">
        <f>IF(OR(H$15="x",L89="x", $H$87="x"),"-",IF(H89="x","-","x"))</f>
        <v>x</v>
      </c>
      <c r="L89" s="7"/>
      <c r="N89" s="7"/>
      <c r="P89" s="25"/>
    </row>
    <row r="90" spans="2:16" ht="2.1" customHeight="1" x14ac:dyDescent="0.2">
      <c r="F90" s="11"/>
      <c r="H90" s="7"/>
      <c r="J90" s="7"/>
      <c r="P90" s="26"/>
    </row>
    <row r="91" spans="2:16" x14ac:dyDescent="0.2">
      <c r="C91" s="3" t="s">
        <v>269</v>
      </c>
      <c r="D91" s="11" t="s">
        <v>271</v>
      </c>
      <c r="F91" s="20">
        <f>(1-F$62)* 0.25</f>
        <v>0.25</v>
      </c>
      <c r="H91" s="30" t="str">
        <f>IF($H$87="x","x","-")</f>
        <v>-</v>
      </c>
      <c r="J91" s="12" t="str">
        <f>IF(OR(H$15="x",L91="x", $H$87="x"),"-",IF(H91="x","-","x"))</f>
        <v>x</v>
      </c>
      <c r="L91" s="30" t="str">
        <f>IF($L$87="x","x","-")</f>
        <v>-</v>
      </c>
      <c r="N91" s="30" t="s">
        <v>43</v>
      </c>
      <c r="P91" s="25"/>
    </row>
    <row r="92" spans="2:16" ht="2.1" customHeight="1" x14ac:dyDescent="0.2">
      <c r="F92" s="11"/>
      <c r="H92" s="7"/>
      <c r="J92" s="7"/>
      <c r="N92" s="7"/>
      <c r="P92" s="26"/>
    </row>
    <row r="93" spans="2:16" x14ac:dyDescent="0.2">
      <c r="D93" s="11" t="s">
        <v>272</v>
      </c>
      <c r="F93" s="20">
        <f>(1-F$62)* 0.28</f>
        <v>0.28000000000000003</v>
      </c>
      <c r="H93" s="30" t="str">
        <f>IF($H$87="x","x","-")</f>
        <v>-</v>
      </c>
      <c r="J93" s="12" t="str">
        <f>IF(OR(H$15="x",L93="x", $H$87="x"),"-",IF(H93="x","-","x"))</f>
        <v>x</v>
      </c>
      <c r="L93" s="30" t="str">
        <f>IF($L$87="x","x","-")</f>
        <v>-</v>
      </c>
      <c r="N93" s="30" t="s">
        <v>43</v>
      </c>
      <c r="P93" s="25"/>
    </row>
    <row r="94" spans="2:16" ht="2.1" customHeight="1" x14ac:dyDescent="0.2">
      <c r="F94" s="11"/>
      <c r="P94" s="26"/>
    </row>
    <row r="95" spans="2:16" ht="12.75" customHeight="1" thickBot="1" x14ac:dyDescent="0.25">
      <c r="F95" s="11"/>
      <c r="P95" s="26"/>
    </row>
    <row r="96" spans="2:16" ht="14.25" thickBot="1" x14ac:dyDescent="0.25">
      <c r="B96" s="3" t="s">
        <v>8</v>
      </c>
      <c r="F96" s="11" t="s">
        <v>875</v>
      </c>
      <c r="H96" s="258" t="s">
        <v>43</v>
      </c>
      <c r="P96" s="26"/>
    </row>
    <row r="97" spans="1:16" ht="2.1" customHeight="1" x14ac:dyDescent="0.2">
      <c r="F97" s="11"/>
      <c r="H97" s="3" t="s">
        <v>42</v>
      </c>
      <c r="P97" s="26"/>
    </row>
    <row r="98" spans="1:16" x14ac:dyDescent="0.2">
      <c r="C98" s="3" t="s">
        <v>31</v>
      </c>
      <c r="F98" s="11"/>
      <c r="H98" s="30" t="str">
        <f>IF($H$96="x","x","-")</f>
        <v>-</v>
      </c>
      <c r="J98" s="12" t="str">
        <f>IF(OR(H$15="x",L98="x", $H$96="x"),"-",IF(H98="x","-","x"))</f>
        <v>x</v>
      </c>
      <c r="L98" s="7"/>
      <c r="N98" s="7"/>
      <c r="P98" s="25"/>
    </row>
    <row r="99" spans="1:16" ht="2.1" customHeight="1" x14ac:dyDescent="0.2">
      <c r="A99" s="5"/>
      <c r="F99" s="11"/>
      <c r="H99" s="7"/>
      <c r="J99" s="7"/>
      <c r="P99" s="26"/>
    </row>
    <row r="100" spans="1:16" x14ac:dyDescent="0.2">
      <c r="C100" s="3" t="s">
        <v>269</v>
      </c>
      <c r="D100" s="11" t="s">
        <v>271</v>
      </c>
      <c r="F100" s="20">
        <f>(1-F$62)* 1.7</f>
        <v>1.7</v>
      </c>
      <c r="H100" s="30" t="str">
        <f>IF($H$96="x","x","-")</f>
        <v>-</v>
      </c>
      <c r="J100" s="12" t="str">
        <f>IF(OR(H$15="x",L100="x", $H$96="x"),"-",IF(H100="x","-","x"))</f>
        <v>x</v>
      </c>
      <c r="L100" s="30" t="str">
        <f>IF($L$96="x","x","-")</f>
        <v>-</v>
      </c>
      <c r="N100" s="30" t="s">
        <v>43</v>
      </c>
      <c r="P100" s="25"/>
    </row>
    <row r="101" spans="1:16" ht="2.1" customHeight="1" x14ac:dyDescent="0.2">
      <c r="F101" s="11"/>
      <c r="H101" s="7"/>
      <c r="J101" s="7"/>
      <c r="N101" s="7"/>
      <c r="P101" s="26"/>
    </row>
    <row r="102" spans="1:16" x14ac:dyDescent="0.2">
      <c r="D102" s="11" t="s">
        <v>371</v>
      </c>
      <c r="F102" s="20">
        <f>(1-F$62)* 2</f>
        <v>2</v>
      </c>
      <c r="H102" s="30" t="str">
        <f>IF($H$96="x","x","-")</f>
        <v>-</v>
      </c>
      <c r="J102" s="12" t="str">
        <f>IF(OR(H$15="x",L102="x", $H$96="x"),"-",IF(H102="x","-","x"))</f>
        <v>x</v>
      </c>
      <c r="L102" s="30" t="str">
        <f>IF($L$96="x","x","-")</f>
        <v>-</v>
      </c>
      <c r="N102" s="30" t="s">
        <v>43</v>
      </c>
      <c r="P102" s="25"/>
    </row>
    <row r="103" spans="1:16" ht="2.1" customHeight="1" x14ac:dyDescent="0.2">
      <c r="A103" s="5"/>
      <c r="D103" s="11" t="s">
        <v>272</v>
      </c>
      <c r="F103" s="11"/>
      <c r="P103" s="26"/>
    </row>
    <row r="104" spans="1:16" ht="12.75" customHeight="1" thickBot="1" x14ac:dyDescent="0.25">
      <c r="A104" s="5"/>
      <c r="D104" s="11"/>
      <c r="F104" s="11"/>
      <c r="P104" s="26"/>
    </row>
    <row r="105" spans="1:16" ht="14.25" thickBot="1" x14ac:dyDescent="0.25">
      <c r="B105" s="3" t="s">
        <v>33</v>
      </c>
      <c r="F105" s="11" t="s">
        <v>875</v>
      </c>
      <c r="H105" s="258" t="s">
        <v>43</v>
      </c>
      <c r="P105" s="26"/>
    </row>
    <row r="106" spans="1:16" ht="2.1" customHeight="1" x14ac:dyDescent="0.2">
      <c r="F106" s="11"/>
      <c r="P106" s="26"/>
    </row>
    <row r="107" spans="1:16" x14ac:dyDescent="0.2">
      <c r="C107" s="3" t="s">
        <v>31</v>
      </c>
      <c r="F107" s="11"/>
      <c r="H107" s="30" t="str">
        <f>IF($H$105="x","x","-")</f>
        <v>-</v>
      </c>
      <c r="J107" s="12" t="str">
        <f>IF(OR(H$15="x",L107="x", $H$105="x"),"-",IF(H107="x","-","x"))</f>
        <v>x</v>
      </c>
      <c r="L107" s="7"/>
      <c r="N107" s="7"/>
      <c r="P107" s="25"/>
    </row>
    <row r="108" spans="1:16" ht="2.1" customHeight="1" x14ac:dyDescent="0.2">
      <c r="F108" s="11"/>
      <c r="H108" s="7"/>
      <c r="J108" s="7"/>
      <c r="P108" s="26"/>
    </row>
    <row r="109" spans="1:16" x14ac:dyDescent="0.2">
      <c r="C109" s="3" t="s">
        <v>269</v>
      </c>
      <c r="D109" s="11" t="s">
        <v>271</v>
      </c>
      <c r="F109" s="20">
        <f>(1-F$62)* 0.5</f>
        <v>0.5</v>
      </c>
      <c r="H109" s="30" t="str">
        <f>IF($H$105="x","x","-")</f>
        <v>-</v>
      </c>
      <c r="J109" s="12" t="str">
        <f>IF(OR(H$15="x",L109="x", $H$105="x"),"-",IF(H109="x","-","x"))</f>
        <v>x</v>
      </c>
      <c r="L109" s="30" t="str">
        <f>IF($L$105="x","x","-")</f>
        <v>-</v>
      </c>
      <c r="N109" s="30" t="s">
        <v>43</v>
      </c>
      <c r="P109" s="25"/>
    </row>
    <row r="110" spans="1:16" ht="2.1" customHeight="1" x14ac:dyDescent="0.2">
      <c r="F110" s="11"/>
      <c r="H110" s="7"/>
      <c r="J110" s="7"/>
      <c r="N110" s="7"/>
      <c r="P110" s="26"/>
    </row>
    <row r="111" spans="1:16" x14ac:dyDescent="0.2">
      <c r="D111" s="11" t="s">
        <v>371</v>
      </c>
      <c r="F111" s="20">
        <f>(1-F$62)* 0.5</f>
        <v>0.5</v>
      </c>
      <c r="H111" s="30" t="str">
        <f>IF($H$105="x","x","-")</f>
        <v>-</v>
      </c>
      <c r="J111" s="12" t="str">
        <f>IF(OR(H$15="x",L111="x", $H$105="x"),"-",IF(H111="x","-","x"))</f>
        <v>x</v>
      </c>
      <c r="L111" s="30" t="str">
        <f>IF($L$105="x","x","-")</f>
        <v>-</v>
      </c>
      <c r="N111" s="30" t="s">
        <v>43</v>
      </c>
      <c r="P111" s="25"/>
    </row>
    <row r="112" spans="1:16" ht="13.5" customHeight="1" thickBot="1" x14ac:dyDescent="0.25">
      <c r="F112" s="11"/>
      <c r="P112" s="26"/>
    </row>
    <row r="113" spans="1:16" ht="14.25" thickBot="1" x14ac:dyDescent="0.25">
      <c r="B113" s="3" t="s">
        <v>270</v>
      </c>
      <c r="F113" s="11" t="s">
        <v>875</v>
      </c>
      <c r="H113" s="258" t="s">
        <v>43</v>
      </c>
      <c r="P113" s="26"/>
    </row>
    <row r="114" spans="1:16" ht="2.1" customHeight="1" x14ac:dyDescent="0.2">
      <c r="F114" s="11"/>
      <c r="P114" s="26"/>
    </row>
    <row r="115" spans="1:16" x14ac:dyDescent="0.2">
      <c r="A115" s="34" t="s">
        <v>42</v>
      </c>
      <c r="C115" s="3" t="s">
        <v>31</v>
      </c>
      <c r="F115" s="11"/>
      <c r="H115" s="30" t="str">
        <f>IF($H$113="x","x","-")</f>
        <v>-</v>
      </c>
      <c r="J115" s="12" t="str">
        <f>IF(OR(H$15="x",L115="x", $H$113="x"),"-",IF(H115="x","-","x"))</f>
        <v>x</v>
      </c>
      <c r="L115" s="7"/>
      <c r="N115" s="7"/>
      <c r="P115" s="25"/>
    </row>
    <row r="116" spans="1:16" ht="2.1" customHeight="1" x14ac:dyDescent="0.2">
      <c r="A116" s="34" t="s">
        <v>43</v>
      </c>
      <c r="F116" s="11"/>
      <c r="H116" s="7"/>
      <c r="J116" s="7"/>
      <c r="P116" s="26"/>
    </row>
    <row r="117" spans="1:16" ht="13.9" customHeight="1" x14ac:dyDescent="0.2">
      <c r="A117" s="34" t="s">
        <v>42</v>
      </c>
      <c r="C117" s="3" t="s">
        <v>373</v>
      </c>
      <c r="F117" s="11"/>
      <c r="H117" s="30" t="str">
        <f>IF($H$113="x","x","-")</f>
        <v>-</v>
      </c>
      <c r="J117" s="12" t="str">
        <f>IF(OR(H$15="x",L117="x", $H$113="x"),"-",IF(H117="x","-","x"))</f>
        <v>x</v>
      </c>
      <c r="L117" s="30" t="str">
        <f>IF($L$113="x","x","-")</f>
        <v>-</v>
      </c>
      <c r="N117" s="7"/>
      <c r="P117" s="25"/>
    </row>
    <row r="118" spans="1:16" ht="2.1" customHeight="1" x14ac:dyDescent="0.2">
      <c r="A118" s="3" t="s">
        <v>43</v>
      </c>
      <c r="F118" s="11"/>
      <c r="H118" s="7"/>
      <c r="J118" s="7"/>
      <c r="P118" s="26"/>
    </row>
    <row r="119" spans="1:16" x14ac:dyDescent="0.2">
      <c r="C119" s="3" t="s">
        <v>269</v>
      </c>
      <c r="D119" s="11" t="s">
        <v>271</v>
      </c>
      <c r="F119" s="20">
        <f>(1-F$62)* 1</f>
        <v>1</v>
      </c>
      <c r="H119" s="30" t="str">
        <f>IF($H$113="x","x","-")</f>
        <v>-</v>
      </c>
      <c r="J119" s="12" t="str">
        <f>IF(OR(H$15="x",L119="x", $H$113="x"),"-",IF(H119="x","-","x"))</f>
        <v>x</v>
      </c>
      <c r="L119" s="30" t="str">
        <f>IF($L$113="x","x","-")</f>
        <v>-</v>
      </c>
      <c r="N119" s="30" t="s">
        <v>43</v>
      </c>
      <c r="P119" s="25"/>
    </row>
    <row r="120" spans="1:16" ht="2.1" customHeight="1" x14ac:dyDescent="0.2">
      <c r="F120" s="11"/>
      <c r="H120" s="7"/>
      <c r="J120" s="7"/>
      <c r="N120" s="7"/>
      <c r="P120" s="26"/>
    </row>
    <row r="121" spans="1:16" x14ac:dyDescent="0.2">
      <c r="D121" s="11" t="s">
        <v>371</v>
      </c>
      <c r="F121" s="20">
        <f>(1-F$62)* 1.3</f>
        <v>1.3</v>
      </c>
      <c r="H121" s="30" t="str">
        <f>IF($H$113="x","x","-")</f>
        <v>-</v>
      </c>
      <c r="J121" s="12" t="str">
        <f>IF(OR(H$15="x",L121="x", $H$113="x"),"-",IF(H121="x","-","x"))</f>
        <v>x</v>
      </c>
      <c r="L121" s="30" t="str">
        <f>IF($L$113="x","x","-")</f>
        <v>-</v>
      </c>
      <c r="N121" s="30" t="s">
        <v>43</v>
      </c>
      <c r="P121" s="25"/>
    </row>
    <row r="122" spans="1:16" ht="13.5" customHeight="1" thickBot="1" x14ac:dyDescent="0.25">
      <c r="F122" s="11"/>
      <c r="P122" s="26"/>
    </row>
    <row r="123" spans="1:16" ht="14.25" thickBot="1" x14ac:dyDescent="0.25">
      <c r="B123" s="3" t="s">
        <v>32</v>
      </c>
      <c r="F123" s="11" t="s">
        <v>875</v>
      </c>
      <c r="H123" s="258" t="s">
        <v>43</v>
      </c>
      <c r="P123" s="26"/>
    </row>
    <row r="124" spans="1:16" ht="2.1" customHeight="1" x14ac:dyDescent="0.2">
      <c r="F124" s="11"/>
      <c r="P124" s="26"/>
    </row>
    <row r="125" spans="1:16" x14ac:dyDescent="0.2">
      <c r="C125" s="3" t="s">
        <v>31</v>
      </c>
      <c r="F125" s="11"/>
      <c r="H125" s="30" t="str">
        <f>IF($H$123="x","x","-")</f>
        <v>-</v>
      </c>
      <c r="J125" s="12" t="str">
        <f>IF(OR(H$15="x",L125="x", $H$123="x"),"-",IF(H125="x","-","x"))</f>
        <v>x</v>
      </c>
      <c r="L125" s="7"/>
      <c r="N125" s="7"/>
      <c r="P125" s="25"/>
    </row>
    <row r="126" spans="1:16" ht="2.1" customHeight="1" x14ac:dyDescent="0.2">
      <c r="F126" s="11"/>
      <c r="H126" s="7"/>
      <c r="J126" s="7"/>
      <c r="P126" s="26"/>
    </row>
    <row r="127" spans="1:16" ht="13.9" customHeight="1" x14ac:dyDescent="0.2">
      <c r="C127" s="3" t="s">
        <v>373</v>
      </c>
      <c r="F127" s="11"/>
      <c r="H127" s="30" t="str">
        <f>IF($H$123="x","x","-")</f>
        <v>-</v>
      </c>
      <c r="J127" s="12" t="str">
        <f>IF(OR(H$15="x",L127="x", $H$123="x"),"-",IF(H127="x","-","x"))</f>
        <v>x</v>
      </c>
      <c r="L127" s="30" t="str">
        <f>IF($L$123="x","x","-")</f>
        <v>-</v>
      </c>
      <c r="N127" s="7"/>
      <c r="P127" s="25"/>
    </row>
    <row r="128" spans="1:16" ht="2.1" customHeight="1" x14ac:dyDescent="0.2">
      <c r="F128" s="11"/>
      <c r="H128" s="7"/>
      <c r="J128" s="7"/>
      <c r="P128" s="26"/>
    </row>
    <row r="129" spans="1:16" ht="2.1" customHeight="1" x14ac:dyDescent="0.2">
      <c r="F129" s="11"/>
      <c r="H129" s="7" t="s">
        <v>43</v>
      </c>
      <c r="J129" s="7"/>
      <c r="P129" s="26"/>
    </row>
    <row r="130" spans="1:16" x14ac:dyDescent="0.2">
      <c r="C130" s="3" t="s">
        <v>269</v>
      </c>
      <c r="D130" s="11" t="s">
        <v>271</v>
      </c>
      <c r="F130" s="20">
        <f>(1-F$62)* 1.2</f>
        <v>1.2</v>
      </c>
      <c r="H130" s="30" t="str">
        <f>IF($H$123="x","x","-")</f>
        <v>-</v>
      </c>
      <c r="J130" s="12" t="str">
        <f>IF(OR(H$15="x",L130="x", $H$123="x"),"-",IF(H130="x","-","x"))</f>
        <v>x</v>
      </c>
      <c r="L130" s="30" t="str">
        <f>IF($L$123="x","x","-")</f>
        <v>-</v>
      </c>
      <c r="N130" s="30" t="s">
        <v>43</v>
      </c>
      <c r="P130" s="25"/>
    </row>
    <row r="131" spans="1:16" ht="2.1" customHeight="1" x14ac:dyDescent="0.2">
      <c r="H131" s="7"/>
      <c r="J131" s="7"/>
      <c r="N131" s="7"/>
      <c r="P131" s="26"/>
    </row>
    <row r="132" spans="1:16" x14ac:dyDescent="0.2">
      <c r="D132" s="11" t="s">
        <v>371</v>
      </c>
      <c r="F132" s="20">
        <f>(1-F$62)* 1.5</f>
        <v>1.5</v>
      </c>
      <c r="H132" s="30" t="str">
        <f>IF($H$123="x","x","-")</f>
        <v>-</v>
      </c>
      <c r="J132" s="12" t="str">
        <f>IF(OR(H$15="x",L132="x", $H$123="x"),"-",IF(H132="x","-","x"))</f>
        <v>x</v>
      </c>
      <c r="L132" s="30" t="str">
        <f>IF($L$123="x","x","-")</f>
        <v>-</v>
      </c>
      <c r="N132" s="30" t="s">
        <v>43</v>
      </c>
      <c r="P132" s="25"/>
    </row>
    <row r="133" spans="1:16" ht="14.25" customHeight="1" x14ac:dyDescent="0.2"/>
    <row r="134" spans="1:16" ht="59.25" customHeight="1" x14ac:dyDescent="0.2"/>
    <row r="135" spans="1:16" ht="51.75" customHeight="1" x14ac:dyDescent="0.2"/>
    <row r="136" spans="1:16" ht="58.5" customHeight="1" x14ac:dyDescent="0.2"/>
    <row r="137" spans="1:16" ht="35.25" customHeight="1" x14ac:dyDescent="0.2"/>
    <row r="138" spans="1:16" ht="49.9" customHeight="1" x14ac:dyDescent="0.2"/>
    <row r="139" spans="1:16" ht="42" customHeight="1" x14ac:dyDescent="0.2"/>
    <row r="140" spans="1:16" ht="76.150000000000006" customHeight="1" x14ac:dyDescent="0.2"/>
    <row r="141" spans="1:16" s="39" customFormat="1" ht="92.25" customHeight="1" x14ac:dyDescent="0.2">
      <c r="A141" s="2" t="s">
        <v>542</v>
      </c>
      <c r="B141" s="34"/>
      <c r="C141" s="35"/>
      <c r="D141" s="35"/>
      <c r="E141" s="35"/>
      <c r="F141" s="34"/>
      <c r="G141" s="34"/>
      <c r="H141" s="36"/>
      <c r="I141" s="34"/>
      <c r="J141" s="34"/>
      <c r="K141" s="34"/>
      <c r="L141" s="34"/>
      <c r="M141" s="34"/>
      <c r="N141" s="34"/>
    </row>
    <row r="142" spans="1:16" s="39" customFormat="1" ht="16.5" customHeight="1" x14ac:dyDescent="0.2">
      <c r="A142" s="34"/>
      <c r="B142" s="34"/>
      <c r="C142" s="35"/>
      <c r="D142" s="35"/>
      <c r="E142" s="35"/>
      <c r="F142" s="34"/>
      <c r="G142" s="34"/>
      <c r="H142" s="36"/>
      <c r="I142" s="34"/>
      <c r="J142" s="34"/>
      <c r="K142" s="34"/>
      <c r="L142" s="34"/>
      <c r="M142" s="34"/>
      <c r="N142" s="34"/>
    </row>
    <row r="143" spans="1:16" s="39" customFormat="1" ht="70.5" customHeight="1" x14ac:dyDescent="0.2">
      <c r="A143" s="52"/>
      <c r="B143" s="404"/>
      <c r="C143" s="404"/>
      <c r="D143" s="404"/>
      <c r="E143" s="404"/>
      <c r="F143" s="404"/>
      <c r="G143" s="404"/>
      <c r="H143" s="404"/>
      <c r="I143" s="404"/>
      <c r="J143" s="404"/>
      <c r="K143" s="404"/>
      <c r="L143" s="404"/>
      <c r="M143" s="404"/>
      <c r="N143" s="404"/>
      <c r="O143" s="404"/>
      <c r="P143" s="404"/>
    </row>
    <row r="144" spans="1:16" s="34" customFormat="1" ht="20.100000000000001" customHeight="1" x14ac:dyDescent="0.2">
      <c r="C144" s="35"/>
      <c r="D144" s="35"/>
      <c r="E144" s="35"/>
      <c r="H144" s="36"/>
    </row>
    <row r="145" spans="1:16" x14ac:dyDescent="0.2">
      <c r="A145" s="2" t="s">
        <v>38</v>
      </c>
      <c r="D145" s="34" t="b">
        <f>ISTEXT(B143)</f>
        <v>0</v>
      </c>
    </row>
    <row r="146" spans="1:16" ht="1.5" customHeight="1" x14ac:dyDescent="0.2">
      <c r="A146" s="2"/>
    </row>
    <row r="147" spans="1:16" ht="14.25" x14ac:dyDescent="0.2">
      <c r="A147" s="2"/>
      <c r="B147" s="3" t="s">
        <v>448</v>
      </c>
      <c r="D147" s="388" t="str">
        <f>IF(OR(COUNTIF(J19:J31,"x")=0,COUNTIF(H147,"x")&gt;0),"erfüllt", "nicht erfüllt")</f>
        <v>nicht erfüllt</v>
      </c>
      <c r="E147" s="388"/>
      <c r="F147" s="388"/>
      <c r="H147" s="30" t="s">
        <v>43</v>
      </c>
      <c r="J147" s="3" t="s">
        <v>451</v>
      </c>
    </row>
    <row r="148" spans="1:16" ht="1.5" customHeight="1" x14ac:dyDescent="0.2">
      <c r="A148" s="2"/>
    </row>
    <row r="149" spans="1:16" ht="14.25" x14ac:dyDescent="0.2">
      <c r="B149" s="3" t="s">
        <v>251</v>
      </c>
      <c r="D149" s="388" t="str">
        <f>IF(OR(COUNTIF(J36:J132,"x")=0,COUNTIF(H149,"x")&gt;0),"erfüllt", "nicht erfüllt")</f>
        <v>nicht erfüllt</v>
      </c>
      <c r="E149" s="388"/>
      <c r="F149" s="388"/>
      <c r="H149" s="30" t="s">
        <v>43</v>
      </c>
      <c r="J149" s="3" t="s">
        <v>449</v>
      </c>
    </row>
    <row r="150" spans="1:16" ht="1.5" customHeight="1" x14ac:dyDescent="0.2">
      <c r="D150" s="89"/>
    </row>
    <row r="152" spans="1:16" ht="13.5" customHeight="1" x14ac:dyDescent="0.2">
      <c r="A152" s="34"/>
      <c r="B152" s="3" t="s">
        <v>39</v>
      </c>
      <c r="D152" s="3" t="str">
        <f>IF(ISTEXT(Name_Kontr),Name_Kontr,"")</f>
        <v/>
      </c>
      <c r="G152" s="77"/>
      <c r="H152" s="328" t="str">
        <f>IF(AND(NOT(D145),COUNTIF(H147:H149,"x")&gt;0),"Begründung und Empfehlung des weiteren Vorgehens erforderlich.","")</f>
        <v/>
      </c>
      <c r="I152" s="328"/>
      <c r="J152" s="328"/>
      <c r="K152" s="328"/>
      <c r="L152" s="328"/>
      <c r="M152" s="328"/>
      <c r="N152" s="328"/>
      <c r="O152" s="328"/>
      <c r="P152" s="328"/>
    </row>
    <row r="153" spans="1:16" ht="2.1" customHeight="1" x14ac:dyDescent="0.2">
      <c r="A153" s="34" t="s">
        <v>42</v>
      </c>
      <c r="F153" s="77"/>
      <c r="G153" s="77"/>
      <c r="H153" s="77"/>
      <c r="I153" s="77"/>
      <c r="J153" s="77"/>
      <c r="K153" s="77"/>
      <c r="L153" s="77"/>
      <c r="M153" s="77"/>
      <c r="N153" s="77"/>
    </row>
    <row r="154" spans="1:16" x14ac:dyDescent="0.2">
      <c r="A154" s="34" t="s">
        <v>43</v>
      </c>
      <c r="B154" s="3" t="s">
        <v>40</v>
      </c>
      <c r="D154" s="47">
        <f ca="1">Datum</f>
        <v>45866</v>
      </c>
      <c r="F154" s="77"/>
      <c r="G154" s="77"/>
      <c r="H154" s="77"/>
      <c r="I154" s="77"/>
      <c r="J154" s="77"/>
      <c r="K154" s="77"/>
      <c r="L154" s="77"/>
      <c r="M154" s="77"/>
      <c r="N154" s="77"/>
    </row>
  </sheetData>
  <sheetProtection algorithmName="SHA-512" hashValue="LXhqSC73dkekRPtCfTtKtpxminR/qDQdu/ajoqXLg+gfJ7tMhp5RBEoSEgXhaYbaus7scEk9HRW9TD0PqQ6HNA==" saltValue="x7SFdv9WCPm/xyppPKBMHA==" spinCount="100000" sheet="1" formatRows="0"/>
  <mergeCells count="8">
    <mergeCell ref="D5:O5"/>
    <mergeCell ref="D7:O7"/>
    <mergeCell ref="D11:O11"/>
    <mergeCell ref="H152:P152"/>
    <mergeCell ref="D58:F58"/>
    <mergeCell ref="B143:P143"/>
    <mergeCell ref="D147:F147"/>
    <mergeCell ref="D149:F149"/>
  </mergeCells>
  <phoneticPr fontId="7" type="noConversion"/>
  <conditionalFormatting sqref="D147">
    <cfRule type="beginsWith" dxfId="162" priority="1" operator="beginsWith" text="erfüllt">
      <formula>LEFT(D147,LEN("erfüllt"))="erfüllt"</formula>
    </cfRule>
    <cfRule type="containsText" dxfId="161" priority="2" operator="containsText" text="nicht erfüllt">
      <formula>NOT(ISERROR(SEARCH("nicht erfüllt",D147)))</formula>
    </cfRule>
  </conditionalFormatting>
  <conditionalFormatting sqref="D149:D150">
    <cfRule type="beginsWith" dxfId="159" priority="9" operator="beginsWith" text="erfüllt">
      <formula>LEFT(D149,LEN("erfüllt"))="erfüllt"</formula>
    </cfRule>
    <cfRule type="containsText" dxfId="158" priority="10" operator="containsText" text="nicht erfüllt">
      <formula>NOT(ISERROR(SEARCH("nicht erfüllt",D149)))</formula>
    </cfRule>
  </conditionalFormatting>
  <conditionalFormatting sqref="J19:J132">
    <cfRule type="cellIs" dxfId="157" priority="4" operator="equal">
      <formula>"x"</formula>
    </cfRule>
  </conditionalFormatting>
  <dataValidations count="4">
    <dataValidation type="list" allowBlank="1" showInputMessage="1" showErrorMessage="1" sqref="H70" xr:uid="{00000000-0002-0000-0400-000000000000}">
      <formula1>#REF!</formula1>
    </dataValidation>
    <dataValidation type="list" allowBlank="1" showInputMessage="1" showErrorMessage="1" sqref="H15 L15" xr:uid="{00000000-0002-0000-0400-000001000000}">
      <formula1>$A$111:$A$112</formula1>
    </dataValidation>
    <dataValidation type="list" allowBlank="1" showInputMessage="1" showErrorMessage="1" sqref="H149" xr:uid="{00000000-0002-0000-0400-000002000000}">
      <formula1>$A$115:$A$116</formula1>
    </dataValidation>
    <dataValidation type="list" allowBlank="1" showInputMessage="1" showErrorMessage="1" sqref="H23 H132 H121 N132 N130 N121 H29:H32 L29:L32 H54 H44 H27 L42 H36 H38 H42 N119 L44 H48 H50 H52 L54 H58 H60 H62 H64 H66 L68:L69 H73 H75 L75 H81 H83 L50 H89 H91 H25 L93 H98 H100 L102 H107 H109 L111 H115 H117 H119 L121 H125 H127 H130 L27 L52 H68:H69 H77 L77 H85 L83 H93 L91 H102 L100 H111 L109 L117 L119 L127 L130 N42 N50 N54 N75 N77 N83 N85 N91 N93 N100 N102 N109 N111 L85 L132" xr:uid="{00000000-0002-0000-0400-000003000000}">
      <formula1>$A$117:$A$118</formula1>
    </dataValidation>
  </dataValidations>
  <hyperlinks>
    <hyperlink ref="P1" r:id="rId1" xr:uid="{422219BE-AC0E-46CD-905E-258AABCA36EE}"/>
    <hyperlink ref="P2" location="'EN-Kt.'!A1" display="Zurück zm EN-Kt. " xr:uid="{8E6629B0-D39A-408B-8BA3-43B0BE6B362B}"/>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3" operator="containsText" text="nicht" id="{72C5B5E1-DC61-4E3F-8AB0-14A79DC18C12}">
            <xm:f>NOT(ISERROR(SEARCH("nicht",'EN-104'!B153)))</xm:f>
            <x14:dxf>
              <font>
                <color rgb="FF9C0006"/>
              </font>
              <fill>
                <patternFill>
                  <bgColor rgb="FFFFC7CE"/>
                </patternFill>
              </fill>
            </x14:dxf>
          </x14:cfRule>
          <xm:sqref>D147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4000000}">
          <x14:formula1>
            <xm:f>'EN-Kt.'!$A$207:$A$208</xm:f>
          </x14:formula1>
          <xm:sqref>H21 H19 H147 H40 H46 H56 H71 H79 H87 H96 H105 H113 H123</xm:sqref>
        </x14:dataValidation>
        <x14:dataValidation type="list" allowBlank="1" showInputMessage="1" showErrorMessage="1" xr:uid="{00000000-0002-0000-0400-000006000000}">
          <x14:formula1>
            <xm:f>'EN-Kt.'!$C$304:$C$307</xm:f>
          </x14:formula1>
          <xm:sqref>D9</xm:sqref>
        </x14:dataValidation>
        <x14:dataValidation type="list" allowBlank="1" showInputMessage="1" showErrorMessage="1" xr:uid="{1625D8BA-2E5F-4163-A111-CFAFA287DE95}">
          <x14:formula1>
            <xm:f>'EN-Kt.'!$C$226:$C$239</xm:f>
          </x14:formula1>
          <xm:sqref>D58:F58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E D A A B Q S w M E F A A C A A g A 9 V V Q W I d u a N + m A A A A 9 g A A A B I A H A B D b 2 5 m a W c v U G F j a 2 F n Z S 5 4 b W w g o h g A K K A U A A A A A A A A A A A A A A A A A A A A A A A A A A A A h Y + x D o I w G I R f h X S n L d U Y Q n 7 K w O I g i Y m J c W 1 K h U Y o h h b L u z n 4 S L 6 C G E X d H O / u u + T u f r 1 B N r Z N c F G 9 1 Z 1 J U Y Q p C p S R X a l N l a L B H c M Y Z R y 2 Q p 5 E p Y I J N j Y Z r U 5 R 7 d w 5 I c R 7 j / 0 C d 3 1 F G K U R O R S b n a x V K 0 J t r B N G K v R p l f 9 b i M P + N Y Y z H L E l X r E Y U y C z C Y U 2 X 4 B N e 5 / p j w n 5 0 L i h V 7 x U Y b 4 G M k s g 7 w / 8 A V B L A w Q U A A I A C A D 1 V V B 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V V Q W J i l S u 6 p A A A A 4 A A A A B M A H A B G b 3 J t d W x h c y 9 T Z W N 0 a W 9 u M S 5 t I K I Y A C i g F A A A A A A A A A A A A A A A A A A A A A A A A A A A A H W N P Q q D Q B C F e 2 H v M G w a A y J Y i 5 W E d I G g k E I s V p 0 Q c d 2 V 2 R E M 4 m 1 y k 1 w s G y R l X j P w f r 5 x 2 H J v D R T 7 T V I R i M A 9 F G E H p W p Q a 0 w g A 4 0 s A v C 6 z l / L O 6 e l R R 3 n M x E a v l k a G m u H 8 L h W F z V i J n 9 b W W 9 V b g 3 7 U h 3 t i I M 8 4 / t l O i R G g v I 5 S Y / z f Y 1 x S c q 4 u 6 U x t 3 o e j c / Q h f v L a F 1 l M S n N n h k B + w Q Y F 9 6 2 o w h 6 8 4 + c f g B Q S w E C L Q A U A A I A C A D 1 V V B Y h 2 5 o 3 6 Y A A A D 2 A A A A E g A A A A A A A A A A A A A A A A A A A A A A Q 2 9 u Z m l n L 1 B h Y 2 t h Z 2 U u e G 1 s U E s B A i 0 A F A A C A A g A 9 V V Q W A / K 6 a u k A A A A 6 Q A A A B M A A A A A A A A A A A A A A A A A 8 g A A A F t D b 2 5 0 Z W 5 0 X 1 R 5 c G V z X S 5 4 b W x Q S w E C L Q A U A A I A C A D 1 V V B Y m K V K 7 q k A A A D g A A A A E w A A A A A A A A A A A A A A A A D j A Q A A R m 9 y b X V s Y X M v U 2 V j d G l v b j E u b V B L B Q Y A A A A A A w A D A M I A A A D Z 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e C A A A A A A A A P w H 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Z W x s Z 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2 Z T J m Y W R h M i 1 i M z J h L T Q 3 N 2 I t O T I 2 Y y 0 z Z j d l M m I 5 O T k z N 2 Q 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0 L T A y L T E 2 V D A 3 O j I y O j U x L j c w N T M 1 M T h a I i A v P j x F b n R y e S B U e X B l P S J G a W x s Q 2 9 s d W 1 u V H l w Z X M i I F Z h b H V l P S J z Q m c 9 P S I g L z 4 8 R W 5 0 c n k g V H l w Z T 0 i R m l s b E N v b H V t b k 5 h b W V z I i B W Y W x 1 Z T 0 i c 1 s m c X V v d D t T c G F s d G U 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Z W x s Z T E v Q X V 0 b 1 J l b W 9 2 Z W R D b 2 x 1 b W 5 z M S 5 7 U 3 B h b H R l M S w w f S Z x d W 9 0 O 1 0 s J n F 1 b 3 Q 7 Q 2 9 s d W 1 u Q 2 9 1 b n Q m c X V v d D s 6 M S w m c X V v d D t L Z X l D b 2 x 1 b W 5 O Y W 1 l c y Z x d W 9 0 O z p b X S w m c X V v d D t D b 2 x 1 b W 5 J Z G V u d G l 0 a W V z J n F 1 b 3 Q 7 O l s m c X V v d D t T Z W N 0 a W 9 u M S 9 U Y W J l b G x l M S 9 B d X R v U m V t b 3 Z l Z E N v b H V t b n M x L n t T c G F s d G U x L D B 9 J n F 1 b 3 Q 7 X S w m c X V v d D t S Z W x h d G l v b n N o a X B J b m Z v J n F 1 b 3 Q 7 O l t d f S I g L z 4 8 L 1 N 0 Y W J s Z U V u d H J p Z X M + P C 9 J d G V t P j x J d G V t P j x J d G V t T G 9 j Y X R p b 2 4 + P E l 0 Z W 1 U e X B l P k Z v c m 1 1 b G E 8 L 0 l 0 Z W 1 U e X B l P j x J d G V t U G F 0 a D 5 T Z W N 0 a W 9 u M S 9 U Y W J l b G x l M S 9 R d W V s b G U 8 L 0 l 0 Z W 1 Q Y X R o P j w v S X R l b U x v Y 2 F 0 a W 9 u P j x T d G F i b G V F b n R y a W V z I C 8 + P C 9 J d G V t P j x J d G V t P j x J d G V t T G 9 j Y X R p b 2 4 + P E l 0 Z W 1 U e X B l P k Z v c m 1 1 b G E 8 L 0 l 0 Z W 1 U e X B l P j x J d G V t U G F 0 a D 5 T Z W N 0 a W 9 u M S 9 U Y W J l b G x l M S 9 H Z S V D M y V B N G 5 k Z X J 0 Z X I l M j B U e X A 8 L 0 l 0 Z W 1 Q Y X R o P j w v S X R l b U x v Y 2 F 0 a W 9 u P j x T d G F i b G V F b n R y a W V z I C 8 + P C 9 J d G V t P j w v S X R l b X M + P C 9 M b 2 N h b F B h Y 2 t h Z 2 V N Z X R h Z G F 0 Y U Z p b G U + F g A A A F B L B Q Y A A A A A A A A A A A A A A A A A A A A A A A D a A A A A A Q A A A N C M n d 8 B F d E R j H o A w E / C l + s B A A A A 6 R U p i Q B k a 0 a m S R d S C Q R f W g A A A A A C A A A A A A A D Z g A A w A A A A B A A A A B Q / y J M I S 7 y 7 C i R Q c 6 K f M C F A A A A A A S A A A C g A A A A E A A A A M l 8 s 7 2 B 2 + v E 2 j S I W / g m i 0 d Q A A A A 3 G P t / V q P v a I Y q r b 5 A / H k h J U m C E M I W u m K + m x m p a 0 L s h a g q j g N n u X t + v b 3 R k X q 0 F n 5 C K r v F v 2 K R + 2 w z z 5 1 F g P 7 R A 0 Y b Y T + n L O M q 9 Y + S + 1 M 1 c E U A A A A z w n f Y w n E Q n i 8 X z + o w Z 3 e P E B M u j k = < / D a t a M a s h u p > 
</file>

<file path=customXml/itemProps1.xml><?xml version="1.0" encoding="utf-8"?>
<ds:datastoreItem xmlns:ds="http://schemas.openxmlformats.org/officeDocument/2006/customXml" ds:itemID="{7AFBF64E-9BFF-4454-9EC7-39756AA7C2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211</vt:i4>
      </vt:variant>
    </vt:vector>
  </HeadingPairs>
  <TitlesOfParts>
    <vt:vector size="238" baseType="lpstr">
      <vt:lpstr>Anpassungshistorie</vt:lpstr>
      <vt:lpstr>Erläuterungen</vt:lpstr>
      <vt:lpstr>Begleitschreiben</vt:lpstr>
      <vt:lpstr>EN-Kt.</vt:lpstr>
      <vt:lpstr>EN-101a</vt:lpstr>
      <vt:lpstr>EN-101b</vt:lpstr>
      <vt:lpstr>EN-101c</vt:lpstr>
      <vt:lpstr>EN-102a Neubau</vt:lpstr>
      <vt:lpstr>EN-102a Umbau</vt:lpstr>
      <vt:lpstr>EN-102b</vt:lpstr>
      <vt:lpstr>EN-103</vt:lpstr>
      <vt:lpstr>EN-104</vt:lpstr>
      <vt:lpstr>EN-204-LU</vt:lpstr>
      <vt:lpstr>EN-105</vt:lpstr>
      <vt:lpstr>EN-110</vt:lpstr>
      <vt:lpstr>EN-111</vt:lpstr>
      <vt:lpstr>EN-112</vt:lpstr>
      <vt:lpstr>EN-120 </vt:lpstr>
      <vt:lpstr>EN-120-ZG</vt:lpstr>
      <vt:lpstr>EN-130</vt:lpstr>
      <vt:lpstr>EN-131</vt:lpstr>
      <vt:lpstr>EN-132</vt:lpstr>
      <vt:lpstr>EN-133</vt:lpstr>
      <vt:lpstr>EN-134</vt:lpstr>
      <vt:lpstr>EN-135</vt:lpstr>
      <vt:lpstr>BA</vt:lpstr>
      <vt:lpstr>Hilfsdokumentation</vt:lpstr>
      <vt:lpstr>Anlagetyp</vt:lpstr>
      <vt:lpstr>Auflagen_101a</vt:lpstr>
      <vt:lpstr>Auflagen_101b</vt:lpstr>
      <vt:lpstr>Auflagen_101c</vt:lpstr>
      <vt:lpstr>Auflagen_102aN</vt:lpstr>
      <vt:lpstr>Auflagen_102aU</vt:lpstr>
      <vt:lpstr>Auflagen_102b</vt:lpstr>
      <vt:lpstr>Auflagen_103</vt:lpstr>
      <vt:lpstr>Auflagen_104</vt:lpstr>
      <vt:lpstr>Auflagen_105</vt:lpstr>
      <vt:lpstr>'EN-204-LU'!Auflagen_110</vt:lpstr>
      <vt:lpstr>Auflagen_110</vt:lpstr>
      <vt:lpstr>Auflagen_111</vt:lpstr>
      <vt:lpstr>Auflagen_112</vt:lpstr>
      <vt:lpstr>Auflagen_120</vt:lpstr>
      <vt:lpstr>'EN-120-ZG'!Auflagen_120_ZG</vt:lpstr>
      <vt:lpstr>Auflagen_130</vt:lpstr>
      <vt:lpstr>Auflagen_131</vt:lpstr>
      <vt:lpstr>Auflagen_132</vt:lpstr>
      <vt:lpstr>Auflagen_133</vt:lpstr>
      <vt:lpstr>Auflagen_134</vt:lpstr>
      <vt:lpstr>Auflagen_135</vt:lpstr>
      <vt:lpstr>Auflagen_BA</vt:lpstr>
      <vt:lpstr>Bauvorhaben</vt:lpstr>
      <vt:lpstr>Beilagen_103</vt:lpstr>
      <vt:lpstr>Bem_101a</vt:lpstr>
      <vt:lpstr>Bem_101b</vt:lpstr>
      <vt:lpstr>Bem_101c</vt:lpstr>
      <vt:lpstr>Bem_102aN</vt:lpstr>
      <vt:lpstr>Bem_102aU</vt:lpstr>
      <vt:lpstr>Bem_102b</vt:lpstr>
      <vt:lpstr>Bem_103</vt:lpstr>
      <vt:lpstr>Bem_104</vt:lpstr>
      <vt:lpstr>Bem_105</vt:lpstr>
      <vt:lpstr>Bem_110</vt:lpstr>
      <vt:lpstr>Bem_111</vt:lpstr>
      <vt:lpstr>Bem_112</vt:lpstr>
      <vt:lpstr>Bem_120</vt:lpstr>
      <vt:lpstr>'EN-120-ZG'!Bem_120_ZG</vt:lpstr>
      <vt:lpstr>Bem_130</vt:lpstr>
      <vt:lpstr>Bem_131</vt:lpstr>
      <vt:lpstr>Bem_132</vt:lpstr>
      <vt:lpstr>Bem_133</vt:lpstr>
      <vt:lpstr>Bem_134</vt:lpstr>
      <vt:lpstr>Erläuterungen!Bem_135</vt:lpstr>
      <vt:lpstr>Bem_135</vt:lpstr>
      <vt:lpstr>'EN-204-LU'!Bem_204_LU</vt:lpstr>
      <vt:lpstr>Bem_BA</vt:lpstr>
      <vt:lpstr>Bem102aN</vt:lpstr>
      <vt:lpstr>Bem102b</vt:lpstr>
      <vt:lpstr>Datum</vt:lpstr>
      <vt:lpstr>BA!Druckbereich</vt:lpstr>
      <vt:lpstr>Begleitschreiben!Druckbereich</vt:lpstr>
      <vt:lpstr>'EN-101a'!Druckbereich</vt:lpstr>
      <vt:lpstr>'EN-101b'!Druckbereich</vt:lpstr>
      <vt:lpstr>'EN-101c'!Druckbereich</vt:lpstr>
      <vt:lpstr>'EN-102a Neubau'!Druckbereich</vt:lpstr>
      <vt:lpstr>'EN-102a Umbau'!Druckbereich</vt:lpstr>
      <vt:lpstr>'EN-102b'!Druckbereich</vt:lpstr>
      <vt:lpstr>'EN-103'!Druckbereich</vt:lpstr>
      <vt:lpstr>'EN-104'!Druckbereich</vt:lpstr>
      <vt:lpstr>'EN-105'!Druckbereich</vt:lpstr>
      <vt:lpstr>'EN-110'!Druckbereich</vt:lpstr>
      <vt:lpstr>'EN-111'!Druckbereich</vt:lpstr>
      <vt:lpstr>'EN-112'!Druckbereich</vt:lpstr>
      <vt:lpstr>'EN-120 '!Druckbereich</vt:lpstr>
      <vt:lpstr>'EN-120-ZG'!Druckbereich</vt:lpstr>
      <vt:lpstr>'EN-130'!Druckbereich</vt:lpstr>
      <vt:lpstr>'EN-131'!Druckbereich</vt:lpstr>
      <vt:lpstr>'EN-132'!Druckbereich</vt:lpstr>
      <vt:lpstr>'EN-133'!Druckbereich</vt:lpstr>
      <vt:lpstr>'EN-134'!Druckbereich</vt:lpstr>
      <vt:lpstr>'EN-135'!Druckbereich</vt:lpstr>
      <vt:lpstr>'EN-204-LU'!Druckbereich</vt:lpstr>
      <vt:lpstr>'EN-Kt.'!Druckbereich</vt:lpstr>
      <vt:lpstr>Erläuterungen!Druckbereich</vt:lpstr>
      <vt:lpstr>EBF_NeuOVol</vt:lpstr>
      <vt:lpstr>EBF_NeuVol</vt:lpstr>
      <vt:lpstr>Ergebnis_103</vt:lpstr>
      <vt:lpstr>Ergebnis_104</vt:lpstr>
      <vt:lpstr>Ergebnis_110</vt:lpstr>
      <vt:lpstr>Ergebnis_111</vt:lpstr>
      <vt:lpstr>Ergebnis_112</vt:lpstr>
      <vt:lpstr>Ergebnis_120</vt:lpstr>
      <vt:lpstr>'EN-120-ZG'!Ergebnis_120_ZG</vt:lpstr>
      <vt:lpstr>Ergebnis_130</vt:lpstr>
      <vt:lpstr>Ergebnis_131</vt:lpstr>
      <vt:lpstr>Ergebnis_132</vt:lpstr>
      <vt:lpstr>Ergebnis_133</vt:lpstr>
      <vt:lpstr>Ergebnis_134</vt:lpstr>
      <vt:lpstr>Erläuterungen!Ergebnis_135</vt:lpstr>
      <vt:lpstr>Ergebnis_135</vt:lpstr>
      <vt:lpstr>'EN-204-LU'!Ergebnis_204_LU</vt:lpstr>
      <vt:lpstr>Ergebnis_BA</vt:lpstr>
      <vt:lpstr>Ergebnis_EN101c</vt:lpstr>
      <vt:lpstr>Fehlend_BA</vt:lpstr>
      <vt:lpstr>Fehlend_EN103</vt:lpstr>
      <vt:lpstr>Fehlend_EN105</vt:lpstr>
      <vt:lpstr>Fehlend_EN110</vt:lpstr>
      <vt:lpstr>Fehlend_EN111</vt:lpstr>
      <vt:lpstr>Fehlend_EN112</vt:lpstr>
      <vt:lpstr>Fehlend_EN130</vt:lpstr>
      <vt:lpstr>Fehlend_EN131</vt:lpstr>
      <vt:lpstr>Fehlend_EN132</vt:lpstr>
      <vt:lpstr>Fehlend_EN133</vt:lpstr>
      <vt:lpstr>Fehlend_EN134</vt:lpstr>
      <vt:lpstr>Fehlend_EN135</vt:lpstr>
      <vt:lpstr>'EN-204-LU'!Fehlend_EN204_LU</vt:lpstr>
      <vt:lpstr>Fehlend_EN204_LU</vt:lpstr>
      <vt:lpstr>Freigabe_101a</vt:lpstr>
      <vt:lpstr>Freigabe_101b</vt:lpstr>
      <vt:lpstr>'EN-101c'!Freigabe_101c</vt:lpstr>
      <vt:lpstr>Freigabe_101c</vt:lpstr>
      <vt:lpstr>Freigabe_102aN</vt:lpstr>
      <vt:lpstr>Freigabe_102aU</vt:lpstr>
      <vt:lpstr>Freigabe_102b</vt:lpstr>
      <vt:lpstr>Freigabe_103</vt:lpstr>
      <vt:lpstr>Freigabe_104</vt:lpstr>
      <vt:lpstr>Freigabe_105</vt:lpstr>
      <vt:lpstr>Freigabe_110</vt:lpstr>
      <vt:lpstr>Freigabe_111</vt:lpstr>
      <vt:lpstr>Freigabe_112</vt:lpstr>
      <vt:lpstr>Freigabe_120</vt:lpstr>
      <vt:lpstr>'EN-120-ZG'!Freigabe_120_ZG</vt:lpstr>
      <vt:lpstr>Freigabe_130</vt:lpstr>
      <vt:lpstr>Freigabe_131</vt:lpstr>
      <vt:lpstr>Freigabe_132</vt:lpstr>
      <vt:lpstr>Freigabe_133</vt:lpstr>
      <vt:lpstr>Freigabe_134</vt:lpstr>
      <vt:lpstr>Erläuterungen!Freigabe_135</vt:lpstr>
      <vt:lpstr>Freigabe_135</vt:lpstr>
      <vt:lpstr>'EN-204-LU'!Freigabe_204_LU</vt:lpstr>
      <vt:lpstr>Freigabe_BA</vt:lpstr>
      <vt:lpstr>'EN-120-ZG'!GEAK_ZertifikatD</vt:lpstr>
      <vt:lpstr>GEAK_ZertifikatD</vt:lpstr>
      <vt:lpstr>Gemeinde</vt:lpstr>
      <vt:lpstr>'EN-101c'!GENH1</vt:lpstr>
      <vt:lpstr>GENH1</vt:lpstr>
      <vt:lpstr>'EN-101c'!GENH2</vt:lpstr>
      <vt:lpstr>GENH2</vt:lpstr>
      <vt:lpstr>'EN-101c'!GENW1</vt:lpstr>
      <vt:lpstr>GENW1</vt:lpstr>
      <vt:lpstr>'EN-101c'!GENW2</vt:lpstr>
      <vt:lpstr>GENW2</vt:lpstr>
      <vt:lpstr>'EN-101c'!GWAERZH1</vt:lpstr>
      <vt:lpstr>GWAERZH1</vt:lpstr>
      <vt:lpstr>'EN-101c'!GWAERZH2</vt:lpstr>
      <vt:lpstr>GWAERZH2</vt:lpstr>
      <vt:lpstr>'EN-101c'!GWAERZW1</vt:lpstr>
      <vt:lpstr>GWAERZW1</vt:lpstr>
      <vt:lpstr>'EN-101c'!GWAERZW2</vt:lpstr>
      <vt:lpstr>GWAERZW2</vt:lpstr>
      <vt:lpstr>'EN-120-ZG'!Heizungsersatz_GEAK</vt:lpstr>
      <vt:lpstr>Heizungsersatz_GEAK</vt:lpstr>
      <vt:lpstr>Kanton</vt:lpstr>
      <vt:lpstr>KatI</vt:lpstr>
      <vt:lpstr>KatII</vt:lpstr>
      <vt:lpstr>KatIII</vt:lpstr>
      <vt:lpstr>KatIV</vt:lpstr>
      <vt:lpstr>Kontrollbeauftragter</vt:lpstr>
      <vt:lpstr>Kontrolle</vt:lpstr>
      <vt:lpstr>Name_Kontr</vt:lpstr>
      <vt:lpstr>NW_PVBeteiligung</vt:lpstr>
      <vt:lpstr>PVCHFErsatzabgabe_104</vt:lpstr>
      <vt:lpstr>PVCHFErsatzabgabe_204_LU</vt:lpstr>
      <vt:lpstr>PVErsatzabgabe_104</vt:lpstr>
      <vt:lpstr>PVErsatzabgabe_204_LU</vt:lpstr>
      <vt:lpstr>PVErsatzabgabe_EN101c</vt:lpstr>
      <vt:lpstr>Resultat_Beilagen</vt:lpstr>
      <vt:lpstr>Resultat_Kontrolle</vt:lpstr>
      <vt:lpstr>Resultat_Nachweise</vt:lpstr>
      <vt:lpstr>SL</vt:lpstr>
      <vt:lpstr>SLG_Hauptnutzung</vt:lpstr>
      <vt:lpstr>'EN-120-ZG'!SZBiogas</vt:lpstr>
      <vt:lpstr>SZBiogas</vt:lpstr>
      <vt:lpstr>Unterlagen_101a</vt:lpstr>
      <vt:lpstr>Unterlagen_101b</vt:lpstr>
      <vt:lpstr>Unterlagen_101c</vt:lpstr>
      <vt:lpstr>Unterlagen_102aN</vt:lpstr>
      <vt:lpstr>Unterlagen_102aU</vt:lpstr>
      <vt:lpstr>Unterlagen_102b</vt:lpstr>
      <vt:lpstr>Unterlagen_103</vt:lpstr>
      <vt:lpstr>Unterlagen_104</vt:lpstr>
      <vt:lpstr>Unterlagen_105</vt:lpstr>
      <vt:lpstr>Unterlagen_110</vt:lpstr>
      <vt:lpstr>Unterlagen_111</vt:lpstr>
      <vt:lpstr>Unterlagen_112</vt:lpstr>
      <vt:lpstr>Unterlagen_120</vt:lpstr>
      <vt:lpstr>'EN-120-ZG'!Unterlagen_120_ZG</vt:lpstr>
      <vt:lpstr>Unterlagen_130</vt:lpstr>
      <vt:lpstr>Unterlagen_131</vt:lpstr>
      <vt:lpstr>Unterlagen_132</vt:lpstr>
      <vt:lpstr>Unterlagen_133</vt:lpstr>
      <vt:lpstr>Unterlagen_134</vt:lpstr>
      <vt:lpstr>Erläuterungen!Unterlagen_135</vt:lpstr>
      <vt:lpstr>Unterlagen_135</vt:lpstr>
      <vt:lpstr>'EN-204-LU'!Unterlagen_204_LU</vt:lpstr>
      <vt:lpstr>Unterlagen_BA</vt:lpstr>
      <vt:lpstr>v_LuftMax</vt:lpstr>
      <vt:lpstr>Verfasser1</vt:lpstr>
      <vt:lpstr>Verfasser2</vt:lpstr>
      <vt:lpstr>Verfasser3</vt:lpstr>
      <vt:lpstr>Wärmeerzeuger1</vt:lpstr>
      <vt:lpstr>Wärmeerzeuger2</vt:lpstr>
      <vt:lpstr>WeitereAuflagen</vt:lpstr>
      <vt:lpstr>Wohnnutzung</vt:lpstr>
      <vt:lpstr>WZ1_Gebäude</vt:lpstr>
      <vt:lpstr>WZ1_Versorgung</vt:lpstr>
      <vt:lpstr>WZ1_Zweck</vt:lpstr>
      <vt:lpstr>WZ2_Gebäude</vt:lpstr>
      <vt:lpstr>WZ2_Zweck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Office-Anwender</dc:creator>
  <cp:keywords/>
  <dc:description/>
  <cp:lastModifiedBy>Wobmann Daniel</cp:lastModifiedBy>
  <cp:lastPrinted>2025-04-17T08:56:38Z</cp:lastPrinted>
  <dcterms:created xsi:type="dcterms:W3CDTF">2018-03-02T15:42:56Z</dcterms:created>
  <dcterms:modified xsi:type="dcterms:W3CDTF">2025-07-28T09:52:28Z</dcterms:modified>
  <cp:category/>
  <cp:contentStatus/>
</cp:coreProperties>
</file>