
<file path=[Content_Types].xml><?xml version="1.0" encoding="utf-8"?>
<Types xmlns="http://schemas.openxmlformats.org/package/2006/content-types">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L:\Auftrag\OKW\22'994 Regionalkonferenz EnFK\02 Homepage-Newsletter\Hinterlegte Dokumente auf Homepage\Fachliteratur\"/>
    </mc:Choice>
  </mc:AlternateContent>
  <xr:revisionPtr revIDLastSave="0" documentId="8_{FBA26005-7F0C-4B3C-9C71-5632D201E98D}" xr6:coauthVersionLast="45" xr6:coauthVersionMax="45" xr10:uidLastSave="{00000000-0000-0000-0000-000000000000}"/>
  <bookViews>
    <workbookView xWindow="29535" yWindow="735" windowWidth="26685" windowHeight="14085" tabRatio="717" firstSheet="1" activeTab="1" xr2:uid="{00000000-000D-0000-FFFF-FFFF00000000}"/>
  </bookViews>
  <sheets>
    <sheet name="X" sheetId="7" state="hidden" r:id="rId1"/>
    <sheet name="1 System specification" sheetId="2" r:id="rId2"/>
    <sheet name="2A Electricity regular" sheetId="9" r:id="rId3"/>
    <sheet name="2B Electricity simplified" sheetId="3" r:id="rId4"/>
    <sheet name="3 TEWI" sheetId="4" r:id="rId5"/>
    <sheet name="4 Economics" sheetId="5" r:id="rId6"/>
    <sheet name="5 Result" sheetId="6" r:id="rId7"/>
  </sheets>
  <definedNames>
    <definedName name="_xlnm.Print_Area" localSheetId="1">'1 System specification'!$B$10:$BE$85</definedName>
    <definedName name="_xlnm.Print_Area" localSheetId="2">'2A Electricity regular'!$B$6:$BJ$286</definedName>
    <definedName name="_xlnm.Print_Area" localSheetId="3">'2B Electricity simplified'!$B$9:$BJ$159</definedName>
    <definedName name="_xlnm.Print_Area" localSheetId="4">'3 TEWI'!$B$8:$BH$156</definedName>
    <definedName name="_xlnm.Print_Area" localSheetId="5">'4 Economics'!$B$6:$BH$155</definedName>
    <definedName name="_xlnm.Print_Area" localSheetId="6">'5 Result'!$A$10:$BI$97</definedName>
    <definedName name="_xlnm.Print_Titles" localSheetId="2">'2A Electricity regular'!$17:$20</definedName>
    <definedName name="_xlnm.Print_Titles" localSheetId="3">'2B Electricity simplified'!$18:$21</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8" i="6" l="1"/>
  <c r="Q17" i="5"/>
  <c r="Q17" i="4"/>
  <c r="Q19" i="3"/>
  <c r="Q18" i="9"/>
  <c r="D6" i="9" l="1"/>
  <c r="BG648" i="9"/>
  <c r="AI648" i="9"/>
  <c r="Q21" i="2" l="1"/>
  <c r="W21" i="2"/>
  <c r="C21" i="2"/>
  <c r="BJ206" i="2" l="1"/>
  <c r="BJ205" i="2"/>
  <c r="S206" i="2"/>
  <c r="S205" i="2"/>
  <c r="S204" i="2"/>
  <c r="BJ204" i="2" s="1"/>
  <c r="E52" i="2"/>
  <c r="BJ203" i="2"/>
  <c r="AQ684" i="9"/>
  <c r="Z684" i="9"/>
  <c r="AS501" i="9"/>
  <c r="U501" i="9"/>
  <c r="C497" i="9"/>
  <c r="BE499" i="9"/>
  <c r="BA499" i="9"/>
  <c r="AW499" i="9"/>
  <c r="AS499" i="9"/>
  <c r="BE498" i="9"/>
  <c r="BA498" i="9"/>
  <c r="AW498" i="9"/>
  <c r="AS498" i="9"/>
  <c r="D399" i="9"/>
  <c r="L174" i="9" l="1"/>
  <c r="BV174" i="9"/>
  <c r="T197" i="5" l="1"/>
  <c r="T198" i="5"/>
  <c r="T199" i="5"/>
  <c r="T200" i="5"/>
  <c r="T201" i="5"/>
  <c r="T202" i="5"/>
  <c r="T196" i="5"/>
  <c r="AR161" i="5"/>
  <c r="AR160" i="5"/>
  <c r="N48" i="5" l="1"/>
  <c r="AA192" i="5" s="1"/>
  <c r="Z39" i="5" l="1"/>
  <c r="BM24" i="4"/>
  <c r="BX169" i="2" l="1"/>
  <c r="BQ169" i="2"/>
  <c r="AG169" i="2"/>
  <c r="Z169" i="2"/>
  <c r="S176" i="2"/>
  <c r="BJ176" i="2" s="1"/>
  <c r="W150" i="2"/>
  <c r="AH150" i="2"/>
  <c r="AT150" i="2"/>
  <c r="AT149" i="2"/>
  <c r="AH149" i="2"/>
  <c r="BQ171" i="2"/>
  <c r="Z171" i="2"/>
  <c r="AR60" i="6"/>
  <c r="Z60" i="6"/>
  <c r="T60" i="6"/>
  <c r="T71" i="6"/>
  <c r="S190" i="2"/>
  <c r="AZ106" i="2"/>
  <c r="AZ105" i="2"/>
  <c r="AZ104" i="2"/>
  <c r="BJ183" i="2"/>
  <c r="S183" i="2"/>
  <c r="AZ107" i="2" l="1"/>
  <c r="J359" i="4"/>
  <c r="J320" i="4"/>
  <c r="T367" i="4"/>
  <c r="AA367" i="4"/>
  <c r="C260" i="4" l="1"/>
  <c r="C371" i="4" s="1"/>
  <c r="C261" i="4"/>
  <c r="C372" i="4" s="1"/>
  <c r="C262" i="4"/>
  <c r="C373" i="4" s="1"/>
  <c r="C263" i="4"/>
  <c r="C374" i="4" s="1"/>
  <c r="C264" i="4"/>
  <c r="C375" i="4" s="1"/>
  <c r="C265" i="4"/>
  <c r="C376" i="4" s="1"/>
  <c r="C266" i="4"/>
  <c r="C267" i="4"/>
  <c r="C378" i="4" s="1"/>
  <c r="C268" i="4"/>
  <c r="C379" i="4" s="1"/>
  <c r="C269" i="4"/>
  <c r="C380" i="4" s="1"/>
  <c r="C270" i="4"/>
  <c r="C381" i="4" s="1"/>
  <c r="C271" i="4"/>
  <c r="C382" i="4" s="1"/>
  <c r="C272" i="4"/>
  <c r="C383" i="4" s="1"/>
  <c r="C273" i="4"/>
  <c r="C384" i="4" s="1"/>
  <c r="C274" i="4"/>
  <c r="C385" i="4" s="1"/>
  <c r="C275" i="4"/>
  <c r="C276" i="4"/>
  <c r="C277" i="4"/>
  <c r="C278" i="4"/>
  <c r="C279" i="4"/>
  <c r="C390" i="4" s="1"/>
  <c r="C280" i="4"/>
  <c r="C391" i="4" s="1"/>
  <c r="C281" i="4"/>
  <c r="C392" i="4" s="1"/>
  <c r="C259" i="4"/>
  <c r="C370" i="4" s="1"/>
  <c r="AE276" i="4"/>
  <c r="AD276" i="4"/>
  <c r="AC276" i="4"/>
  <c r="AB276" i="4"/>
  <c r="AE275" i="4"/>
  <c r="AD275" i="4"/>
  <c r="AC275" i="4"/>
  <c r="AB275" i="4"/>
  <c r="C332" i="4"/>
  <c r="C352" i="4" l="1"/>
  <c r="C305" i="4"/>
  <c r="C387" i="4"/>
  <c r="C307" i="4"/>
  <c r="C389" i="4"/>
  <c r="C304" i="4"/>
  <c r="C386" i="4"/>
  <c r="C295" i="4"/>
  <c r="C377" i="4"/>
  <c r="C349" i="4"/>
  <c r="C388" i="4"/>
  <c r="C289" i="4"/>
  <c r="C338" i="4"/>
  <c r="C306" i="4"/>
  <c r="C288" i="4"/>
  <c r="C331" i="4"/>
  <c r="C342" i="4"/>
  <c r="C299" i="4"/>
  <c r="C335" i="4"/>
  <c r="C292" i="4"/>
  <c r="C334" i="4"/>
  <c r="C291" i="4"/>
  <c r="C337" i="4"/>
  <c r="C294" i="4"/>
  <c r="C293" i="4"/>
  <c r="C336" i="4"/>
  <c r="C351" i="4"/>
  <c r="C308" i="4"/>
  <c r="C303" i="4"/>
  <c r="C346" i="4"/>
  <c r="C296" i="4"/>
  <c r="C339" i="4"/>
  <c r="C340" i="4"/>
  <c r="C297" i="4"/>
  <c r="C301" i="4"/>
  <c r="C344" i="4"/>
  <c r="C333" i="4"/>
  <c r="C290" i="4"/>
  <c r="C341" i="4"/>
  <c r="C298" i="4"/>
  <c r="C343" i="4"/>
  <c r="C300" i="4"/>
  <c r="C348" i="4"/>
  <c r="C345" i="4"/>
  <c r="C302" i="4"/>
  <c r="C350" i="4"/>
  <c r="C347" i="4"/>
  <c r="C309" i="4"/>
  <c r="C310" i="4"/>
  <c r="C353" i="4"/>
  <c r="BJ185" i="2"/>
  <c r="BJ184" i="2"/>
  <c r="S185" i="2"/>
  <c r="C407" i="3"/>
  <c r="C408" i="3"/>
  <c r="C409" i="3"/>
  <c r="C410" i="3"/>
  <c r="C411" i="3"/>
  <c r="C412" i="3"/>
  <c r="C413" i="3"/>
  <c r="C414" i="3"/>
  <c r="C415" i="3"/>
  <c r="C416" i="3"/>
  <c r="C417" i="3"/>
  <c r="C418" i="3"/>
  <c r="C419" i="3"/>
  <c r="C420" i="3"/>
  <c r="C421" i="3"/>
  <c r="C422" i="3"/>
  <c r="C423" i="3"/>
  <c r="C424" i="3"/>
  <c r="C425" i="3"/>
  <c r="C426" i="3"/>
  <c r="C427" i="3"/>
  <c r="C428" i="3"/>
  <c r="C406" i="3"/>
  <c r="BX59" i="3"/>
  <c r="BS59" i="3" s="1"/>
  <c r="BW59" i="3"/>
  <c r="BR59" i="3" s="1"/>
  <c r="BV59" i="3"/>
  <c r="BQ59" i="3" s="1"/>
  <c r="S184" i="2"/>
  <c r="BJ182" i="2"/>
  <c r="BX105" i="3"/>
  <c r="BW105" i="3"/>
  <c r="BV105" i="3"/>
  <c r="BQ105" i="3" s="1"/>
  <c r="N276" i="9" l="1"/>
  <c r="M276" i="9"/>
  <c r="L276" i="9"/>
  <c r="K276" i="9"/>
  <c r="J276" i="9"/>
  <c r="I276" i="9"/>
  <c r="H276" i="9"/>
  <c r="G276" i="9"/>
  <c r="F276" i="9"/>
  <c r="E276" i="9"/>
  <c r="N270" i="9"/>
  <c r="M270" i="9"/>
  <c r="L270" i="9"/>
  <c r="K270" i="9"/>
  <c r="J270" i="9"/>
  <c r="I270" i="9"/>
  <c r="H270" i="9"/>
  <c r="G270" i="9"/>
  <c r="F270" i="9"/>
  <c r="E270" i="9"/>
  <c r="N264" i="9"/>
  <c r="M264" i="9"/>
  <c r="L264" i="9"/>
  <c r="K264" i="9"/>
  <c r="J264" i="9"/>
  <c r="I264" i="9"/>
  <c r="H264" i="9"/>
  <c r="G264" i="9"/>
  <c r="F264" i="9"/>
  <c r="E264" i="9"/>
  <c r="D330" i="9"/>
  <c r="D329" i="9"/>
  <c r="D398" i="9" s="1"/>
  <c r="AY807" i="9" l="1"/>
  <c r="AU806" i="9"/>
  <c r="AP850" i="9"/>
  <c r="BB851" i="9"/>
  <c r="BB877" i="9" s="1"/>
  <c r="AX851" i="9"/>
  <c r="AX877" i="9" s="1"/>
  <c r="AT851" i="9"/>
  <c r="AT877" i="9" s="1"/>
  <c r="AP851" i="9"/>
  <c r="AP877" i="9" s="1"/>
  <c r="BC791" i="9"/>
  <c r="BC792" i="9" s="1"/>
  <c r="AY791" i="9"/>
  <c r="AY792" i="9" s="1"/>
  <c r="AU791" i="9"/>
  <c r="AU792" i="9" s="1"/>
  <c r="AQ791" i="9"/>
  <c r="AQ792" i="9" s="1"/>
  <c r="AQ784" i="9"/>
  <c r="AU784" i="9" s="1"/>
  <c r="AY784" i="9" s="1"/>
  <c r="BC784" i="9" s="1"/>
  <c r="BC783" i="9"/>
  <c r="AY783" i="9"/>
  <c r="AU783" i="9"/>
  <c r="AQ783" i="9"/>
  <c r="AP852" i="9" l="1"/>
  <c r="AP855" i="9" s="1"/>
  <c r="AP876" i="9"/>
  <c r="AT850" i="9"/>
  <c r="AT876" i="9" s="1"/>
  <c r="AY786" i="9"/>
  <c r="AY787" i="9" s="1"/>
  <c r="AX850" i="9"/>
  <c r="BB850" i="9"/>
  <c r="AQ786" i="9"/>
  <c r="AQ787" i="9" s="1"/>
  <c r="AU786" i="9"/>
  <c r="AU787" i="9" s="1"/>
  <c r="BC786" i="9"/>
  <c r="BC787" i="9" s="1"/>
  <c r="AT878" i="9" l="1"/>
  <c r="AT881" i="9" s="1"/>
  <c r="AP878" i="9"/>
  <c r="AP881" i="9" s="1"/>
  <c r="AX852" i="9"/>
  <c r="AX855" i="9" s="1"/>
  <c r="AX876" i="9"/>
  <c r="BB852" i="9"/>
  <c r="BB855" i="9" s="1"/>
  <c r="BB876" i="9"/>
  <c r="AT852" i="9"/>
  <c r="BG850" i="9"/>
  <c r="AX878" i="9" l="1"/>
  <c r="AX881" i="9" s="1"/>
  <c r="BB878" i="9"/>
  <c r="BB881" i="9" s="1"/>
  <c r="AT855" i="9"/>
  <c r="BG852" i="9"/>
  <c r="AD851" i="9" l="1"/>
  <c r="AD877" i="9" s="1"/>
  <c r="Z851" i="9"/>
  <c r="Z877" i="9" s="1"/>
  <c r="V851" i="9"/>
  <c r="V877" i="9" s="1"/>
  <c r="R851" i="9"/>
  <c r="R877" i="9" s="1"/>
  <c r="R850" i="9"/>
  <c r="AE791" i="9"/>
  <c r="AA791" i="9"/>
  <c r="W791" i="9"/>
  <c r="S791" i="9"/>
  <c r="R876" i="9" l="1"/>
  <c r="R852" i="9"/>
  <c r="AD850" i="9"/>
  <c r="Z850" i="9"/>
  <c r="V850" i="9"/>
  <c r="C909" i="9"/>
  <c r="C910" i="9"/>
  <c r="C911" i="9"/>
  <c r="C912" i="9"/>
  <c r="C913" i="9"/>
  <c r="C914" i="9"/>
  <c r="C915" i="9"/>
  <c r="C916" i="9"/>
  <c r="C917" i="9"/>
  <c r="C918" i="9"/>
  <c r="C919" i="9"/>
  <c r="C920" i="9"/>
  <c r="C921" i="9"/>
  <c r="C922" i="9"/>
  <c r="C923" i="9"/>
  <c r="C924" i="9"/>
  <c r="C925" i="9"/>
  <c r="C926" i="9"/>
  <c r="C927" i="9"/>
  <c r="C928" i="9"/>
  <c r="C929" i="9"/>
  <c r="C930" i="9"/>
  <c r="C908" i="9"/>
  <c r="BX52" i="9"/>
  <c r="BS52" i="9" s="1"/>
  <c r="BW52" i="9"/>
  <c r="BR52" i="9" s="1"/>
  <c r="BV52" i="9"/>
  <c r="BQ52" i="9" s="1"/>
  <c r="AI850" i="9" l="1"/>
  <c r="R878" i="9"/>
  <c r="R881" i="9" s="1"/>
  <c r="AD852" i="9"/>
  <c r="AD855" i="9" s="1"/>
  <c r="V852" i="9"/>
  <c r="V855" i="9" s="1"/>
  <c r="Z852" i="9"/>
  <c r="Z855" i="9" s="1"/>
  <c r="R855" i="9"/>
  <c r="AD876" i="9"/>
  <c r="Z876" i="9"/>
  <c r="V876" i="9"/>
  <c r="Z878" i="9" l="1"/>
  <c r="Z881" i="9" s="1"/>
  <c r="AD878" i="9"/>
  <c r="AD881" i="9" s="1"/>
  <c r="V878" i="9"/>
  <c r="V881" i="9" s="1"/>
  <c r="AI852" i="9"/>
  <c r="X192" i="5" l="1"/>
  <c r="AA413" i="4"/>
  <c r="AA807" i="9"/>
  <c r="W806" i="9"/>
  <c r="J822" i="9"/>
  <c r="M815" i="9" s="1"/>
  <c r="Z819" i="9"/>
  <c r="Z820" i="9"/>
  <c r="Z818" i="9"/>
  <c r="V816" i="9"/>
  <c r="V817" i="9"/>
  <c r="V815" i="9"/>
  <c r="R813" i="9"/>
  <c r="R814" i="9"/>
  <c r="R812" i="9"/>
  <c r="AD821" i="9"/>
  <c r="AD811" i="9"/>
  <c r="AD810" i="9"/>
  <c r="AD822" i="9" l="1"/>
  <c r="R822" i="9"/>
  <c r="Z822" i="9"/>
  <c r="V822" i="9"/>
  <c r="M812" i="9"/>
  <c r="M820" i="9"/>
  <c r="M816" i="9"/>
  <c r="M810" i="9"/>
  <c r="M811" i="9"/>
  <c r="M813" i="9"/>
  <c r="M821" i="9"/>
  <c r="M822" i="9"/>
  <c r="M817" i="9"/>
  <c r="M818" i="9"/>
  <c r="M819" i="9"/>
  <c r="M814" i="9"/>
  <c r="X822" i="9" l="1"/>
  <c r="AV822" i="9" s="1"/>
  <c r="AT822" i="9"/>
  <c r="AB822" i="9"/>
  <c r="AZ822" i="9" s="1"/>
  <c r="AX822" i="9"/>
  <c r="T822" i="9"/>
  <c r="AR822" i="9" s="1"/>
  <c r="AP822" i="9"/>
  <c r="AF822" i="9"/>
  <c r="BD822" i="9" s="1"/>
  <c r="BB822" i="9"/>
  <c r="AE792" i="9"/>
  <c r="AA792" i="9"/>
  <c r="W792" i="9"/>
  <c r="S792" i="9"/>
  <c r="AE783" i="9"/>
  <c r="AA783" i="9"/>
  <c r="W783" i="9"/>
  <c r="S784" i="9"/>
  <c r="W784" i="9" s="1"/>
  <c r="AA784" i="9" s="1"/>
  <c r="AE784" i="9" s="1"/>
  <c r="S783" i="9"/>
  <c r="Q793" i="9" l="1"/>
  <c r="S793" i="9" s="1"/>
  <c r="S794" i="9" s="1"/>
  <c r="W786" i="9"/>
  <c r="W787" i="9" s="1"/>
  <c r="AE786" i="9"/>
  <c r="AE787" i="9" s="1"/>
  <c r="S786" i="9"/>
  <c r="S787" i="9" s="1"/>
  <c r="AA786" i="9"/>
  <c r="AA787" i="9" s="1"/>
  <c r="AU793" i="9" l="1"/>
  <c r="AU794" i="9" s="1"/>
  <c r="AQ793" i="9"/>
  <c r="AQ794" i="9" s="1"/>
  <c r="BC793" i="9"/>
  <c r="BC794" i="9" s="1"/>
  <c r="AY793" i="9"/>
  <c r="AY794" i="9" s="1"/>
  <c r="Q788" i="9"/>
  <c r="AA788" i="9" s="1"/>
  <c r="AA789" i="9" s="1"/>
  <c r="W793" i="9"/>
  <c r="W794" i="9" s="1"/>
  <c r="AE793" i="9"/>
  <c r="AE794" i="9" s="1"/>
  <c r="AA793" i="9"/>
  <c r="AA794" i="9" s="1"/>
  <c r="W788" i="9" l="1"/>
  <c r="W789" i="9" s="1"/>
  <c r="S788" i="9"/>
  <c r="S789" i="9" s="1"/>
  <c r="AE788" i="9"/>
  <c r="AE789" i="9" s="1"/>
  <c r="AQ788" i="9"/>
  <c r="AQ789" i="9" s="1"/>
  <c r="AY788" i="9"/>
  <c r="AY789" i="9" s="1"/>
  <c r="AU788" i="9"/>
  <c r="AU789" i="9" s="1"/>
  <c r="BC788" i="9"/>
  <c r="BC789" i="9" s="1"/>
  <c r="AR39" i="5"/>
  <c r="AG410" i="4"/>
  <c r="AM192" i="5" l="1"/>
  <c r="AY192" i="5" l="1"/>
  <c r="AG192" i="5"/>
  <c r="AS192" i="5" l="1"/>
  <c r="Z115" i="4" l="1"/>
  <c r="AQ685" i="9" l="1"/>
  <c r="Z685" i="9"/>
  <c r="AK459" i="9"/>
  <c r="BI459" i="9" s="1"/>
  <c r="AK458" i="9"/>
  <c r="BI458" i="9" s="1"/>
  <c r="S166" i="9" l="1"/>
  <c r="Z683" i="9" l="1"/>
  <c r="F696" i="9"/>
  <c r="F703" i="9" s="1"/>
  <c r="AQ683" i="9" l="1"/>
  <c r="F713" i="9"/>
  <c r="F720" i="9" l="1"/>
  <c r="F730" i="9"/>
  <c r="W583" i="9"/>
  <c r="V583" i="9"/>
  <c r="U583" i="9"/>
  <c r="W582" i="9"/>
  <c r="V582" i="9"/>
  <c r="U582" i="9"/>
  <c r="W581" i="9"/>
  <c r="V581" i="9"/>
  <c r="U581" i="9"/>
  <c r="W580" i="9"/>
  <c r="V580" i="9"/>
  <c r="U580" i="9"/>
  <c r="W579" i="9"/>
  <c r="V579" i="9"/>
  <c r="U579" i="9"/>
  <c r="W578" i="9"/>
  <c r="V578" i="9"/>
  <c r="U578" i="9"/>
  <c r="W577" i="9"/>
  <c r="V577" i="9"/>
  <c r="U577" i="9"/>
  <c r="W574" i="9"/>
  <c r="V574" i="9"/>
  <c r="U574" i="9"/>
  <c r="W573" i="9"/>
  <c r="V573" i="9"/>
  <c r="U573" i="9"/>
  <c r="W572" i="9"/>
  <c r="V572" i="9"/>
  <c r="U572" i="9"/>
  <c r="W571" i="9"/>
  <c r="V571" i="9"/>
  <c r="U571" i="9"/>
  <c r="W570" i="9"/>
  <c r="V570" i="9"/>
  <c r="U570" i="9"/>
  <c r="W569" i="9"/>
  <c r="V569" i="9"/>
  <c r="U569" i="9"/>
  <c r="W568" i="9"/>
  <c r="V568" i="9"/>
  <c r="U568" i="9"/>
  <c r="W565" i="9"/>
  <c r="V565" i="9"/>
  <c r="U565" i="9"/>
  <c r="W564" i="9"/>
  <c r="V564" i="9"/>
  <c r="U564" i="9"/>
  <c r="W563" i="9"/>
  <c r="V563" i="9"/>
  <c r="U563" i="9"/>
  <c r="W562" i="9"/>
  <c r="V562" i="9"/>
  <c r="U562" i="9"/>
  <c r="W561" i="9"/>
  <c r="V561" i="9"/>
  <c r="U561" i="9"/>
  <c r="W560" i="9"/>
  <c r="V560" i="9"/>
  <c r="U560" i="9"/>
  <c r="W559" i="9"/>
  <c r="V559" i="9"/>
  <c r="U559" i="9"/>
  <c r="W380" i="3"/>
  <c r="V380" i="3"/>
  <c r="U380" i="3"/>
  <c r="W371" i="3"/>
  <c r="V371" i="3"/>
  <c r="U371" i="3"/>
  <c r="W362" i="3"/>
  <c r="V362" i="3"/>
  <c r="U362" i="3"/>
  <c r="U352" i="3"/>
  <c r="V352" i="3"/>
  <c r="W352" i="3"/>
  <c r="F737" i="9" l="1"/>
  <c r="F747" i="9"/>
  <c r="F754" i="9" s="1"/>
  <c r="U551" i="9"/>
  <c r="V551" i="9"/>
  <c r="W551" i="9"/>
  <c r="W555" i="9"/>
  <c r="V555" i="9"/>
  <c r="U555" i="9"/>
  <c r="W554" i="9"/>
  <c r="V554" i="9"/>
  <c r="U554" i="9"/>
  <c r="W553" i="9"/>
  <c r="V553" i="9"/>
  <c r="U553" i="9"/>
  <c r="W552" i="9"/>
  <c r="V552" i="9"/>
  <c r="U552" i="9"/>
  <c r="U550" i="9"/>
  <c r="V550" i="9"/>
  <c r="W550" i="9"/>
  <c r="C12" i="7" l="1"/>
  <c r="AS96" i="4"/>
  <c r="Z90" i="4"/>
  <c r="Y42" i="4" s="1"/>
  <c r="Z94" i="4"/>
  <c r="AG225" i="4"/>
  <c r="BJ155" i="2"/>
  <c r="U96" i="2"/>
  <c r="Z96" i="4"/>
  <c r="AZ225" i="4"/>
  <c r="A453" i="7"/>
  <c r="A452" i="7"/>
  <c r="A451" i="7"/>
  <c r="A450" i="7"/>
  <c r="A449" i="7"/>
  <c r="E458" i="7"/>
  <c r="C458" i="7" s="1"/>
  <c r="S668" i="9"/>
  <c r="Z174" i="5"/>
  <c r="Z171" i="5"/>
  <c r="Z69" i="5"/>
  <c r="D93" i="2"/>
  <c r="D91" i="2"/>
  <c r="D92" i="2"/>
  <c r="H670" i="9"/>
  <c r="H674" i="9" s="1"/>
  <c r="BC668" i="9"/>
  <c r="AY668" i="9"/>
  <c r="AU668" i="9"/>
  <c r="AQ668" i="9"/>
  <c r="AE668" i="9"/>
  <c r="AA668" i="9"/>
  <c r="W668" i="9"/>
  <c r="BG103" i="3"/>
  <c r="BG220" i="3" s="1"/>
  <c r="AY234" i="3" s="1"/>
  <c r="AI172" i="3"/>
  <c r="AI173" i="3"/>
  <c r="AI218" i="3" s="1"/>
  <c r="AI182" i="3"/>
  <c r="S393" i="3"/>
  <c r="W393" i="3"/>
  <c r="AA393" i="3"/>
  <c r="AY393" i="3" s="1"/>
  <c r="AE393" i="3"/>
  <c r="BC393" i="3" s="1"/>
  <c r="C602" i="9"/>
  <c r="G609" i="9" s="1"/>
  <c r="AQ611" i="9"/>
  <c r="AU611" i="9"/>
  <c r="AY611" i="9"/>
  <c r="BC611" i="9"/>
  <c r="S611" i="9"/>
  <c r="W611" i="9"/>
  <c r="AA611" i="9"/>
  <c r="AE611" i="9"/>
  <c r="BC148" i="9"/>
  <c r="AQ622" i="9"/>
  <c r="AU622" i="9"/>
  <c r="AY622" i="9"/>
  <c r="BC622" i="9"/>
  <c r="BC640" i="9" s="1"/>
  <c r="BC166" i="9"/>
  <c r="BC167" i="9"/>
  <c r="AY148" i="9"/>
  <c r="AY166" i="9"/>
  <c r="AY167" i="9"/>
  <c r="AU148" i="9"/>
  <c r="AU166" i="9"/>
  <c r="AU167" i="9"/>
  <c r="AQ148" i="9"/>
  <c r="AQ383" i="9" s="1"/>
  <c r="AQ166" i="9"/>
  <c r="AQ167" i="9"/>
  <c r="AR91" i="6"/>
  <c r="Z91" i="6"/>
  <c r="AQ160" i="9"/>
  <c r="AU160" i="9"/>
  <c r="AY160" i="9"/>
  <c r="BC160" i="9"/>
  <c r="S160" i="9"/>
  <c r="S148" i="9"/>
  <c r="S622" i="9"/>
  <c r="S640" i="9" s="1"/>
  <c r="W622" i="9"/>
  <c r="W640" i="9" s="1"/>
  <c r="AA622" i="9"/>
  <c r="AA640" i="9" s="1"/>
  <c r="AE622" i="9"/>
  <c r="W160" i="9"/>
  <c r="W302" i="9" s="1"/>
  <c r="W148" i="9"/>
  <c r="W383" i="9" s="1"/>
  <c r="AA160" i="9"/>
  <c r="AA302" i="9" s="1"/>
  <c r="AA148" i="9"/>
  <c r="AE160" i="9"/>
  <c r="AE148" i="9"/>
  <c r="AE383" i="9" s="1"/>
  <c r="S598" i="9"/>
  <c r="W598" i="9"/>
  <c r="AA598" i="9"/>
  <c r="AE598" i="9"/>
  <c r="U516" i="9"/>
  <c r="S343" i="9"/>
  <c r="U526" i="9"/>
  <c r="S344" i="9"/>
  <c r="U536" i="9"/>
  <c r="S345" i="9"/>
  <c r="U461" i="9"/>
  <c r="S326" i="9"/>
  <c r="U471" i="9"/>
  <c r="S327" i="9"/>
  <c r="U481" i="9"/>
  <c r="S328" i="9"/>
  <c r="U491" i="9"/>
  <c r="S329" i="9"/>
  <c r="AS461" i="9"/>
  <c r="AS458" i="9"/>
  <c r="AW458" i="9"/>
  <c r="BA458" i="9"/>
  <c r="BE458" i="9"/>
  <c r="AQ395" i="9"/>
  <c r="AS471" i="9"/>
  <c r="AS468" i="9"/>
  <c r="AW468" i="9"/>
  <c r="BA468" i="9"/>
  <c r="BE468" i="9"/>
  <c r="AQ396" i="9"/>
  <c r="AS478" i="9"/>
  <c r="AS481" i="9"/>
  <c r="AW478" i="9"/>
  <c r="BA478" i="9"/>
  <c r="BE478" i="9"/>
  <c r="AQ397" i="9"/>
  <c r="AS488" i="9"/>
  <c r="AS491" i="9"/>
  <c r="AW488" i="9"/>
  <c r="BA488" i="9"/>
  <c r="BE488" i="9"/>
  <c r="AQ398" i="9"/>
  <c r="AS513" i="9"/>
  <c r="AS516" i="9"/>
  <c r="AW513" i="9"/>
  <c r="BA513" i="9"/>
  <c r="BE513" i="9"/>
  <c r="AQ412" i="9"/>
  <c r="AS526" i="9"/>
  <c r="AS523" i="9"/>
  <c r="AW523" i="9"/>
  <c r="BA523" i="9"/>
  <c r="BE523" i="9"/>
  <c r="AQ413" i="9"/>
  <c r="AS533" i="9"/>
  <c r="AS536" i="9"/>
  <c r="AW533" i="9"/>
  <c r="BA533" i="9"/>
  <c r="BE533" i="9"/>
  <c r="AQ414" i="9"/>
  <c r="BG172" i="3"/>
  <c r="BG173" i="3"/>
  <c r="BG218" i="3" s="1"/>
  <c r="AS284" i="3"/>
  <c r="AS281" i="3"/>
  <c r="AW281" i="3"/>
  <c r="BA281" i="3"/>
  <c r="BE281" i="3"/>
  <c r="AQ188" i="3"/>
  <c r="AS294" i="3"/>
  <c r="AS291" i="3"/>
  <c r="AW291" i="3"/>
  <c r="BA291" i="3"/>
  <c r="BE291" i="3"/>
  <c r="AQ189" i="3"/>
  <c r="AS304" i="3"/>
  <c r="AS301" i="3"/>
  <c r="AW301" i="3"/>
  <c r="BA301" i="3"/>
  <c r="BE301" i="3"/>
  <c r="AQ190" i="3"/>
  <c r="AS311" i="3"/>
  <c r="AW311" i="3"/>
  <c r="BA311" i="3"/>
  <c r="BE311" i="3"/>
  <c r="AS326" i="3"/>
  <c r="AW326" i="3"/>
  <c r="BA326" i="3"/>
  <c r="BE326" i="3"/>
  <c r="AS336" i="3"/>
  <c r="AW336" i="3"/>
  <c r="BA336" i="3"/>
  <c r="BE336" i="3"/>
  <c r="BG182" i="3"/>
  <c r="BG227" i="3" s="1"/>
  <c r="BP164" i="2"/>
  <c r="S163" i="2"/>
  <c r="BJ163" i="2" s="1"/>
  <c r="S164" i="2"/>
  <c r="BJ164" i="2" s="1"/>
  <c r="S597" i="9"/>
  <c r="W597" i="9"/>
  <c r="AA597" i="9"/>
  <c r="AE597" i="9"/>
  <c r="C262" i="7"/>
  <c r="D184" i="5" s="1"/>
  <c r="C215" i="7"/>
  <c r="D183" i="5" s="1"/>
  <c r="CB23" i="5"/>
  <c r="CC23" i="5"/>
  <c r="CB37" i="5"/>
  <c r="CC37" i="5"/>
  <c r="CB39" i="5"/>
  <c r="CC39" i="5"/>
  <c r="CB42" i="5"/>
  <c r="CC42" i="5"/>
  <c r="CB41" i="5"/>
  <c r="CC41" i="5"/>
  <c r="CB43" i="5"/>
  <c r="CC43" i="5"/>
  <c r="CB45" i="5"/>
  <c r="CC45" i="5"/>
  <c r="CB66" i="5"/>
  <c r="CC66" i="5"/>
  <c r="CA23" i="5"/>
  <c r="BW23" i="4"/>
  <c r="BX23" i="4"/>
  <c r="BV23" i="4"/>
  <c r="BW38" i="4"/>
  <c r="BR38" i="4" s="1"/>
  <c r="BX38" i="4"/>
  <c r="BS38" i="4" s="1"/>
  <c r="BW23" i="9"/>
  <c r="BX23" i="9"/>
  <c r="BW25" i="9"/>
  <c r="BR25" i="9" s="1"/>
  <c r="BX25" i="9"/>
  <c r="BS25" i="9" s="1"/>
  <c r="BW29" i="9"/>
  <c r="BR29" i="9" s="1"/>
  <c r="BX29" i="9"/>
  <c r="BS29" i="9" s="1"/>
  <c r="BW31" i="9"/>
  <c r="BR31" i="9" s="1"/>
  <c r="BX31" i="9"/>
  <c r="BS31" i="9" s="1"/>
  <c r="BW50" i="9"/>
  <c r="BR50" i="9" s="1"/>
  <c r="BX50" i="9"/>
  <c r="BS50" i="9" s="1"/>
  <c r="BW72" i="9"/>
  <c r="BR72" i="9" s="1"/>
  <c r="BX72" i="9"/>
  <c r="BS72" i="9" s="1"/>
  <c r="BW80" i="9"/>
  <c r="BR80" i="9" s="1"/>
  <c r="BX80" i="9"/>
  <c r="BS80" i="9" s="1"/>
  <c r="BW126" i="9"/>
  <c r="BR126" i="9" s="1"/>
  <c r="BX126" i="9"/>
  <c r="BS126" i="9" s="1"/>
  <c r="BW128" i="9"/>
  <c r="BR128" i="9" s="1"/>
  <c r="BX128" i="9"/>
  <c r="BS128" i="9" s="1"/>
  <c r="BW162" i="9"/>
  <c r="BR162" i="9" s="1"/>
  <c r="BX162" i="9"/>
  <c r="BS162" i="9" s="1"/>
  <c r="BW178" i="9"/>
  <c r="BX178" i="9"/>
  <c r="BW182" i="9"/>
  <c r="BX182" i="9"/>
  <c r="BV23" i="9"/>
  <c r="BW25" i="3"/>
  <c r="BX25" i="3"/>
  <c r="BW27" i="3"/>
  <c r="BR27" i="3" s="1"/>
  <c r="BX27" i="3"/>
  <c r="BS27" i="3" s="1"/>
  <c r="BW29" i="3"/>
  <c r="BR29" i="3" s="1"/>
  <c r="BX29" i="3"/>
  <c r="BS29" i="3" s="1"/>
  <c r="BW31" i="3"/>
  <c r="BR31" i="3" s="1"/>
  <c r="BX31" i="3"/>
  <c r="BS31" i="3" s="1"/>
  <c r="BW45" i="3"/>
  <c r="BR45" i="3" s="1"/>
  <c r="BX45" i="3"/>
  <c r="BS45" i="3" s="1"/>
  <c r="BW48" i="3"/>
  <c r="BR48" i="3" s="1"/>
  <c r="BX48" i="3"/>
  <c r="BS48" i="3" s="1"/>
  <c r="BW57" i="3"/>
  <c r="BR57" i="3" s="1"/>
  <c r="BX57" i="3"/>
  <c r="BS57" i="3" s="1"/>
  <c r="BW70" i="3"/>
  <c r="BX70" i="3"/>
  <c r="BW75" i="3"/>
  <c r="BX75" i="3"/>
  <c r="BW77" i="3"/>
  <c r="BX77" i="3"/>
  <c r="BW103" i="3"/>
  <c r="BX103" i="3"/>
  <c r="BW107" i="3"/>
  <c r="BX107" i="3"/>
  <c r="BV25" i="3"/>
  <c r="CA66" i="5"/>
  <c r="BV66" i="5" s="1"/>
  <c r="CA45" i="5"/>
  <c r="BV45" i="5" s="1"/>
  <c r="CA43" i="5"/>
  <c r="BV43" i="5" s="1"/>
  <c r="CA41" i="5"/>
  <c r="BV41" i="5" s="1"/>
  <c r="CA42" i="5"/>
  <c r="BV42" i="5" s="1"/>
  <c r="CA39" i="5"/>
  <c r="BV39" i="5" s="1"/>
  <c r="CA37" i="5"/>
  <c r="BV37" i="5" s="1"/>
  <c r="BV38" i="4"/>
  <c r="BQ38" i="4" s="1"/>
  <c r="BV107" i="3"/>
  <c r="BQ107" i="3" s="1"/>
  <c r="BV103" i="3"/>
  <c r="BQ103" i="3" s="1"/>
  <c r="BV77" i="3"/>
  <c r="BQ77" i="3" s="1"/>
  <c r="BV75" i="3"/>
  <c r="BQ75" i="3" s="1"/>
  <c r="BV70" i="3"/>
  <c r="BQ70" i="3" s="1"/>
  <c r="BV57" i="3"/>
  <c r="BQ57" i="3" s="1"/>
  <c r="BV48" i="3"/>
  <c r="BQ48" i="3" s="1"/>
  <c r="BV45" i="3"/>
  <c r="BQ45" i="3" s="1"/>
  <c r="BV31" i="3"/>
  <c r="BQ31" i="3" s="1"/>
  <c r="BV29" i="3"/>
  <c r="BQ29" i="3" s="1"/>
  <c r="BV27" i="3"/>
  <c r="BQ27" i="3" s="1"/>
  <c r="BV182" i="9"/>
  <c r="BQ182" i="9" s="1"/>
  <c r="BV178" i="9"/>
  <c r="BQ178" i="9" s="1"/>
  <c r="BV162" i="9"/>
  <c r="BQ162" i="9" s="1"/>
  <c r="BV128" i="9"/>
  <c r="BQ128" i="9" s="1"/>
  <c r="BV126" i="9"/>
  <c r="BQ126" i="9" s="1"/>
  <c r="BV80" i="9"/>
  <c r="BQ80" i="9" s="1"/>
  <c r="BV72" i="9"/>
  <c r="BQ72" i="9" s="1"/>
  <c r="BV50" i="9"/>
  <c r="BQ50" i="9" s="1"/>
  <c r="BV31" i="9"/>
  <c r="BQ31" i="9" s="1"/>
  <c r="BV29" i="9"/>
  <c r="BQ29" i="9" s="1"/>
  <c r="BV25" i="9"/>
  <c r="BQ25" i="9" s="1"/>
  <c r="C114" i="7"/>
  <c r="R122" i="9" s="1"/>
  <c r="S300" i="9" s="1"/>
  <c r="G8" i="7"/>
  <c r="AO2" i="3" s="1"/>
  <c r="C25" i="7"/>
  <c r="C17" i="2" s="1"/>
  <c r="A448" i="7"/>
  <c r="A447" i="7"/>
  <c r="A446" i="7"/>
  <c r="A445" i="7"/>
  <c r="A444" i="7"/>
  <c r="A443" i="7"/>
  <c r="A442" i="7"/>
  <c r="A440" i="7"/>
  <c r="A439" i="7"/>
  <c r="A437" i="7"/>
  <c r="A436" i="7"/>
  <c r="A435" i="7"/>
  <c r="A434" i="7"/>
  <c r="A433" i="7"/>
  <c r="A432" i="7"/>
  <c r="A431" i="7"/>
  <c r="A430" i="7"/>
  <c r="A429" i="7"/>
  <c r="A428" i="7"/>
  <c r="A427" i="7"/>
  <c r="A425" i="7"/>
  <c r="A424" i="7"/>
  <c r="A422" i="7"/>
  <c r="A421" i="7"/>
  <c r="A420" i="7"/>
  <c r="A419" i="7"/>
  <c r="A418" i="7"/>
  <c r="A417" i="7"/>
  <c r="A416" i="7"/>
  <c r="A415" i="7"/>
  <c r="A414" i="7"/>
  <c r="A413" i="7"/>
  <c r="A412" i="7"/>
  <c r="A423" i="7"/>
  <c r="BR44" i="9"/>
  <c r="BS44" i="9"/>
  <c r="BR46" i="9"/>
  <c r="BS46" i="9"/>
  <c r="BR27" i="9"/>
  <c r="BS27" i="9"/>
  <c r="BQ46" i="9"/>
  <c r="BQ44" i="9"/>
  <c r="BQ27" i="9"/>
  <c r="C18" i="7"/>
  <c r="B14" i="9" s="1"/>
  <c r="C133" i="7"/>
  <c r="C157" i="7"/>
  <c r="D81" i="6" s="1"/>
  <c r="C99" i="7"/>
  <c r="D186" i="3" s="1"/>
  <c r="D231" i="3" s="1"/>
  <c r="C98" i="7"/>
  <c r="D198" i="3" s="1"/>
  <c r="D238" i="3" s="1"/>
  <c r="C102" i="7"/>
  <c r="D140" i="3" s="1"/>
  <c r="C103" i="7"/>
  <c r="D120" i="3" s="1"/>
  <c r="C16" i="7"/>
  <c r="C168" i="7"/>
  <c r="D87" i="6" s="1"/>
  <c r="C142" i="7"/>
  <c r="D53" i="3" s="1"/>
  <c r="C173" i="3" s="1"/>
  <c r="C218" i="3" s="1"/>
  <c r="C169" i="7"/>
  <c r="C143" i="7"/>
  <c r="C34" i="6" s="1"/>
  <c r="C170" i="7"/>
  <c r="C121" i="5" s="1"/>
  <c r="C144" i="7"/>
  <c r="D150" i="9" s="1"/>
  <c r="C132" i="7"/>
  <c r="C92" i="7"/>
  <c r="C114" i="4" s="1"/>
  <c r="C97" i="7"/>
  <c r="D75" i="6" s="1"/>
  <c r="C46" i="7"/>
  <c r="C237" i="7"/>
  <c r="D74" i="6" s="1"/>
  <c r="C232" i="7"/>
  <c r="C192" i="3" s="1"/>
  <c r="C128" i="7"/>
  <c r="C37" i="5" s="1"/>
  <c r="C87" i="7"/>
  <c r="C219" i="7"/>
  <c r="C206" i="7"/>
  <c r="W64" i="9" s="1"/>
  <c r="C270" i="7"/>
  <c r="C13" i="5" s="1"/>
  <c r="C268" i="7"/>
  <c r="C403" i="4" s="1"/>
  <c r="C91" i="7"/>
  <c r="D138" i="9" s="1"/>
  <c r="C67" i="7"/>
  <c r="D63" i="6" s="1"/>
  <c r="C167" i="7"/>
  <c r="D62" i="6" s="1"/>
  <c r="C140" i="7"/>
  <c r="D302" i="9" s="1"/>
  <c r="D370" i="9" s="1"/>
  <c r="C218" i="7"/>
  <c r="C38" i="4" s="1"/>
  <c r="C204" i="7"/>
  <c r="C107" i="4" s="1"/>
  <c r="C145" i="7"/>
  <c r="C35" i="6" s="1"/>
  <c r="C152" i="7"/>
  <c r="C58" i="6" s="1"/>
  <c r="C119" i="7"/>
  <c r="C93" i="4" s="1"/>
  <c r="C77" i="7"/>
  <c r="D44" i="6" s="1"/>
  <c r="C109" i="7"/>
  <c r="C63" i="7"/>
  <c r="D130" i="2" s="1"/>
  <c r="E62" i="2" s="1"/>
  <c r="C39" i="7"/>
  <c r="C44" i="4" s="1"/>
  <c r="C137" i="7"/>
  <c r="D39" i="6" s="1"/>
  <c r="C100" i="7"/>
  <c r="D179" i="3" s="1"/>
  <c r="D224" i="3" s="1"/>
  <c r="C95" i="7"/>
  <c r="C38" i="6" s="1"/>
  <c r="C44" i="7"/>
  <c r="D85" i="4" s="1"/>
  <c r="C106" i="7"/>
  <c r="D56" i="4" s="1"/>
  <c r="C141" i="7"/>
  <c r="C33" i="6" s="1"/>
  <c r="C104" i="7"/>
  <c r="C14" i="6" s="1"/>
  <c r="C26" i="7"/>
  <c r="C28" i="6" s="1"/>
  <c r="C276" i="7"/>
  <c r="C23" i="6" s="1"/>
  <c r="C274" i="7"/>
  <c r="C57" i="7"/>
  <c r="C175" i="3" s="1"/>
  <c r="C220" i="3" s="1"/>
  <c r="C21" i="7"/>
  <c r="C148" i="7"/>
  <c r="B13" i="2" s="1"/>
  <c r="C111" i="7"/>
  <c r="C397" i="4" s="1"/>
  <c r="C284" i="7"/>
  <c r="D3" i="5" s="1"/>
  <c r="C286" i="7"/>
  <c r="U2" i="4" s="1"/>
  <c r="C289" i="7"/>
  <c r="D2" i="6" s="1"/>
  <c r="C172" i="7"/>
  <c r="C146" i="7"/>
  <c r="D76" i="9" s="1"/>
  <c r="D343" i="9" s="1"/>
  <c r="D412" i="9" s="1"/>
  <c r="C171" i="7"/>
  <c r="D143" i="5" s="1"/>
  <c r="C75" i="7"/>
  <c r="D117" i="5" s="1"/>
  <c r="D153" i="5" s="1"/>
  <c r="C136" i="7"/>
  <c r="D109" i="5" s="1"/>
  <c r="C96" i="7"/>
  <c r="C136" i="3" s="1"/>
  <c r="C156" i="3" s="1"/>
  <c r="C221" i="7"/>
  <c r="C183" i="3" s="1"/>
  <c r="C228" i="3" s="1"/>
  <c r="C135" i="7"/>
  <c r="D76" i="5" s="1"/>
  <c r="C134" i="7"/>
  <c r="C74" i="5" s="1"/>
  <c r="C94" i="7"/>
  <c r="C46" i="4" s="1"/>
  <c r="C178" i="7"/>
  <c r="E70" i="5" s="1"/>
  <c r="C159" i="7"/>
  <c r="E307" i="9" s="1"/>
  <c r="E375" i="9" s="1"/>
  <c r="C158" i="7"/>
  <c r="E69" i="5" s="1"/>
  <c r="C156" i="7"/>
  <c r="D68" i="5" s="1"/>
  <c r="C123" i="7"/>
  <c r="C233" i="7"/>
  <c r="D70" i="4" s="1"/>
  <c r="C54" i="7"/>
  <c r="D62" i="5" s="1"/>
  <c r="C93" i="7"/>
  <c r="C126" i="3" s="1"/>
  <c r="C166" i="7"/>
  <c r="C60" i="5" s="1"/>
  <c r="C139" i="7"/>
  <c r="C105" i="7"/>
  <c r="D55" i="5" s="1"/>
  <c r="C58" i="7"/>
  <c r="C259" i="7"/>
  <c r="D304" i="9" s="1"/>
  <c r="C194" i="7"/>
  <c r="E43" i="5" s="1"/>
  <c r="C175" i="7"/>
  <c r="C31" i="7"/>
  <c r="D135" i="2" s="1"/>
  <c r="C88" i="7"/>
  <c r="D22" i="5" s="1"/>
  <c r="C32" i="7"/>
  <c r="D50" i="9" s="1"/>
  <c r="C287" i="7"/>
  <c r="U2" i="5" s="1"/>
  <c r="C129" i="7"/>
  <c r="C89" i="7"/>
  <c r="D314" i="9" s="1"/>
  <c r="D383" i="9" s="1"/>
  <c r="C236" i="7"/>
  <c r="C402" i="4" s="1"/>
  <c r="C231" i="7"/>
  <c r="C184" i="7"/>
  <c r="C401" i="4" s="1"/>
  <c r="C165" i="7"/>
  <c r="D172" i="9" s="1"/>
  <c r="C66" i="7"/>
  <c r="D138" i="4" s="1"/>
  <c r="C227" i="7"/>
  <c r="C396" i="4" s="1"/>
  <c r="C214" i="7"/>
  <c r="C62" i="7"/>
  <c r="D129" i="2" s="1"/>
  <c r="C180" i="7"/>
  <c r="D311" i="9" s="1"/>
  <c r="D380" i="9" s="1"/>
  <c r="C183" i="7"/>
  <c r="AD35" i="2" s="1"/>
  <c r="C181" i="7"/>
  <c r="C163" i="7"/>
  <c r="D337" i="9" s="1"/>
  <c r="D406" i="9" s="1"/>
  <c r="C265" i="7"/>
  <c r="D44" i="2" s="1"/>
  <c r="C264" i="7"/>
  <c r="C153" i="7"/>
  <c r="D154" i="4" s="1"/>
  <c r="C120" i="7"/>
  <c r="Z122" i="9" s="1"/>
  <c r="Z172" i="9" s="1"/>
  <c r="C176" i="7"/>
  <c r="D127" i="3" s="1"/>
  <c r="D147" i="3" s="1"/>
  <c r="C210" i="7"/>
  <c r="C149" i="4" s="1"/>
  <c r="C278" i="7"/>
  <c r="R145" i="4" s="1"/>
  <c r="C30" i="7"/>
  <c r="D147" i="4" s="1"/>
  <c r="C74" i="7"/>
  <c r="D144" i="4" s="1"/>
  <c r="C124" i="7"/>
  <c r="D133" i="4" s="1"/>
  <c r="C211" i="7"/>
  <c r="C143" i="4" s="1"/>
  <c r="C196" i="7"/>
  <c r="D64" i="3" s="1"/>
  <c r="C188" i="3" s="1"/>
  <c r="C80" i="7"/>
  <c r="D141" i="4" s="1"/>
  <c r="C209" i="7"/>
  <c r="C137" i="4" s="1"/>
  <c r="C68" i="7"/>
  <c r="C119" i="4" s="1"/>
  <c r="D64" i="4" s="1"/>
  <c r="C73" i="7"/>
  <c r="C116" i="4" s="1"/>
  <c r="C45" i="7"/>
  <c r="D113" i="4" s="1"/>
  <c r="C71" i="7"/>
  <c r="C110" i="4" s="1"/>
  <c r="D63" i="4" s="1"/>
  <c r="C47" i="7"/>
  <c r="D106" i="4" s="1"/>
  <c r="C69" i="7"/>
  <c r="C173" i="7"/>
  <c r="C23" i="7"/>
  <c r="C94" i="4" s="1"/>
  <c r="C79" i="7"/>
  <c r="C81" i="4" s="1"/>
  <c r="C17" i="7"/>
  <c r="C174" i="3" s="1"/>
  <c r="C219" i="3" s="1"/>
  <c r="C70" i="7"/>
  <c r="D72" i="4" s="1"/>
  <c r="C222" i="7"/>
  <c r="C72" i="7"/>
  <c r="D60" i="4" s="1"/>
  <c r="C15" i="7"/>
  <c r="AN56" i="4" s="1"/>
  <c r="C59" i="7"/>
  <c r="C124" i="3" s="1"/>
  <c r="C144" i="3" s="1"/>
  <c r="C49" i="7"/>
  <c r="D47" i="4" s="1"/>
  <c r="C230" i="7"/>
  <c r="C13" i="4" s="1"/>
  <c r="C217" i="7"/>
  <c r="C31" i="3" s="1"/>
  <c r="C275" i="7"/>
  <c r="C213" i="7"/>
  <c r="C355" i="3" s="1"/>
  <c r="C198" i="7"/>
  <c r="C174" i="7"/>
  <c r="C354" i="3" s="1"/>
  <c r="C116" i="7"/>
  <c r="C353" i="3" s="1"/>
  <c r="C55" i="7"/>
  <c r="C351" i="3" s="1"/>
  <c r="C361" i="3" s="1"/>
  <c r="C38" i="7"/>
  <c r="C549" i="9" s="1"/>
  <c r="C280" i="7"/>
  <c r="C277" i="7"/>
  <c r="D116" i="3" s="1"/>
  <c r="C51" i="7"/>
  <c r="D211" i="3" s="1"/>
  <c r="C138" i="7"/>
  <c r="C101" i="7"/>
  <c r="D309" i="9" s="1"/>
  <c r="D378" i="9" s="1"/>
  <c r="C192" i="7"/>
  <c r="AA186" i="3" s="1"/>
  <c r="C205" i="7"/>
  <c r="W186" i="3" s="1"/>
  <c r="W198" i="3" s="1"/>
  <c r="C50" i="7"/>
  <c r="D166" i="3" s="1"/>
  <c r="C107" i="7"/>
  <c r="D57" i="3" s="1"/>
  <c r="C61" i="7"/>
  <c r="C28" i="2" s="1"/>
  <c r="C234" i="7"/>
  <c r="D130" i="3" s="1"/>
  <c r="D150" i="3" s="1"/>
  <c r="C223" i="7"/>
  <c r="C121" i="7"/>
  <c r="D224" i="9" s="1"/>
  <c r="D254" i="9" s="1"/>
  <c r="C122" i="7"/>
  <c r="D223" i="9" s="1"/>
  <c r="D253" i="9" s="1"/>
  <c r="C154" i="7"/>
  <c r="C130" i="7"/>
  <c r="BG122" i="9" s="1"/>
  <c r="C90" i="7"/>
  <c r="D317" i="9" s="1"/>
  <c r="D386" i="9" s="1"/>
  <c r="C269" i="7"/>
  <c r="AE92" i="3" s="1"/>
  <c r="BC92" i="3" s="1"/>
  <c r="C78" i="7"/>
  <c r="AD28" i="2" s="1"/>
  <c r="C212" i="7"/>
  <c r="V122" i="9" s="1"/>
  <c r="C197" i="7"/>
  <c r="C191" i="7"/>
  <c r="S62" i="3" s="1"/>
  <c r="S73" i="3" s="1"/>
  <c r="C81" i="7"/>
  <c r="D130" i="9" s="1"/>
  <c r="C22" i="7"/>
  <c r="D107" i="3" s="1"/>
  <c r="C28" i="7"/>
  <c r="E103" i="3" s="1"/>
  <c r="C258" i="7"/>
  <c r="C99" i="3" s="1"/>
  <c r="C35" i="7"/>
  <c r="C94" i="3" s="1"/>
  <c r="C36" i="7"/>
  <c r="C92" i="3" s="1"/>
  <c r="C86" i="7"/>
  <c r="D88" i="3" s="1"/>
  <c r="C242" i="7"/>
  <c r="D68" i="3" s="1"/>
  <c r="C300" i="3" s="1"/>
  <c r="C126" i="7"/>
  <c r="D66" i="3" s="1"/>
  <c r="C189" i="3" s="1"/>
  <c r="C177" i="7"/>
  <c r="D51" i="3" s="1"/>
  <c r="C155" i="7"/>
  <c r="D48" i="9" s="1"/>
  <c r="C207" i="7"/>
  <c r="D47" i="3" s="1"/>
  <c r="C190" i="7"/>
  <c r="C147" i="7"/>
  <c r="D45" i="3" s="1"/>
  <c r="C110" i="7"/>
  <c r="C35" i="2" s="1"/>
  <c r="C229" i="7"/>
  <c r="D43" i="3" s="1"/>
  <c r="C216" i="7"/>
  <c r="C34" i="7"/>
  <c r="D36" i="9" s="1"/>
  <c r="C203" i="7"/>
  <c r="C29" i="3" s="1"/>
  <c r="C161" i="7"/>
  <c r="C27" i="3" s="1"/>
  <c r="C172" i="3" s="1"/>
  <c r="C217" i="3" s="1"/>
  <c r="C118" i="7"/>
  <c r="D25" i="3" s="1"/>
  <c r="C19" i="7"/>
  <c r="B14" i="3" s="1"/>
  <c r="C40" i="7"/>
  <c r="D632" i="9" s="1"/>
  <c r="C249" i="7"/>
  <c r="D58" i="9" s="1"/>
  <c r="AU621" i="9" s="1"/>
  <c r="AU639" i="9" s="1"/>
  <c r="C27" i="7"/>
  <c r="D128" i="9" s="1"/>
  <c r="C53" i="7"/>
  <c r="D363" i="9" s="1"/>
  <c r="C243" i="7"/>
  <c r="D70" i="9" s="1"/>
  <c r="D328" i="9" s="1"/>
  <c r="D397" i="9" s="1"/>
  <c r="C41" i="7"/>
  <c r="D316" i="9" s="1"/>
  <c r="D385" i="9" s="1"/>
  <c r="C245" i="7"/>
  <c r="D315" i="9" s="1"/>
  <c r="D384" i="9" s="1"/>
  <c r="C241" i="7"/>
  <c r="D78" i="9" s="1"/>
  <c r="D344" i="9" s="1"/>
  <c r="D413" i="9" s="1"/>
  <c r="C257" i="7"/>
  <c r="C255" i="7"/>
  <c r="C260" i="7"/>
  <c r="D303" i="9" s="1"/>
  <c r="D371" i="9" s="1"/>
  <c r="C256" i="7"/>
  <c r="C247" i="7"/>
  <c r="D54" i="9" s="1"/>
  <c r="C60" i="7"/>
  <c r="D170" i="9" s="1"/>
  <c r="C228" i="7"/>
  <c r="AE162" i="9" s="1"/>
  <c r="BC162" i="9" s="1"/>
  <c r="C76" i="7"/>
  <c r="D162" i="9" s="1"/>
  <c r="C250" i="7"/>
  <c r="D60" i="9" s="1"/>
  <c r="D144" i="9" s="1"/>
  <c r="D156" i="9" s="1"/>
  <c r="D166" i="9" s="1"/>
  <c r="C246" i="7"/>
  <c r="C24" i="7"/>
  <c r="C179" i="7"/>
  <c r="D124" i="9" s="1"/>
  <c r="C160" i="7"/>
  <c r="C25" i="9" s="1"/>
  <c r="C127" i="7"/>
  <c r="D68" i="9" s="1"/>
  <c r="C263" i="7"/>
  <c r="D66" i="9" s="1"/>
  <c r="D326" i="9" s="1"/>
  <c r="D395" i="9" s="1"/>
  <c r="C261" i="7"/>
  <c r="C251" i="7"/>
  <c r="D62" i="9" s="1"/>
  <c r="C248" i="7"/>
  <c r="D56" i="9" s="1"/>
  <c r="S621" i="9" s="1"/>
  <c r="S639" i="9" s="1"/>
  <c r="C244" i="7"/>
  <c r="C56" i="7"/>
  <c r="AU31" i="9" s="1"/>
  <c r="C189" i="7"/>
  <c r="C27" i="9" s="1"/>
  <c r="C240" i="7"/>
  <c r="D133" i="2" s="1"/>
  <c r="C235" i="7"/>
  <c r="D67" i="2" s="1"/>
  <c r="C239" i="7"/>
  <c r="D132" i="2" s="1"/>
  <c r="O132" i="2" s="1"/>
  <c r="C272" i="7"/>
  <c r="D58" i="2" s="1"/>
  <c r="C115" i="7"/>
  <c r="C29" i="7"/>
  <c r="D46" i="2" s="1"/>
  <c r="C14" i="7"/>
  <c r="C164" i="7"/>
  <c r="C33" i="7"/>
  <c r="D33" i="2" s="1"/>
  <c r="D152" i="5"/>
  <c r="D151" i="5"/>
  <c r="D150" i="5"/>
  <c r="C288" i="7"/>
  <c r="C282" i="7"/>
  <c r="C283" i="7"/>
  <c r="D345" i="9"/>
  <c r="D414" i="9" s="1"/>
  <c r="C162" i="7"/>
  <c r="C220" i="7"/>
  <c r="C225" i="7"/>
  <c r="C226" i="7"/>
  <c r="C252" i="7"/>
  <c r="AQ397" i="3"/>
  <c r="AU397" i="3"/>
  <c r="AY397" i="3"/>
  <c r="BC397" i="3"/>
  <c r="AQ191" i="3"/>
  <c r="AQ200" i="3"/>
  <c r="AQ201" i="3"/>
  <c r="AS94" i="4"/>
  <c r="AR167" i="5"/>
  <c r="AR166" i="5"/>
  <c r="AR174" i="5"/>
  <c r="AR171" i="5"/>
  <c r="S397" i="3"/>
  <c r="W397" i="3"/>
  <c r="AA397" i="3"/>
  <c r="AE397" i="3"/>
  <c r="U284" i="3"/>
  <c r="S188" i="3"/>
  <c r="U294" i="3"/>
  <c r="S189" i="3"/>
  <c r="U304" i="3"/>
  <c r="S190" i="3"/>
  <c r="S191" i="3"/>
  <c r="AI103" i="3"/>
  <c r="S200" i="3"/>
  <c r="S201" i="3"/>
  <c r="AI227" i="3"/>
  <c r="S395" i="9"/>
  <c r="S396" i="9"/>
  <c r="S397" i="9"/>
  <c r="S398" i="9"/>
  <c r="S412" i="9"/>
  <c r="S413" i="9"/>
  <c r="S414" i="9"/>
  <c r="AR124" i="5"/>
  <c r="AR125" i="5" s="1"/>
  <c r="AR126" i="5" s="1"/>
  <c r="Z124" i="5"/>
  <c r="Z125" i="5" s="1"/>
  <c r="Z126" i="5" s="1"/>
  <c r="AR69" i="5"/>
  <c r="W384" i="3"/>
  <c r="V384" i="3"/>
  <c r="U384" i="3"/>
  <c r="W383" i="3"/>
  <c r="V383" i="3"/>
  <c r="U383" i="3"/>
  <c r="W382" i="3"/>
  <c r="V382" i="3"/>
  <c r="U382" i="3"/>
  <c r="W381" i="3"/>
  <c r="V381" i="3"/>
  <c r="U381" i="3"/>
  <c r="W379" i="3"/>
  <c r="V379" i="3"/>
  <c r="U379" i="3"/>
  <c r="W378" i="3"/>
  <c r="V378" i="3"/>
  <c r="U378" i="3"/>
  <c r="W375" i="3"/>
  <c r="V375" i="3"/>
  <c r="U375" i="3"/>
  <c r="W374" i="3"/>
  <c r="V374" i="3"/>
  <c r="U374" i="3"/>
  <c r="W373" i="3"/>
  <c r="V373" i="3"/>
  <c r="U373" i="3"/>
  <c r="W372" i="3"/>
  <c r="V372" i="3"/>
  <c r="U372" i="3"/>
  <c r="W370" i="3"/>
  <c r="V370" i="3"/>
  <c r="U370" i="3"/>
  <c r="W369" i="3"/>
  <c r="V369" i="3"/>
  <c r="U369" i="3"/>
  <c r="W366" i="3"/>
  <c r="V366" i="3"/>
  <c r="U366" i="3"/>
  <c r="W365" i="3"/>
  <c r="V365" i="3"/>
  <c r="U365" i="3"/>
  <c r="W364" i="3"/>
  <c r="V364" i="3"/>
  <c r="U364" i="3"/>
  <c r="W363" i="3"/>
  <c r="V363" i="3"/>
  <c r="U363" i="3"/>
  <c r="W361" i="3"/>
  <c r="V361" i="3"/>
  <c r="U361" i="3"/>
  <c r="W360" i="3"/>
  <c r="V360" i="3"/>
  <c r="U360" i="3"/>
  <c r="W356" i="3"/>
  <c r="V356" i="3"/>
  <c r="U356" i="3"/>
  <c r="W355" i="3"/>
  <c r="V355" i="3"/>
  <c r="U355" i="3"/>
  <c r="W354" i="3"/>
  <c r="V354" i="3"/>
  <c r="U354" i="3"/>
  <c r="W353" i="3"/>
  <c r="V353" i="3"/>
  <c r="U353" i="3"/>
  <c r="W351" i="3"/>
  <c r="V351" i="3"/>
  <c r="U351" i="3"/>
  <c r="U350" i="3"/>
  <c r="AW61" i="6"/>
  <c r="AE61" i="6"/>
  <c r="Y164" i="2"/>
  <c r="BG96" i="3"/>
  <c r="AI96" i="3"/>
  <c r="BG128" i="9"/>
  <c r="AI128" i="9"/>
  <c r="AQ326" i="9"/>
  <c r="AQ327" i="9"/>
  <c r="AQ328" i="9"/>
  <c r="AQ329" i="9"/>
  <c r="AQ343" i="9"/>
  <c r="AQ344" i="9"/>
  <c r="AQ345" i="9"/>
  <c r="AE166" i="9"/>
  <c r="AE167" i="9"/>
  <c r="AA166" i="9"/>
  <c r="AA167" i="9"/>
  <c r="W166" i="9"/>
  <c r="W167" i="9"/>
  <c r="S167" i="9"/>
  <c r="AQ393" i="3"/>
  <c r="AU393" i="3"/>
  <c r="AS282" i="3"/>
  <c r="AW282" i="3"/>
  <c r="BA282" i="3"/>
  <c r="BE282" i="3"/>
  <c r="AS292" i="3"/>
  <c r="AW292" i="3"/>
  <c r="BA292" i="3"/>
  <c r="BE292" i="3"/>
  <c r="AS314" i="3"/>
  <c r="U329" i="3"/>
  <c r="AS327" i="3"/>
  <c r="AW327" i="3"/>
  <c r="BA327" i="3"/>
  <c r="BE327" i="3"/>
  <c r="U339" i="3"/>
  <c r="AS469" i="9"/>
  <c r="AW469" i="9"/>
  <c r="BA469" i="9"/>
  <c r="BE469" i="9"/>
  <c r="AS514" i="9"/>
  <c r="AW514" i="9"/>
  <c r="BA514" i="9"/>
  <c r="BE514" i="9"/>
  <c r="AS534" i="9"/>
  <c r="AW534" i="9"/>
  <c r="BA534" i="9"/>
  <c r="BE534" i="9"/>
  <c r="U314" i="3"/>
  <c r="BJ168" i="2"/>
  <c r="BJ175" i="2"/>
  <c r="BP161" i="2"/>
  <c r="BJ161" i="2"/>
  <c r="AG18" i="6"/>
  <c r="W18" i="6"/>
  <c r="C18" i="6"/>
  <c r="Z26" i="6" s="1"/>
  <c r="AG17" i="5"/>
  <c r="W17" i="5"/>
  <c r="C17" i="5"/>
  <c r="AG17" i="4"/>
  <c r="W17" i="4"/>
  <c r="C17" i="4"/>
  <c r="AG19" i="3"/>
  <c r="W19" i="3"/>
  <c r="C19" i="3"/>
  <c r="AR70" i="6"/>
  <c r="AR68" i="6"/>
  <c r="Z70" i="6"/>
  <c r="Z68" i="6"/>
  <c r="AG18" i="9"/>
  <c r="W18" i="9"/>
  <c r="C18" i="9"/>
  <c r="H269" i="3"/>
  <c r="H660" i="9"/>
  <c r="AS524" i="9"/>
  <c r="AW524" i="9"/>
  <c r="BA524" i="9"/>
  <c r="BE524" i="9"/>
  <c r="U549" i="9"/>
  <c r="AS459" i="9"/>
  <c r="AW459" i="9"/>
  <c r="BA459" i="9"/>
  <c r="BE459" i="9"/>
  <c r="AS479" i="9"/>
  <c r="AW479" i="9"/>
  <c r="BA479" i="9"/>
  <c r="BE479" i="9"/>
  <c r="S596" i="9"/>
  <c r="W596" i="9"/>
  <c r="AA596" i="9"/>
  <c r="AE596" i="9"/>
  <c r="AE599" i="9"/>
  <c r="S599" i="9"/>
  <c r="W599" i="9"/>
  <c r="AA599" i="9"/>
  <c r="AI594" i="9"/>
  <c r="AQ138" i="9"/>
  <c r="S138" i="9"/>
  <c r="S150" i="9" s="1"/>
  <c r="BC138" i="9"/>
  <c r="AY138" i="9"/>
  <c r="AU138" i="9"/>
  <c r="AE138" i="9"/>
  <c r="AE150" i="9" s="1"/>
  <c r="AA138" i="9"/>
  <c r="AA150" i="9" s="1"/>
  <c r="W138" i="9"/>
  <c r="W150" i="9" s="1"/>
  <c r="W50" i="9"/>
  <c r="S544" i="9"/>
  <c r="D126" i="9" s="1"/>
  <c r="V549" i="9"/>
  <c r="W549" i="9"/>
  <c r="AS115" i="4"/>
  <c r="C532" i="9"/>
  <c r="BE489" i="9"/>
  <c r="BA489" i="9"/>
  <c r="AW489" i="9"/>
  <c r="AS489" i="9"/>
  <c r="C487" i="9"/>
  <c r="AS302" i="3"/>
  <c r="AW302" i="3"/>
  <c r="BA302" i="3"/>
  <c r="BE302" i="3"/>
  <c r="AS337" i="3"/>
  <c r="AW337" i="3"/>
  <c r="BA337" i="3"/>
  <c r="BE337" i="3"/>
  <c r="S347" i="3"/>
  <c r="BC144" i="3"/>
  <c r="AY144" i="3"/>
  <c r="AU144" i="3"/>
  <c r="AQ144" i="3"/>
  <c r="AE144" i="3"/>
  <c r="AA144" i="3"/>
  <c r="W144" i="3"/>
  <c r="S144" i="3"/>
  <c r="J94" i="3"/>
  <c r="W350" i="3"/>
  <c r="V350" i="3"/>
  <c r="BG217" i="3"/>
  <c r="C191" i="3"/>
  <c r="AU219" i="3"/>
  <c r="W219" i="3"/>
  <c r="AU218" i="3"/>
  <c r="W218" i="3"/>
  <c r="AS339" i="3"/>
  <c r="AS329" i="3"/>
  <c r="C335" i="3"/>
  <c r="C325" i="3"/>
  <c r="BE312" i="3"/>
  <c r="BA312" i="3"/>
  <c r="AW312" i="3"/>
  <c r="AS312" i="3"/>
  <c r="C201" i="3"/>
  <c r="C200" i="3"/>
  <c r="AI392" i="3"/>
  <c r="BG392" i="3" s="1"/>
  <c r="BC392" i="3"/>
  <c r="AY392" i="3"/>
  <c r="AU392" i="3"/>
  <c r="AQ392" i="3"/>
  <c r="BC391" i="3"/>
  <c r="AY391" i="3"/>
  <c r="AU391" i="3"/>
  <c r="AQ391" i="3"/>
  <c r="AU176" i="3"/>
  <c r="W176" i="3"/>
  <c r="AU173" i="3"/>
  <c r="W173" i="3"/>
  <c r="C310" i="3"/>
  <c r="AU174" i="3"/>
  <c r="W174" i="3"/>
  <c r="C297" i="7" l="1"/>
  <c r="AG21" i="2" s="1"/>
  <c r="AS19" i="3" s="1"/>
  <c r="C401" i="7"/>
  <c r="E56" i="2" s="1"/>
  <c r="S92" i="3"/>
  <c r="S122" i="3" s="1"/>
  <c r="E45" i="5"/>
  <c r="AQ122" i="9"/>
  <c r="AQ300" i="9" s="1"/>
  <c r="AQ368" i="9" s="1"/>
  <c r="C548" i="9"/>
  <c r="C279" i="7"/>
  <c r="C193" i="7"/>
  <c r="D185" i="5" s="1"/>
  <c r="C290" i="7"/>
  <c r="E70" i="2" s="1"/>
  <c r="C281" i="7"/>
  <c r="AQ660" i="9" s="1"/>
  <c r="C292" i="7"/>
  <c r="E4" i="2" s="1"/>
  <c r="C131" i="7"/>
  <c r="T62" i="6" s="1"/>
  <c r="C395" i="7"/>
  <c r="AF440" i="9" s="1"/>
  <c r="D479" i="9" s="1"/>
  <c r="D489" i="9" s="1"/>
  <c r="D524" i="9" s="1"/>
  <c r="C52" i="7"/>
  <c r="D295" i="9" s="1"/>
  <c r="C407" i="4"/>
  <c r="D176" i="2"/>
  <c r="D204" i="2"/>
  <c r="E101" i="3"/>
  <c r="E176" i="9"/>
  <c r="E50" i="2"/>
  <c r="D372" i="9"/>
  <c r="D381" i="9" s="1"/>
  <c r="D312" i="9"/>
  <c r="BC380" i="9"/>
  <c r="BC370" i="9"/>
  <c r="BC302" i="9"/>
  <c r="AY311" i="9"/>
  <c r="AY302" i="9"/>
  <c r="AY370" i="9"/>
  <c r="AU311" i="9"/>
  <c r="AU370" i="9"/>
  <c r="AU302" i="9"/>
  <c r="AQ380" i="9"/>
  <c r="AQ370" i="9"/>
  <c r="AQ302" i="9"/>
  <c r="AE380" i="9"/>
  <c r="AE302" i="9"/>
  <c r="AE370" i="9" s="1"/>
  <c r="S302" i="9"/>
  <c r="S370" i="9" s="1"/>
  <c r="W380" i="9"/>
  <c r="J321" i="4"/>
  <c r="D219" i="9"/>
  <c r="B11" i="6"/>
  <c r="B11" i="3"/>
  <c r="AI397" i="3"/>
  <c r="BG219" i="3"/>
  <c r="BG397" i="3"/>
  <c r="BG174" i="3"/>
  <c r="AQ395" i="3" s="1"/>
  <c r="AU395" i="3" s="1"/>
  <c r="E797" i="9"/>
  <c r="Z28" i="6"/>
  <c r="D169" i="2"/>
  <c r="D162" i="2"/>
  <c r="D26" i="2"/>
  <c r="C26" i="6"/>
  <c r="D86" i="6"/>
  <c r="D123" i="5"/>
  <c r="D107" i="5"/>
  <c r="D78" i="6"/>
  <c r="AG242" i="4"/>
  <c r="AZ242" i="4" s="1"/>
  <c r="AS90" i="4"/>
  <c r="D145" i="5"/>
  <c r="D154" i="5"/>
  <c r="D82" i="6"/>
  <c r="D118" i="5"/>
  <c r="C384" i="7"/>
  <c r="D90" i="5" s="1"/>
  <c r="D112" i="5" s="1"/>
  <c r="C383" i="7"/>
  <c r="N200" i="5" s="1"/>
  <c r="C382" i="7"/>
  <c r="N196" i="5" s="1"/>
  <c r="C378" i="7"/>
  <c r="I199" i="5" s="1"/>
  <c r="C376" i="7"/>
  <c r="C381" i="7"/>
  <c r="I202" i="5" s="1"/>
  <c r="C379" i="7"/>
  <c r="I200" i="5" s="1"/>
  <c r="C377" i="7"/>
  <c r="I198" i="5" s="1"/>
  <c r="C375" i="7"/>
  <c r="I196" i="5" s="1"/>
  <c r="C380" i="7"/>
  <c r="I201" i="5" s="1"/>
  <c r="C394" i="7"/>
  <c r="C386" i="7"/>
  <c r="AK70" i="4" s="1"/>
  <c r="BD70" i="4" s="1"/>
  <c r="C392" i="7"/>
  <c r="BM238" i="9" s="1"/>
  <c r="C389" i="7"/>
  <c r="D93" i="9" s="1"/>
  <c r="C388" i="7"/>
  <c r="D47" i="6" s="1"/>
  <c r="C387" i="7"/>
  <c r="D49" i="6" s="1"/>
  <c r="C393" i="7"/>
  <c r="D65" i="4" s="1"/>
  <c r="C385" i="7"/>
  <c r="D105" i="5" s="1"/>
  <c r="C391" i="7"/>
  <c r="S198" i="9" s="1"/>
  <c r="AQ198" i="9" s="1"/>
  <c r="C390" i="7"/>
  <c r="D94" i="9" s="1"/>
  <c r="Y155" i="2"/>
  <c r="BP155" i="2" s="1"/>
  <c r="AX155" i="2"/>
  <c r="BX155" i="2" s="1"/>
  <c r="D59" i="3"/>
  <c r="C31" i="4"/>
  <c r="E76" i="2"/>
  <c r="C115" i="4"/>
  <c r="B14" i="2"/>
  <c r="BG144" i="3"/>
  <c r="C381" i="3"/>
  <c r="Y381" i="3" s="1"/>
  <c r="C363" i="3"/>
  <c r="Y363" i="3" s="1"/>
  <c r="C372" i="3"/>
  <c r="D215" i="3"/>
  <c r="D368" i="9"/>
  <c r="C373" i="3"/>
  <c r="Y373" i="3" s="1"/>
  <c r="C382" i="3"/>
  <c r="Y382" i="3" s="1"/>
  <c r="D170" i="3"/>
  <c r="D300" i="9"/>
  <c r="C348" i="7"/>
  <c r="E320" i="9" s="1"/>
  <c r="E389" i="9" s="1"/>
  <c r="C337" i="7"/>
  <c r="C42" i="7"/>
  <c r="C356" i="7"/>
  <c r="AV447" i="9" s="1"/>
  <c r="E101" i="9" s="1"/>
  <c r="C340" i="7"/>
  <c r="D282" i="9" s="1"/>
  <c r="C332" i="7"/>
  <c r="C355" i="7"/>
  <c r="AV446" i="9" s="1"/>
  <c r="C347" i="7"/>
  <c r="E319" i="9" s="1"/>
  <c r="E388" i="9" s="1"/>
  <c r="C339" i="7"/>
  <c r="D279" i="9" s="1"/>
  <c r="C331" i="7"/>
  <c r="D46" i="6" s="1"/>
  <c r="C354" i="7"/>
  <c r="AV445" i="9" s="1"/>
  <c r="C338" i="7"/>
  <c r="W246" i="9" s="1"/>
  <c r="C330" i="7"/>
  <c r="C236" i="9" s="1"/>
  <c r="C266" i="9" s="1"/>
  <c r="C345" i="7"/>
  <c r="E306" i="9" s="1"/>
  <c r="E374" i="9" s="1"/>
  <c r="C329" i="7"/>
  <c r="W234" i="9" s="1"/>
  <c r="C352" i="7"/>
  <c r="C344" i="7"/>
  <c r="D305" i="9" s="1"/>
  <c r="D373" i="9" s="1"/>
  <c r="C336" i="7"/>
  <c r="D244" i="9" s="1"/>
  <c r="D274" i="9" s="1"/>
  <c r="C328" i="7"/>
  <c r="C351" i="7"/>
  <c r="D356" i="9" s="1"/>
  <c r="D425" i="9" s="1"/>
  <c r="C335" i="7"/>
  <c r="D243" i="9" s="1"/>
  <c r="D273" i="9" s="1"/>
  <c r="C350" i="7"/>
  <c r="D355" i="9" s="1"/>
  <c r="D424" i="9" s="1"/>
  <c r="C342" i="7"/>
  <c r="D284" i="9" s="1"/>
  <c r="C334" i="7"/>
  <c r="C242" i="9" s="1"/>
  <c r="C272" i="9" s="1"/>
  <c r="C341" i="7"/>
  <c r="D283" i="9" s="1"/>
  <c r="C343" i="7"/>
  <c r="D285" i="9" s="1"/>
  <c r="C346" i="7"/>
  <c r="D318" i="9" s="1"/>
  <c r="E321" i="9" s="1"/>
  <c r="E390" i="9" s="1"/>
  <c r="C349" i="7"/>
  <c r="D354" i="9" s="1"/>
  <c r="D423" i="9" s="1"/>
  <c r="C333" i="7"/>
  <c r="W240" i="9" s="1"/>
  <c r="C353" i="7"/>
  <c r="D89" i="4"/>
  <c r="R91" i="4"/>
  <c r="R74" i="4" s="1"/>
  <c r="F8" i="7"/>
  <c r="AN2" i="3" s="1"/>
  <c r="C182" i="7"/>
  <c r="C192" i="4" s="1"/>
  <c r="N256" i="4" s="1"/>
  <c r="N328" i="4" s="1"/>
  <c r="C238" i="7"/>
  <c r="C41" i="5" s="1"/>
  <c r="C267" i="7"/>
  <c r="C194" i="4" s="1"/>
  <c r="AB256" i="4" s="1"/>
  <c r="AB328" i="4" s="1"/>
  <c r="C85" i="7"/>
  <c r="C64" i="7"/>
  <c r="C592" i="9" s="1"/>
  <c r="C606" i="9" s="1"/>
  <c r="AE606" i="9" s="1"/>
  <c r="C199" i="7"/>
  <c r="C296" i="7"/>
  <c r="E69" i="2" s="1"/>
  <c r="C253" i="7"/>
  <c r="D629" i="9" s="1"/>
  <c r="AE629" i="9" s="1"/>
  <c r="C370" i="7"/>
  <c r="C362" i="7"/>
  <c r="C100" i="4" s="1"/>
  <c r="C366" i="7"/>
  <c r="C125" i="4" s="1"/>
  <c r="C358" i="7"/>
  <c r="C352" i="3" s="1"/>
  <c r="Y352" i="3" s="1"/>
  <c r="C357" i="7"/>
  <c r="D15" i="3" s="1"/>
  <c r="C363" i="7"/>
  <c r="C103" i="4" s="1"/>
  <c r="D62" i="4" s="1"/>
  <c r="C369" i="7"/>
  <c r="C361" i="7"/>
  <c r="D99" i="4" s="1"/>
  <c r="C359" i="7"/>
  <c r="C49" i="4" s="1"/>
  <c r="C368" i="7"/>
  <c r="C360" i="7"/>
  <c r="C128" i="4" s="1"/>
  <c r="D67" i="4" s="1"/>
  <c r="C367" i="7"/>
  <c r="C365" i="7"/>
  <c r="C124" i="4" s="1"/>
  <c r="C364" i="7"/>
  <c r="D122" i="4" s="1"/>
  <c r="D55" i="3"/>
  <c r="C190" i="3"/>
  <c r="AU324" i="9"/>
  <c r="AU393" i="9" s="1"/>
  <c r="AU410" i="9" s="1"/>
  <c r="R60" i="5"/>
  <c r="C195" i="3"/>
  <c r="C205" i="3" s="1"/>
  <c r="C235" i="3" s="1"/>
  <c r="C242" i="3" s="1"/>
  <c r="C65" i="7"/>
  <c r="R64" i="5" s="1"/>
  <c r="C397" i="7"/>
  <c r="P192" i="9" s="1"/>
  <c r="C396" i="7"/>
  <c r="D67" i="5" s="1"/>
  <c r="C374" i="7"/>
  <c r="E54" i="2" s="1"/>
  <c r="C373" i="7"/>
  <c r="C372" i="7"/>
  <c r="C371" i="7"/>
  <c r="D324" i="9"/>
  <c r="D393" i="9" s="1"/>
  <c r="C254" i="7"/>
  <c r="C285" i="7"/>
  <c r="C84" i="7"/>
  <c r="D627" i="9" s="1"/>
  <c r="AU627" i="9" s="1"/>
  <c r="C398" i="7"/>
  <c r="D238" i="9" s="1"/>
  <c r="D268" i="9" s="1"/>
  <c r="C400" i="7"/>
  <c r="D48" i="5" s="1"/>
  <c r="C47" i="5" s="1"/>
  <c r="C399" i="7"/>
  <c r="C280" i="3"/>
  <c r="C95" i="4"/>
  <c r="B11" i="9"/>
  <c r="D225" i="9"/>
  <c r="D255" i="9" s="1"/>
  <c r="B10" i="4"/>
  <c r="C48" i="7"/>
  <c r="Y156" i="2" s="1"/>
  <c r="C403" i="7"/>
  <c r="C402" i="7"/>
  <c r="C316" i="7"/>
  <c r="E196" i="9" s="1"/>
  <c r="C315" i="7"/>
  <c r="E194" i="9" s="1"/>
  <c r="C307" i="7"/>
  <c r="D92" i="9" s="1"/>
  <c r="C305" i="7"/>
  <c r="C312" i="7"/>
  <c r="C310" i="7"/>
  <c r="C308" i="7"/>
  <c r="D97" i="9" s="1"/>
  <c r="C314" i="7"/>
  <c r="E192" i="9" s="1"/>
  <c r="C306" i="7"/>
  <c r="D90" i="9" s="1"/>
  <c r="C311" i="7"/>
  <c r="D108" i="9" s="1"/>
  <c r="C313" i="7"/>
  <c r="D190" i="9" s="1"/>
  <c r="C309" i="7"/>
  <c r="E106" i="9" s="1"/>
  <c r="W74" i="9"/>
  <c r="AU54" i="9"/>
  <c r="C327" i="7"/>
  <c r="D232" i="9" s="1"/>
  <c r="D262" i="9" s="1"/>
  <c r="C322" i="7"/>
  <c r="BV208" i="9" s="1"/>
  <c r="C321" i="7"/>
  <c r="BV206" i="9" s="1"/>
  <c r="C320" i="7"/>
  <c r="E204" i="9" s="1"/>
  <c r="C317" i="7"/>
  <c r="F198" i="9" s="1"/>
  <c r="C319" i="7"/>
  <c r="D202" i="9" s="1"/>
  <c r="C318" i="7"/>
  <c r="F200" i="9" s="1"/>
  <c r="U54" i="9"/>
  <c r="W54" i="9"/>
  <c r="AS54" i="9"/>
  <c r="W62" i="3"/>
  <c r="W73" i="3" s="1"/>
  <c r="C112" i="7"/>
  <c r="D630" i="9" s="1"/>
  <c r="D644" i="9" s="1"/>
  <c r="W644" i="9" s="1"/>
  <c r="C202" i="7"/>
  <c r="AU64" i="9"/>
  <c r="C554" i="9"/>
  <c r="C564" i="9" s="1"/>
  <c r="Y564" i="9" s="1"/>
  <c r="AU62" i="3"/>
  <c r="AU73" i="3" s="1"/>
  <c r="C271" i="7"/>
  <c r="C295" i="7"/>
  <c r="P50" i="9" s="1"/>
  <c r="AU74" i="9"/>
  <c r="AS74" i="9"/>
  <c r="C194" i="3"/>
  <c r="C204" i="3" s="1"/>
  <c r="C234" i="3" s="1"/>
  <c r="C241" i="3" s="1"/>
  <c r="D59" i="6"/>
  <c r="D52" i="9"/>
  <c r="C326" i="7"/>
  <c r="D230" i="9" s="1"/>
  <c r="D260" i="9" s="1"/>
  <c r="C325" i="7"/>
  <c r="C323" i="7"/>
  <c r="C227" i="9" s="1"/>
  <c r="C257" i="9" s="1"/>
  <c r="C324" i="7"/>
  <c r="D62" i="3"/>
  <c r="C259" i="3"/>
  <c r="U64" i="9"/>
  <c r="D79" i="5"/>
  <c r="D110" i="5" s="1"/>
  <c r="D146" i="5" s="1"/>
  <c r="D119" i="2"/>
  <c r="U98" i="2" s="1"/>
  <c r="C29" i="9"/>
  <c r="AI122" i="9"/>
  <c r="AH842" i="9" s="1"/>
  <c r="BG842" i="9" s="1"/>
  <c r="C550" i="9"/>
  <c r="C560" i="9" s="1"/>
  <c r="Y560" i="9" s="1"/>
  <c r="C132" i="3"/>
  <c r="C152" i="3" s="1"/>
  <c r="D42" i="9"/>
  <c r="AA324" i="9"/>
  <c r="AA393" i="9" s="1"/>
  <c r="AA410" i="9" s="1"/>
  <c r="C224" i="7"/>
  <c r="D101" i="2" s="1"/>
  <c r="E799" i="9" s="1"/>
  <c r="E182" i="9"/>
  <c r="D64" i="9"/>
  <c r="D116" i="9"/>
  <c r="AS64" i="9"/>
  <c r="C92" i="4"/>
  <c r="C43" i="7"/>
  <c r="C293" i="7"/>
  <c r="S674" i="9" s="1"/>
  <c r="AQ674" i="9" s="1"/>
  <c r="D341" i="9"/>
  <c r="D128" i="3"/>
  <c r="D148" i="3" s="1"/>
  <c r="C31" i="9"/>
  <c r="C290" i="3"/>
  <c r="D23" i="9"/>
  <c r="C350" i="3"/>
  <c r="C369" i="3" s="1"/>
  <c r="Y369" i="3" s="1"/>
  <c r="B10" i="5"/>
  <c r="AM2" i="4"/>
  <c r="AI220" i="3"/>
  <c r="AI174" i="3"/>
  <c r="S395" i="3" s="1"/>
  <c r="S396" i="3" s="1"/>
  <c r="AI217" i="3"/>
  <c r="AI219" i="3" s="1"/>
  <c r="R172" i="9"/>
  <c r="R190" i="9" s="1"/>
  <c r="AP190" i="9" s="1"/>
  <c r="S368" i="9"/>
  <c r="S352" i="9"/>
  <c r="Z190" i="9"/>
  <c r="AX190" i="9" s="1"/>
  <c r="Z30" i="6"/>
  <c r="S40" i="9"/>
  <c r="Z681" i="9"/>
  <c r="S759" i="9" s="1"/>
  <c r="S780" i="9" s="1"/>
  <c r="S216" i="9"/>
  <c r="S213" i="3"/>
  <c r="Z24" i="5"/>
  <c r="Z57" i="5"/>
  <c r="S297" i="9"/>
  <c r="S41" i="3"/>
  <c r="Y24" i="4"/>
  <c r="Y58" i="4" s="1"/>
  <c r="Y87" i="4" s="1"/>
  <c r="S365" i="9"/>
  <c r="D129" i="3"/>
  <c r="D149" i="3" s="1"/>
  <c r="D77" i="4"/>
  <c r="D4" i="6"/>
  <c r="E72" i="2"/>
  <c r="D222" i="9"/>
  <c r="D252" i="9" s="1"/>
  <c r="AQ62" i="3"/>
  <c r="AQ73" i="3" s="1"/>
  <c r="U108" i="9"/>
  <c r="AS108" i="9"/>
  <c r="U74" i="9"/>
  <c r="D109" i="3"/>
  <c r="D206" i="9"/>
  <c r="D43" i="6"/>
  <c r="U2" i="9"/>
  <c r="B10" i="6"/>
  <c r="B10" i="9"/>
  <c r="AU108" i="9"/>
  <c r="W108" i="9"/>
  <c r="C567" i="9"/>
  <c r="U2" i="3"/>
  <c r="AI144" i="3"/>
  <c r="D74" i="9"/>
  <c r="BC122" i="9"/>
  <c r="BC300" i="9" s="1"/>
  <c r="BC368" i="9" s="1"/>
  <c r="D73" i="6"/>
  <c r="BC324" i="9"/>
  <c r="AE324" i="9"/>
  <c r="D73" i="3"/>
  <c r="AA92" i="3"/>
  <c r="AA122" i="3" s="1"/>
  <c r="AA142" i="3" s="1"/>
  <c r="AY142" i="3" s="1"/>
  <c r="C176" i="3"/>
  <c r="C221" i="3" s="1"/>
  <c r="C35" i="4"/>
  <c r="D60" i="6" s="1"/>
  <c r="C302" i="7"/>
  <c r="C236" i="4" s="1"/>
  <c r="AZ235" i="4" s="1"/>
  <c r="C273" i="7"/>
  <c r="C589" i="9" s="1"/>
  <c r="C689" i="9" s="1"/>
  <c r="C691" i="9" s="1"/>
  <c r="AF713" i="9" s="1"/>
  <c r="Z668" i="9"/>
  <c r="Z134" i="9" s="1"/>
  <c r="AR42" i="4"/>
  <c r="AX668" i="9"/>
  <c r="AI598" i="9"/>
  <c r="AU150" i="9"/>
  <c r="AY150" i="9"/>
  <c r="BC150" i="9"/>
  <c r="AQ150" i="9"/>
  <c r="BG611" i="9"/>
  <c r="AI596" i="9"/>
  <c r="D142" i="9"/>
  <c r="D154" i="9" s="1"/>
  <c r="D165" i="9" s="1"/>
  <c r="W621" i="9"/>
  <c r="W639" i="9" s="1"/>
  <c r="C522" i="9"/>
  <c r="S380" i="9"/>
  <c r="S311" i="9"/>
  <c r="AE311" i="9"/>
  <c r="C512" i="9"/>
  <c r="AY380" i="9"/>
  <c r="AI597" i="9"/>
  <c r="W314" i="9"/>
  <c r="AQ311" i="9"/>
  <c r="BC314" i="9"/>
  <c r="BB668" i="9"/>
  <c r="AY314" i="9"/>
  <c r="AY383" i="9"/>
  <c r="Y549" i="9"/>
  <c r="BC311" i="9"/>
  <c r="Y570" i="9"/>
  <c r="Y561" i="9"/>
  <c r="Y579" i="9"/>
  <c r="Y551" i="9"/>
  <c r="D348" i="9"/>
  <c r="D417" i="9" s="1"/>
  <c r="AA621" i="9"/>
  <c r="AA639" i="9" s="1"/>
  <c r="AY621" i="9"/>
  <c r="AY639" i="9" s="1"/>
  <c r="AA300" i="9"/>
  <c r="C477" i="9"/>
  <c r="C457" i="9"/>
  <c r="D140" i="9"/>
  <c r="D152" i="9" s="1"/>
  <c r="D164" i="9" s="1"/>
  <c r="AQ621" i="9"/>
  <c r="AQ639" i="9" s="1"/>
  <c r="AE122" i="3"/>
  <c r="AE142" i="3" s="1"/>
  <c r="BC142" i="3" s="1"/>
  <c r="AU186" i="3"/>
  <c r="AU198" i="3" s="1"/>
  <c r="AQ92" i="3"/>
  <c r="C370" i="3"/>
  <c r="Y370" i="3" s="1"/>
  <c r="Y355" i="3"/>
  <c r="BF668" i="9"/>
  <c r="BF134" i="9" s="1"/>
  <c r="C146" i="3"/>
  <c r="D154" i="3" s="1"/>
  <c r="D134" i="3"/>
  <c r="C467" i="9"/>
  <c r="D327" i="9"/>
  <c r="D396" i="9" s="1"/>
  <c r="BC621" i="9"/>
  <c r="BC639" i="9" s="1"/>
  <c r="D146" i="9"/>
  <c r="D158" i="9" s="1"/>
  <c r="D167" i="9" s="1"/>
  <c r="AE621" i="9"/>
  <c r="AE639" i="9" s="1"/>
  <c r="C233" i="3"/>
  <c r="C240" i="3" s="1"/>
  <c r="C202" i="3"/>
  <c r="S168" i="3"/>
  <c r="AI393" i="3"/>
  <c r="AI599" i="9"/>
  <c r="Z146" i="5"/>
  <c r="AQ172" i="9"/>
  <c r="E174" i="9"/>
  <c r="C85" i="6"/>
  <c r="AE314" i="9"/>
  <c r="C291" i="7"/>
  <c r="AV157" i="5" s="1"/>
  <c r="C294" i="7"/>
  <c r="C298" i="7"/>
  <c r="D82" i="9" s="1"/>
  <c r="C405" i="7"/>
  <c r="C83" i="7"/>
  <c r="D628" i="9" s="1"/>
  <c r="AY628" i="9" s="1"/>
  <c r="C187" i="7"/>
  <c r="C230" i="4" s="1"/>
  <c r="C200" i="7"/>
  <c r="C150" i="7"/>
  <c r="D105" i="2" s="1"/>
  <c r="E803" i="9" s="1"/>
  <c r="S90" i="3"/>
  <c r="AI611" i="9"/>
  <c r="E74" i="2"/>
  <c r="D148" i="9"/>
  <c r="D160" i="9" s="1"/>
  <c r="D168" i="9" s="1"/>
  <c r="E178" i="9"/>
  <c r="C552" i="9"/>
  <c r="Y552" i="9" s="1"/>
  <c r="D37" i="3"/>
  <c r="AI92" i="3"/>
  <c r="C61" i="5"/>
  <c r="D85" i="5"/>
  <c r="D111" i="5" s="1"/>
  <c r="D130" i="5" s="1"/>
  <c r="D3" i="6"/>
  <c r="D61" i="6"/>
  <c r="C66" i="6"/>
  <c r="AN2" i="5"/>
  <c r="AG2" i="6" s="1"/>
  <c r="AY241" i="3"/>
  <c r="C299" i="7"/>
  <c r="D83" i="9" s="1"/>
  <c r="C404" i="7"/>
  <c r="C195" i="7"/>
  <c r="C37" i="7"/>
  <c r="C591" i="9" s="1"/>
  <c r="C208" i="7"/>
  <c r="C226" i="4" s="1"/>
  <c r="C125" i="7"/>
  <c r="D102" i="2" s="1"/>
  <c r="E800" i="9" s="1"/>
  <c r="C304" i="7"/>
  <c r="C238" i="4" s="1"/>
  <c r="D22" i="4"/>
  <c r="D184" i="9"/>
  <c r="AQ314" i="9"/>
  <c r="C20" i="7"/>
  <c r="C590" i="9" s="1"/>
  <c r="C706" i="9" s="1"/>
  <c r="C82" i="7"/>
  <c r="C188" i="7"/>
  <c r="C186" i="7"/>
  <c r="C229" i="4" s="1"/>
  <c r="C201" i="7"/>
  <c r="C300" i="7"/>
  <c r="C227" i="4" s="1"/>
  <c r="C151" i="7"/>
  <c r="D104" i="2" s="1"/>
  <c r="E802" i="9" s="1"/>
  <c r="C303" i="7"/>
  <c r="C237" i="4" s="1"/>
  <c r="W231" i="3"/>
  <c r="D128" i="2"/>
  <c r="D214" i="9"/>
  <c r="D331" i="9"/>
  <c r="D400" i="9" s="1"/>
  <c r="C439" i="9"/>
  <c r="C108" i="7"/>
  <c r="C228" i="4" s="1"/>
  <c r="C266" i="7"/>
  <c r="C193" i="4" s="1"/>
  <c r="U256" i="4" s="1"/>
  <c r="U328" i="4" s="1"/>
  <c r="C149" i="7"/>
  <c r="D106" i="2" s="1"/>
  <c r="U106" i="2" s="1"/>
  <c r="C301" i="7"/>
  <c r="C40" i="4" s="1"/>
  <c r="D80" i="6" s="1"/>
  <c r="C182" i="3"/>
  <c r="C227" i="3" s="1"/>
  <c r="C42" i="4"/>
  <c r="C90" i="4" s="1"/>
  <c r="C113" i="7"/>
  <c r="D631" i="9" s="1"/>
  <c r="D645" i="9" s="1"/>
  <c r="BC645" i="9" s="1"/>
  <c r="C185" i="7"/>
  <c r="C231" i="4" s="1"/>
  <c r="C117" i="7"/>
  <c r="D103" i="2" s="1"/>
  <c r="S118" i="3"/>
  <c r="S120" i="9"/>
  <c r="C221" i="9"/>
  <c r="D249" i="9"/>
  <c r="AU380" i="9"/>
  <c r="AR146" i="5"/>
  <c r="AA234" i="3"/>
  <c r="AA241" i="3"/>
  <c r="C383" i="3"/>
  <c r="Y383" i="3" s="1"/>
  <c r="C365" i="3"/>
  <c r="Y365" i="3" s="1"/>
  <c r="Y354" i="3"/>
  <c r="C364" i="3"/>
  <c r="Y364" i="3" s="1"/>
  <c r="V172" i="9"/>
  <c r="W300" i="9"/>
  <c r="Y353" i="3"/>
  <c r="Y361" i="3"/>
  <c r="Y351" i="3"/>
  <c r="C374" i="3"/>
  <c r="Y374" i="3" s="1"/>
  <c r="BG300" i="9"/>
  <c r="BG368" i="9" s="1"/>
  <c r="BG172" i="9"/>
  <c r="BF281" i="9" s="1"/>
  <c r="AY186" i="3"/>
  <c r="AY198" i="3" s="1"/>
  <c r="AA198" i="3"/>
  <c r="AA231" i="3"/>
  <c r="C577" i="9"/>
  <c r="Y577" i="9" s="1"/>
  <c r="C568" i="9"/>
  <c r="Y568" i="9" s="1"/>
  <c r="C559" i="9"/>
  <c r="Y559" i="9" s="1"/>
  <c r="D132" i="9"/>
  <c r="D44" i="9"/>
  <c r="C558" i="9"/>
  <c r="W92" i="3"/>
  <c r="AU122" i="9"/>
  <c r="AQ122" i="3"/>
  <c r="S142" i="3"/>
  <c r="AQ142" i="3" s="1"/>
  <c r="Y372" i="3"/>
  <c r="C39" i="5"/>
  <c r="D70" i="6"/>
  <c r="AU156" i="3"/>
  <c r="AH136" i="3"/>
  <c r="W156" i="3" s="1"/>
  <c r="S383" i="9"/>
  <c r="S314" i="9"/>
  <c r="AI221" i="3"/>
  <c r="C379" i="3"/>
  <c r="Y379" i="3" s="1"/>
  <c r="C289" i="9"/>
  <c r="W324" i="9"/>
  <c r="C553" i="9"/>
  <c r="AY341" i="9"/>
  <c r="AY393" i="9" s="1"/>
  <c r="AY410" i="9" s="1"/>
  <c r="AA341" i="9"/>
  <c r="BG221" i="3"/>
  <c r="B10" i="3"/>
  <c r="C91" i="4"/>
  <c r="D74" i="4" s="1"/>
  <c r="AA383" i="9"/>
  <c r="AA314" i="9"/>
  <c r="C356" i="3"/>
  <c r="C555" i="9"/>
  <c r="F694" i="9" s="1"/>
  <c r="D155" i="2"/>
  <c r="AD122" i="9"/>
  <c r="AY324" i="9"/>
  <c r="C576" i="9"/>
  <c r="BF136" i="3"/>
  <c r="C33" i="4"/>
  <c r="C161" i="3"/>
  <c r="S270" i="3"/>
  <c r="S661" i="9"/>
  <c r="AY122" i="9"/>
  <c r="B9" i="4"/>
  <c r="B9" i="5"/>
  <c r="AE640" i="9"/>
  <c r="BC383" i="9"/>
  <c r="AU314" i="9"/>
  <c r="AU383" i="9"/>
  <c r="AY640" i="9"/>
  <c r="D68" i="6"/>
  <c r="AU640" i="9"/>
  <c r="AH668" i="9"/>
  <c r="AH134" i="9" s="1"/>
  <c r="AD668" i="9"/>
  <c r="AD134" i="9" s="1"/>
  <c r="AT668" i="9"/>
  <c r="AO2" i="9"/>
  <c r="AA380" i="9"/>
  <c r="AA311" i="9"/>
  <c r="V668" i="9"/>
  <c r="W311" i="9"/>
  <c r="AQ640" i="9"/>
  <c r="AQ269" i="3" l="1"/>
  <c r="AQ661" i="9"/>
  <c r="AQ270" i="3"/>
  <c r="S660" i="9"/>
  <c r="S269" i="3"/>
  <c r="I197" i="5"/>
  <c r="T70" i="6"/>
  <c r="N202" i="5"/>
  <c r="N201" i="5"/>
  <c r="N199" i="5"/>
  <c r="N198" i="5"/>
  <c r="N197" i="5"/>
  <c r="D499" i="9"/>
  <c r="BE502" i="9" s="1"/>
  <c r="C39" i="3"/>
  <c r="C38" i="9"/>
  <c r="C118" i="9" s="1"/>
  <c r="D79" i="3"/>
  <c r="E404" i="9"/>
  <c r="E335" i="9"/>
  <c r="D228" i="9"/>
  <c r="D258" i="9" s="1"/>
  <c r="E40" i="6"/>
  <c r="C208" i="5"/>
  <c r="D123" i="2"/>
  <c r="C209" i="5"/>
  <c r="D124" i="2"/>
  <c r="S445" i="9"/>
  <c r="C433" i="3"/>
  <c r="E81" i="3"/>
  <c r="E88" i="9"/>
  <c r="S446" i="9"/>
  <c r="C699" i="9" s="1"/>
  <c r="C434" i="3"/>
  <c r="E97" i="5"/>
  <c r="E138" i="5" s="1"/>
  <c r="E76" i="6"/>
  <c r="AF439" i="9"/>
  <c r="D458" i="9"/>
  <c r="N439" i="9"/>
  <c r="AG235" i="4"/>
  <c r="AG236" i="4" s="1"/>
  <c r="D86" i="9"/>
  <c r="W629" i="9"/>
  <c r="AA629" i="9"/>
  <c r="N440" i="9"/>
  <c r="D459" i="9"/>
  <c r="AC462" i="9" s="1"/>
  <c r="E100" i="9"/>
  <c r="W100" i="9" s="1"/>
  <c r="S403" i="9" s="1"/>
  <c r="AR31" i="5"/>
  <c r="Z31" i="5"/>
  <c r="J360" i="4"/>
  <c r="W395" i="3"/>
  <c r="W396" i="3" s="1"/>
  <c r="W398" i="3" s="1"/>
  <c r="W101" i="3" s="1"/>
  <c r="AQ396" i="3"/>
  <c r="AQ398" i="3" s="1"/>
  <c r="AQ101" i="3" s="1"/>
  <c r="W800" i="9"/>
  <c r="AU802" i="9"/>
  <c r="W803" i="9"/>
  <c r="AU799" i="9"/>
  <c r="W141" i="2"/>
  <c r="O135" i="2"/>
  <c r="D387" i="9"/>
  <c r="BC629" i="9"/>
  <c r="D229" i="9"/>
  <c r="D259" i="9" s="1"/>
  <c r="E41" i="6"/>
  <c r="AM2" i="5"/>
  <c r="AF2" i="6" s="1"/>
  <c r="AU629" i="9"/>
  <c r="S629" i="9"/>
  <c r="E8" i="7"/>
  <c r="AM2" i="9" s="1"/>
  <c r="W148" i="2"/>
  <c r="BQ31" i="4" s="1"/>
  <c r="BQ33" i="4" s="1"/>
  <c r="E60" i="2"/>
  <c r="AY629" i="9"/>
  <c r="D240" i="9"/>
  <c r="D270" i="9" s="1"/>
  <c r="E51" i="6"/>
  <c r="AQ629" i="9"/>
  <c r="D234" i="9"/>
  <c r="D264" i="9" s="1"/>
  <c r="E50" i="6"/>
  <c r="AL2" i="4"/>
  <c r="D246" i="9"/>
  <c r="D276" i="9" s="1"/>
  <c r="E52" i="6"/>
  <c r="C413" i="4"/>
  <c r="AG413" i="4" s="1"/>
  <c r="C198" i="5"/>
  <c r="C411" i="4"/>
  <c r="AG411" i="4" s="1"/>
  <c r="C196" i="5"/>
  <c r="D77" i="6"/>
  <c r="D142" i="5"/>
  <c r="D113" i="5"/>
  <c r="C412" i="4"/>
  <c r="AG412" i="4" s="1"/>
  <c r="C197" i="5"/>
  <c r="C414" i="4"/>
  <c r="AG414" i="4" s="1"/>
  <c r="C199" i="5"/>
  <c r="Y157" i="2"/>
  <c r="BP157" i="2" s="1"/>
  <c r="C417" i="4"/>
  <c r="AG417" i="4" s="1"/>
  <c r="C202" i="5"/>
  <c r="AA202" i="5" s="1"/>
  <c r="C415" i="4"/>
  <c r="AG415" i="4" s="1"/>
  <c r="C200" i="5"/>
  <c r="C416" i="4"/>
  <c r="AG416" i="4" s="1"/>
  <c r="C201" i="5"/>
  <c r="AC101" i="2"/>
  <c r="U29" i="4"/>
  <c r="W145" i="2"/>
  <c r="AN2" i="9"/>
  <c r="U28" i="5"/>
  <c r="BJ198" i="2"/>
  <c r="S198" i="2"/>
  <c r="W627" i="9"/>
  <c r="AQ627" i="9"/>
  <c r="AQ17" i="5"/>
  <c r="AR17" i="4"/>
  <c r="AR18" i="6"/>
  <c r="BC627" i="9"/>
  <c r="S627" i="9"/>
  <c r="AA627" i="9"/>
  <c r="AA630" i="9"/>
  <c r="AE627" i="9"/>
  <c r="AY627" i="9"/>
  <c r="U482" i="9"/>
  <c r="D282" i="3"/>
  <c r="BE285" i="3" s="1"/>
  <c r="AU341" i="9"/>
  <c r="O328" i="4"/>
  <c r="N367" i="4"/>
  <c r="AB367" i="4"/>
  <c r="AC328" i="4"/>
  <c r="U367" i="4"/>
  <c r="V328" i="4"/>
  <c r="Z192" i="4"/>
  <c r="Y135" i="4"/>
  <c r="BP156" i="2"/>
  <c r="AU234" i="9"/>
  <c r="W264" i="9"/>
  <c r="AU264" i="9" s="1"/>
  <c r="AU100" i="9"/>
  <c r="D188" i="9"/>
  <c r="D352" i="9"/>
  <c r="D421" i="9" s="1"/>
  <c r="C362" i="3"/>
  <c r="Y362" i="3" s="1"/>
  <c r="C371" i="3"/>
  <c r="Y371" i="3" s="1"/>
  <c r="C380" i="3"/>
  <c r="Y380" i="3" s="1"/>
  <c r="W270" i="9"/>
  <c r="AU270" i="9" s="1"/>
  <c r="AU240" i="9"/>
  <c r="W276" i="9"/>
  <c r="AU276" i="9" s="1"/>
  <c r="AU246" i="9"/>
  <c r="W101" i="9"/>
  <c r="AU101" i="9"/>
  <c r="D48" i="2"/>
  <c r="E99" i="9"/>
  <c r="AQ217" i="9"/>
  <c r="S217" i="9"/>
  <c r="C123" i="4"/>
  <c r="D237" i="9"/>
  <c r="D267" i="9" s="1"/>
  <c r="C709" i="9"/>
  <c r="C692" i="9"/>
  <c r="C726" i="9"/>
  <c r="C743" i="9"/>
  <c r="AS192" i="4"/>
  <c r="C599" i="9"/>
  <c r="C740" i="9" s="1"/>
  <c r="C742" i="9" s="1"/>
  <c r="AQ644" i="9"/>
  <c r="S630" i="9"/>
  <c r="AY630" i="9"/>
  <c r="W630" i="9"/>
  <c r="Y350" i="3"/>
  <c r="C378" i="3"/>
  <c r="Y378" i="3" s="1"/>
  <c r="D81" i="5"/>
  <c r="C66" i="5"/>
  <c r="D410" i="9"/>
  <c r="C573" i="9"/>
  <c r="Y573" i="9" s="1"/>
  <c r="Y554" i="9"/>
  <c r="C582" i="9"/>
  <c r="Y582" i="9" s="1"/>
  <c r="R151" i="4"/>
  <c r="D2" i="9"/>
  <c r="D2" i="5"/>
  <c r="D2" i="4"/>
  <c r="D2" i="3"/>
  <c r="AA644" i="9"/>
  <c r="AQ630" i="9"/>
  <c r="S644" i="9"/>
  <c r="AE630" i="9"/>
  <c r="C569" i="9"/>
  <c r="Y569" i="9" s="1"/>
  <c r="D668" i="9"/>
  <c r="D134" i="9"/>
  <c r="D46" i="9"/>
  <c r="BC644" i="9"/>
  <c r="BC646" i="9" s="1"/>
  <c r="BC649" i="9" s="1"/>
  <c r="AU630" i="9"/>
  <c r="C188" i="4"/>
  <c r="AR18" i="9"/>
  <c r="BC630" i="9"/>
  <c r="R39" i="5"/>
  <c r="D111" i="2"/>
  <c r="C181" i="3"/>
  <c r="C226" i="3" s="1"/>
  <c r="C183" i="4"/>
  <c r="N257" i="4" s="1"/>
  <c r="N329" i="4" s="1"/>
  <c r="D126" i="5"/>
  <c r="AI300" i="9"/>
  <c r="AI368" i="9" s="1"/>
  <c r="O133" i="2"/>
  <c r="AQ681" i="9" s="1"/>
  <c r="AQ759" i="9" s="1"/>
  <c r="AQ780" i="9" s="1"/>
  <c r="AI172" i="9"/>
  <c r="AH281" i="9" s="1"/>
  <c r="Y550" i="9"/>
  <c r="C578" i="9"/>
  <c r="Y578" i="9" s="1"/>
  <c r="C360" i="3"/>
  <c r="Y360" i="3" s="1"/>
  <c r="W799" i="9"/>
  <c r="BA289" i="9"/>
  <c r="BA428" i="9" s="1"/>
  <c r="AZ161" i="3"/>
  <c r="AZ246" i="3"/>
  <c r="AC102" i="2"/>
  <c r="D55" i="6"/>
  <c r="C90" i="6" s="1"/>
  <c r="C38" i="2"/>
  <c r="D133" i="3"/>
  <c r="D153" i="3" s="1"/>
  <c r="D116" i="2"/>
  <c r="E804" i="9"/>
  <c r="AU800" i="9"/>
  <c r="W802" i="9"/>
  <c r="AU803" i="9"/>
  <c r="AC103" i="2"/>
  <c r="E801" i="9"/>
  <c r="AY92" i="3"/>
  <c r="AY122" i="3"/>
  <c r="AP281" i="9"/>
  <c r="AP782" i="9"/>
  <c r="AX281" i="9"/>
  <c r="AX782" i="9"/>
  <c r="S421" i="9"/>
  <c r="AQ352" i="9"/>
  <c r="AQ421" i="9" s="1"/>
  <c r="R782" i="9"/>
  <c r="R809" i="9" s="1"/>
  <c r="R281" i="9"/>
  <c r="Z782" i="9"/>
  <c r="Z809" i="9" s="1"/>
  <c r="Z281" i="9"/>
  <c r="W368" i="9"/>
  <c r="W352" i="9"/>
  <c r="AA368" i="9"/>
  <c r="AA352" i="9"/>
  <c r="AH829" i="9"/>
  <c r="BF829" i="9" s="1"/>
  <c r="AH867" i="9"/>
  <c r="V190" i="9"/>
  <c r="AT190" i="9" s="1"/>
  <c r="C596" i="9"/>
  <c r="AB713" i="9"/>
  <c r="AH694" i="9"/>
  <c r="AF696" i="9"/>
  <c r="AS696" i="9"/>
  <c r="AD712" i="9"/>
  <c r="AY695" i="9"/>
  <c r="C603" i="9"/>
  <c r="AA603" i="9" s="1"/>
  <c r="BC172" i="9"/>
  <c r="Z713" i="9"/>
  <c r="AH713" i="9"/>
  <c r="Z696" i="9"/>
  <c r="AU695" i="9"/>
  <c r="AB712" i="9"/>
  <c r="W606" i="9"/>
  <c r="AU696" i="9"/>
  <c r="AD695" i="9"/>
  <c r="AW695" i="9"/>
  <c r="AB694" i="9"/>
  <c r="AS694" i="9"/>
  <c r="AH696" i="9"/>
  <c r="AW694" i="9"/>
  <c r="Z712" i="9"/>
  <c r="Z694" i="9"/>
  <c r="AY694" i="9"/>
  <c r="AU694" i="9"/>
  <c r="AH695" i="9"/>
  <c r="AF695" i="9"/>
  <c r="AD696" i="9"/>
  <c r="C698" i="9"/>
  <c r="Z701" i="9" s="1"/>
  <c r="AQ694" i="9"/>
  <c r="AS695" i="9"/>
  <c r="Z695" i="9"/>
  <c r="AF712" i="9"/>
  <c r="AB695" i="9"/>
  <c r="AQ695" i="9"/>
  <c r="AY696" i="9"/>
  <c r="AD694" i="9"/>
  <c r="AF694" i="9"/>
  <c r="AD713" i="9"/>
  <c r="AW696" i="9"/>
  <c r="AQ696" i="9"/>
  <c r="AH712" i="9"/>
  <c r="AB696" i="9"/>
  <c r="BC122" i="3"/>
  <c r="D147" i="5"/>
  <c r="AY631" i="9"/>
  <c r="AA631" i="9"/>
  <c r="W645" i="9"/>
  <c r="W646" i="9" s="1"/>
  <c r="W649" i="9" s="1"/>
  <c r="S645" i="9"/>
  <c r="BG311" i="9"/>
  <c r="BP163" i="2" s="1"/>
  <c r="S606" i="9"/>
  <c r="C708" i="9"/>
  <c r="C715" i="9"/>
  <c r="F701" i="9"/>
  <c r="F711" i="9"/>
  <c r="S546" i="9"/>
  <c r="Z686" i="9" s="1"/>
  <c r="AQ686" i="9" s="1"/>
  <c r="F695" i="9"/>
  <c r="AA606" i="9"/>
  <c r="AA645" i="9"/>
  <c r="W631" i="9"/>
  <c r="AY645" i="9"/>
  <c r="AE645" i="9"/>
  <c r="AQ631" i="9"/>
  <c r="AQ628" i="9"/>
  <c r="W628" i="9"/>
  <c r="S628" i="9"/>
  <c r="AA628" i="9"/>
  <c r="AE628" i="9"/>
  <c r="BC628" i="9"/>
  <c r="C562" i="9"/>
  <c r="Y562" i="9" s="1"/>
  <c r="AU628" i="9"/>
  <c r="AQ645" i="9"/>
  <c r="AG227" i="4"/>
  <c r="AZ227" i="4"/>
  <c r="AZ226" i="4"/>
  <c r="AG226" i="4"/>
  <c r="BG380" i="9"/>
  <c r="U104" i="2"/>
  <c r="C186" i="4"/>
  <c r="Q257" i="4" s="1"/>
  <c r="Q329" i="4" s="1"/>
  <c r="D114" i="2"/>
  <c r="D346" i="9"/>
  <c r="D415" i="9" s="1"/>
  <c r="AZ229" i="4"/>
  <c r="AG229" i="4"/>
  <c r="C605" i="9"/>
  <c r="C598" i="9"/>
  <c r="C723" i="9" s="1"/>
  <c r="C187" i="4"/>
  <c r="D115" i="2"/>
  <c r="U105" i="2"/>
  <c r="BG393" i="3"/>
  <c r="AI391" i="3"/>
  <c r="BG391" i="3" s="1"/>
  <c r="AG231" i="4"/>
  <c r="AZ231" i="4"/>
  <c r="AY644" i="9"/>
  <c r="D338" i="9"/>
  <c r="D349" i="9" s="1"/>
  <c r="D418" i="9" s="1"/>
  <c r="AG228" i="4"/>
  <c r="AZ228" i="4"/>
  <c r="AU231" i="3"/>
  <c r="W238" i="3"/>
  <c r="AU238" i="3" s="1"/>
  <c r="C440" i="9"/>
  <c r="C260" i="3"/>
  <c r="D120" i="2"/>
  <c r="W149" i="2" s="1"/>
  <c r="C408" i="4"/>
  <c r="C64" i="5"/>
  <c r="D151" i="4"/>
  <c r="C97" i="4"/>
  <c r="AE78" i="2"/>
  <c r="AX157" i="4"/>
  <c r="AW100" i="6"/>
  <c r="D150" i="4"/>
  <c r="BC631" i="9"/>
  <c r="AU631" i="9"/>
  <c r="AE631" i="9"/>
  <c r="D626" i="9"/>
  <c r="D281" i="3"/>
  <c r="S631" i="9"/>
  <c r="C580" i="9"/>
  <c r="Y580" i="9" s="1"/>
  <c r="C251" i="9"/>
  <c r="C185" i="4"/>
  <c r="P257" i="4" s="1"/>
  <c r="P329" i="4" s="1"/>
  <c r="D113" i="2"/>
  <c r="C604" i="9"/>
  <c r="C597" i="9"/>
  <c r="AG230" i="4"/>
  <c r="AZ230" i="4"/>
  <c r="C96" i="4"/>
  <c r="AE644" i="9"/>
  <c r="C571" i="9"/>
  <c r="Y571" i="9" s="1"/>
  <c r="D112" i="2"/>
  <c r="C184" i="4"/>
  <c r="O257" i="4" s="1"/>
  <c r="O329" i="4" s="1"/>
  <c r="BG92" i="3"/>
  <c r="AI122" i="3"/>
  <c r="BG668" i="9"/>
  <c r="AQ670" i="9" s="1"/>
  <c r="AQ136" i="9" s="1"/>
  <c r="AS150" i="4"/>
  <c r="AW81" i="6"/>
  <c r="AZ237" i="4"/>
  <c r="AY300" i="9"/>
  <c r="AY368" i="9" s="1"/>
  <c r="AY172" i="9"/>
  <c r="W370" i="9"/>
  <c r="AZ236" i="4"/>
  <c r="C384" i="3"/>
  <c r="Y384" i="3" s="1"/>
  <c r="C366" i="3"/>
  <c r="Y366" i="3" s="1"/>
  <c r="Y356" i="3"/>
  <c r="C375" i="3"/>
  <c r="Y375" i="3" s="1"/>
  <c r="AU396" i="3"/>
  <c r="AU398" i="3" s="1"/>
  <c r="AU101" i="3" s="1"/>
  <c r="AY395" i="3"/>
  <c r="AI380" i="9"/>
  <c r="C572" i="9"/>
  <c r="Y572" i="9" s="1"/>
  <c r="C563" i="9"/>
  <c r="Y563" i="9" s="1"/>
  <c r="Y553" i="9"/>
  <c r="C581" i="9"/>
  <c r="Y581" i="9" s="1"/>
  <c r="BG226" i="3"/>
  <c r="BG228" i="3" s="1"/>
  <c r="BG147" i="3" s="1"/>
  <c r="BG153" i="3"/>
  <c r="BJ178" i="2" s="1"/>
  <c r="BP178" i="2" s="1"/>
  <c r="C583" i="9"/>
  <c r="Y583" i="9" s="1"/>
  <c r="C565" i="9"/>
  <c r="Y565" i="9" s="1"/>
  <c r="Y555" i="9"/>
  <c r="C574" i="9"/>
  <c r="Y574" i="9" s="1"/>
  <c r="AE300" i="9"/>
  <c r="AD172" i="9"/>
  <c r="S398" i="3"/>
  <c r="S101" i="3" s="1"/>
  <c r="AI226" i="3"/>
  <c r="AI153" i="3"/>
  <c r="S178" i="2" s="1"/>
  <c r="Y178" i="2" s="1"/>
  <c r="AA395" i="3"/>
  <c r="AI311" i="9"/>
  <c r="Y163" i="2" s="1"/>
  <c r="W341" i="9"/>
  <c r="W393" i="9"/>
  <c r="W410" i="9" s="1"/>
  <c r="AA370" i="9"/>
  <c r="AZ238" i="4"/>
  <c r="D134" i="5"/>
  <c r="D148" i="5"/>
  <c r="AU172" i="9"/>
  <c r="AU300" i="9"/>
  <c r="AU368" i="9" s="1"/>
  <c r="AI668" i="9"/>
  <c r="S670" i="9" s="1"/>
  <c r="S136" i="9" s="1"/>
  <c r="V134" i="9"/>
  <c r="AU644" i="9"/>
  <c r="AU645" i="9"/>
  <c r="W122" i="3"/>
  <c r="AU92" i="3"/>
  <c r="AY231" i="3"/>
  <c r="AA238" i="3"/>
  <c r="AY238" i="3" s="1"/>
  <c r="AC502" i="9" l="1"/>
  <c r="AW502" i="9"/>
  <c r="BA502" i="9"/>
  <c r="AW462" i="9"/>
  <c r="AG462" i="9"/>
  <c r="AG502" i="9"/>
  <c r="AS502" i="9"/>
  <c r="U502" i="9"/>
  <c r="Y502" i="9"/>
  <c r="D514" i="9"/>
  <c r="AC517" i="9" s="1"/>
  <c r="BE462" i="9"/>
  <c r="C733" i="9"/>
  <c r="C716" i="9"/>
  <c r="AK2" i="4"/>
  <c r="C750" i="9"/>
  <c r="U462" i="9"/>
  <c r="AS462" i="9"/>
  <c r="Y462" i="9"/>
  <c r="AE81" i="6"/>
  <c r="AG237" i="4"/>
  <c r="Z150" i="4"/>
  <c r="AG238" i="4"/>
  <c r="U27" i="5"/>
  <c r="AQ107" i="3"/>
  <c r="AQ105" i="3"/>
  <c r="W107" i="3"/>
  <c r="W105" i="3"/>
  <c r="S107" i="3"/>
  <c r="S105" i="3"/>
  <c r="BA462" i="9"/>
  <c r="BA492" i="9"/>
  <c r="D469" i="9"/>
  <c r="BA472" i="9" s="1"/>
  <c r="AI370" i="9"/>
  <c r="BG370" i="9"/>
  <c r="X199" i="5"/>
  <c r="AM199" i="5"/>
  <c r="U32" i="5"/>
  <c r="AM201" i="5"/>
  <c r="X201" i="5"/>
  <c r="X198" i="5"/>
  <c r="AM198" i="5" s="1"/>
  <c r="AM197" i="5"/>
  <c r="X197" i="5"/>
  <c r="AY200" i="5"/>
  <c r="AM200" i="5"/>
  <c r="X200" i="5"/>
  <c r="AS196" i="5"/>
  <c r="X196" i="5"/>
  <c r="AM196" i="5" s="1"/>
  <c r="AY202" i="5"/>
  <c r="AM202" i="5"/>
  <c r="X202" i="5"/>
  <c r="AY199" i="5"/>
  <c r="AY201" i="5"/>
  <c r="AY198" i="5"/>
  <c r="AY197" i="5"/>
  <c r="R257" i="4"/>
  <c r="R329" i="4" s="1"/>
  <c r="R368" i="4" s="1"/>
  <c r="Z193" i="4"/>
  <c r="Z194" i="4"/>
  <c r="S257" i="4"/>
  <c r="S329" i="4" s="1"/>
  <c r="S368" i="4" s="1"/>
  <c r="Z195" i="4"/>
  <c r="AS193" i="4"/>
  <c r="AS194" i="4"/>
  <c r="AS195" i="4"/>
  <c r="BN30" i="6"/>
  <c r="BM24" i="5"/>
  <c r="S206" i="9"/>
  <c r="W238" i="9"/>
  <c r="W268" i="9" s="1"/>
  <c r="AI228" i="3"/>
  <c r="AI147" i="3" s="1"/>
  <c r="AK106" i="2"/>
  <c r="AQ37" i="3"/>
  <c r="AC482" i="9"/>
  <c r="AM2" i="3"/>
  <c r="AL2" i="5"/>
  <c r="AE2" i="6" s="1"/>
  <c r="BE482" i="9"/>
  <c r="AS482" i="9"/>
  <c r="Y482" i="9"/>
  <c r="AR22" i="4"/>
  <c r="AR22" i="5"/>
  <c r="AR23" i="6"/>
  <c r="D149" i="5"/>
  <c r="E140" i="5"/>
  <c r="AA196" i="5"/>
  <c r="AG196" i="5"/>
  <c r="AG418" i="4"/>
  <c r="U34" i="5"/>
  <c r="AQ36" i="9"/>
  <c r="C749" i="9"/>
  <c r="Z753" i="9" s="1"/>
  <c r="AK105" i="2"/>
  <c r="AK104" i="2"/>
  <c r="AC104" i="2"/>
  <c r="AC105" i="2"/>
  <c r="AC106" i="2"/>
  <c r="BA482" i="9"/>
  <c r="AS285" i="3"/>
  <c r="AG482" i="9"/>
  <c r="D534" i="9"/>
  <c r="AG537" i="9" s="1"/>
  <c r="AW482" i="9"/>
  <c r="AQ646" i="9"/>
  <c r="AQ649" i="9" s="1"/>
  <c r="AG492" i="9"/>
  <c r="AG285" i="3"/>
  <c r="BA285" i="3"/>
  <c r="AS492" i="9"/>
  <c r="D327" i="3"/>
  <c r="Y330" i="3" s="1"/>
  <c r="AC492" i="9"/>
  <c r="Y285" i="3"/>
  <c r="BE492" i="9"/>
  <c r="D312" i="3"/>
  <c r="AC315" i="3" s="1"/>
  <c r="AW492" i="9"/>
  <c r="D292" i="3"/>
  <c r="AC295" i="3" s="1"/>
  <c r="Y492" i="9"/>
  <c r="AW285" i="3"/>
  <c r="AC285" i="3"/>
  <c r="D302" i="3"/>
  <c r="AW305" i="3" s="1"/>
  <c r="U492" i="9"/>
  <c r="U285" i="3"/>
  <c r="BA527" i="9"/>
  <c r="AU105" i="3"/>
  <c r="AU107" i="3" s="1"/>
  <c r="O367" i="4"/>
  <c r="P328" i="4"/>
  <c r="Q368" i="4"/>
  <c r="X329" i="4"/>
  <c r="AM329" i="4" s="1"/>
  <c r="AE329" i="4"/>
  <c r="W328" i="4"/>
  <c r="V367" i="4"/>
  <c r="O368" i="4"/>
  <c r="AC329" i="4"/>
  <c r="V329" i="4"/>
  <c r="AK329" i="4" s="1"/>
  <c r="N368" i="4"/>
  <c r="AB329" i="4"/>
  <c r="U329" i="4"/>
  <c r="AJ329" i="4" s="1"/>
  <c r="AD328" i="4"/>
  <c r="AC367" i="4"/>
  <c r="P368" i="4"/>
  <c r="W329" i="4"/>
  <c r="AD329" i="4"/>
  <c r="O286" i="4"/>
  <c r="AC257" i="4"/>
  <c r="V257" i="4"/>
  <c r="N286" i="4"/>
  <c r="U257" i="4"/>
  <c r="AB257" i="4"/>
  <c r="P286" i="4"/>
  <c r="AD257" i="4"/>
  <c r="W257" i="4"/>
  <c r="Q286" i="4"/>
  <c r="X257" i="4"/>
  <c r="AE257" i="4"/>
  <c r="AA646" i="9"/>
  <c r="AA649" i="9" s="1"/>
  <c r="C243" i="4"/>
  <c r="AZ243" i="4" s="1"/>
  <c r="S208" i="9"/>
  <c r="Y368" i="3"/>
  <c r="AA94" i="3" s="1"/>
  <c r="AY94" i="3" s="1"/>
  <c r="BF765" i="9"/>
  <c r="AH765" i="9"/>
  <c r="W99" i="9"/>
  <c r="S334" i="9"/>
  <c r="S100" i="9"/>
  <c r="AQ335" i="9"/>
  <c r="AU238" i="9"/>
  <c r="AU268" i="9" s="1"/>
  <c r="AQ208" i="9"/>
  <c r="AP831" i="9"/>
  <c r="AQ206" i="9"/>
  <c r="AR30" i="5"/>
  <c r="AW47" i="6"/>
  <c r="AQ404" i="9"/>
  <c r="AQ403" i="9"/>
  <c r="AQ334" i="9"/>
  <c r="AU99" i="9"/>
  <c r="S335" i="9"/>
  <c r="Y47" i="6"/>
  <c r="AE47" i="6" s="1"/>
  <c r="S404" i="9"/>
  <c r="R831" i="9"/>
  <c r="Z30" i="5"/>
  <c r="S101" i="9"/>
  <c r="U30" i="5" s="1"/>
  <c r="Y349" i="3"/>
  <c r="S94" i="3" s="1"/>
  <c r="AQ94" i="3" s="1"/>
  <c r="Y377" i="3"/>
  <c r="AE94" i="3" s="1"/>
  <c r="BC94" i="3" s="1"/>
  <c r="S646" i="9"/>
  <c r="S649" i="9" s="1"/>
  <c r="C248" i="4"/>
  <c r="AZ248" i="4" s="1"/>
  <c r="AI352" i="9"/>
  <c r="BG352" i="9" s="1"/>
  <c r="BG421" i="9" s="1"/>
  <c r="AQ40" i="9"/>
  <c r="AQ365" i="9"/>
  <c r="AR24" i="4"/>
  <c r="AR57" i="5"/>
  <c r="AR24" i="5"/>
  <c r="AR30" i="6"/>
  <c r="AQ213" i="3"/>
  <c r="AQ90" i="3"/>
  <c r="AQ297" i="9"/>
  <c r="Y359" i="3"/>
  <c r="W94" i="3" s="1"/>
  <c r="AU94" i="3" s="1"/>
  <c r="AQ120" i="9"/>
  <c r="AQ168" i="3"/>
  <c r="AQ216" i="9"/>
  <c r="AQ41" i="3"/>
  <c r="AQ118" i="3"/>
  <c r="AU801" i="9"/>
  <c r="W801" i="9"/>
  <c r="AU804" i="9"/>
  <c r="W804" i="9"/>
  <c r="AT281" i="9"/>
  <c r="AT782" i="9"/>
  <c r="R842" i="9"/>
  <c r="R867" i="9" s="1"/>
  <c r="AQ867" i="9" s="1"/>
  <c r="W421" i="9"/>
  <c r="AU352" i="9"/>
  <c r="AU421" i="9" s="1"/>
  <c r="AA421" i="9"/>
  <c r="AY352" i="9"/>
  <c r="AY421" i="9" s="1"/>
  <c r="Z842" i="9"/>
  <c r="Z867" i="9" s="1"/>
  <c r="AY867" i="9" s="1"/>
  <c r="V782" i="9"/>
  <c r="V842" i="9" s="1"/>
  <c r="V867" i="9" s="1"/>
  <c r="AU867" i="9" s="1"/>
  <c r="V281" i="9"/>
  <c r="AE368" i="9"/>
  <c r="AE352" i="9"/>
  <c r="AD190" i="9"/>
  <c r="BB190" i="9" s="1"/>
  <c r="Z703" i="9"/>
  <c r="AD701" i="9"/>
  <c r="AQ701" i="9"/>
  <c r="S603" i="9"/>
  <c r="W603" i="9"/>
  <c r="AW701" i="9"/>
  <c r="AQ703" i="9"/>
  <c r="AD702" i="9"/>
  <c r="AY703" i="9"/>
  <c r="AH701" i="9"/>
  <c r="AU701" i="9"/>
  <c r="AB702" i="9"/>
  <c r="AS702" i="9"/>
  <c r="AF702" i="9"/>
  <c r="AW702" i="9"/>
  <c r="AF701" i="9"/>
  <c r="AS703" i="9"/>
  <c r="AD703" i="9"/>
  <c r="AU702" i="9"/>
  <c r="AH703" i="9"/>
  <c r="AW703" i="9"/>
  <c r="AY701" i="9"/>
  <c r="AF703" i="9"/>
  <c r="AB701" i="9"/>
  <c r="AU703" i="9"/>
  <c r="AY702" i="9"/>
  <c r="Z702" i="9"/>
  <c r="AS701" i="9"/>
  <c r="AQ702" i="9"/>
  <c r="AB703" i="9"/>
  <c r="AJ693" i="9"/>
  <c r="AE603" i="9"/>
  <c r="BA693" i="9"/>
  <c r="AH702" i="9"/>
  <c r="U107" i="2"/>
  <c r="W144" i="2" s="1"/>
  <c r="W146" i="2" s="1"/>
  <c r="AI606" i="9"/>
  <c r="AF720" i="9"/>
  <c r="AD718" i="9"/>
  <c r="AH720" i="9"/>
  <c r="Z718" i="9"/>
  <c r="Z719" i="9"/>
  <c r="AF719" i="9"/>
  <c r="AB720" i="9"/>
  <c r="AD720" i="9"/>
  <c r="Z720" i="9"/>
  <c r="AD719" i="9"/>
  <c r="AH718" i="9"/>
  <c r="AH719" i="9"/>
  <c r="AF718" i="9"/>
  <c r="AU719" i="9"/>
  <c r="AW719" i="9"/>
  <c r="AQ719" i="9"/>
  <c r="AW720" i="9"/>
  <c r="AS719" i="9"/>
  <c r="AY720" i="9"/>
  <c r="AS718" i="9"/>
  <c r="AY719" i="9"/>
  <c r="AS720" i="9"/>
  <c r="AU720" i="9"/>
  <c r="AY718" i="9"/>
  <c r="AQ720" i="9"/>
  <c r="AW718" i="9"/>
  <c r="AQ718" i="9"/>
  <c r="AU718" i="9"/>
  <c r="AD711" i="9"/>
  <c r="AF711" i="9"/>
  <c r="Z711" i="9"/>
  <c r="AB711" i="9"/>
  <c r="AH711" i="9"/>
  <c r="AY711" i="9"/>
  <c r="AU712" i="9"/>
  <c r="AS711" i="9"/>
  <c r="AU711" i="9"/>
  <c r="AS713" i="9"/>
  <c r="AQ712" i="9"/>
  <c r="AU713" i="9"/>
  <c r="AQ711" i="9"/>
  <c r="AW713" i="9"/>
  <c r="AY712" i="9"/>
  <c r="AY713" i="9"/>
  <c r="AW711" i="9"/>
  <c r="AQ713" i="9"/>
  <c r="AB746" i="9"/>
  <c r="AH746" i="9"/>
  <c r="AH747" i="9"/>
  <c r="AF747" i="9"/>
  <c r="AD745" i="9"/>
  <c r="AB745" i="9"/>
  <c r="AD746" i="9"/>
  <c r="Z745" i="9"/>
  <c r="Z746" i="9"/>
  <c r="AB747" i="9"/>
  <c r="AD747" i="9"/>
  <c r="AH745" i="9"/>
  <c r="Z747" i="9"/>
  <c r="AW747" i="9"/>
  <c r="AS746" i="9"/>
  <c r="AS745" i="9"/>
  <c r="AY747" i="9"/>
  <c r="AY746" i="9"/>
  <c r="AU747" i="9"/>
  <c r="AU745" i="9"/>
  <c r="AQ747" i="9"/>
  <c r="AY745" i="9"/>
  <c r="AS747" i="9"/>
  <c r="AU746" i="9"/>
  <c r="AQ745" i="9"/>
  <c r="AQ746" i="9"/>
  <c r="Z752" i="9"/>
  <c r="AH754" i="9"/>
  <c r="F718" i="9"/>
  <c r="AB718" i="9" s="1"/>
  <c r="F728" i="9"/>
  <c r="C732" i="9"/>
  <c r="C725" i="9"/>
  <c r="D407" i="9"/>
  <c r="F712" i="9"/>
  <c r="AW712" i="9" s="1"/>
  <c r="F702" i="9"/>
  <c r="Y548" i="9"/>
  <c r="S126" i="9" s="1"/>
  <c r="AE646" i="9"/>
  <c r="AY646" i="9"/>
  <c r="AY649" i="9" s="1"/>
  <c r="Y558" i="9"/>
  <c r="W126" i="9" s="1"/>
  <c r="AU126" i="9" s="1"/>
  <c r="D488" i="9"/>
  <c r="D498" i="9" s="1"/>
  <c r="D478" i="9"/>
  <c r="D533" i="9" s="1"/>
  <c r="D468" i="9"/>
  <c r="D513" i="9"/>
  <c r="C247" i="4"/>
  <c r="C246" i="4"/>
  <c r="C244" i="4"/>
  <c r="BC626" i="9"/>
  <c r="AQ626" i="9"/>
  <c r="AE626" i="9"/>
  <c r="AU626" i="9"/>
  <c r="W626" i="9"/>
  <c r="S626" i="9"/>
  <c r="AA626" i="9"/>
  <c r="AY626" i="9"/>
  <c r="Y567" i="9"/>
  <c r="AA126" i="9" s="1"/>
  <c r="AY126" i="9" s="1"/>
  <c r="S605" i="9"/>
  <c r="AE605" i="9"/>
  <c r="AA605" i="9"/>
  <c r="W605" i="9"/>
  <c r="AA604" i="9"/>
  <c r="W604" i="9"/>
  <c r="S604" i="9"/>
  <c r="AE604" i="9"/>
  <c r="AG232" i="4"/>
  <c r="Z116" i="4" s="1"/>
  <c r="AZ232" i="4"/>
  <c r="AS116" i="4" s="1"/>
  <c r="C245" i="4"/>
  <c r="Y576" i="9"/>
  <c r="AE126" i="9" s="1"/>
  <c r="BC126" i="9" s="1"/>
  <c r="AI142" i="3"/>
  <c r="BG142" i="3" s="1"/>
  <c r="BG122" i="3"/>
  <c r="D326" i="3"/>
  <c r="D336" i="3" s="1"/>
  <c r="D311" i="3"/>
  <c r="D301" i="3"/>
  <c r="D291" i="3"/>
  <c r="AU646" i="9"/>
  <c r="AU649" i="9" s="1"/>
  <c r="AZ239" i="4"/>
  <c r="U286" i="3"/>
  <c r="S124" i="3"/>
  <c r="AY396" i="3"/>
  <c r="AY398" i="3" s="1"/>
  <c r="AY101" i="3" s="1"/>
  <c r="BC395" i="3"/>
  <c r="BC396" i="3" s="1"/>
  <c r="BC398" i="3" s="1"/>
  <c r="BC101" i="3" s="1"/>
  <c r="BG101" i="3" s="1"/>
  <c r="AU122" i="3"/>
  <c r="W142" i="3"/>
  <c r="AU142" i="3" s="1"/>
  <c r="AW286" i="3"/>
  <c r="AU124" i="3"/>
  <c r="Y286" i="3"/>
  <c r="W124" i="3"/>
  <c r="AA396" i="3"/>
  <c r="AE395" i="3"/>
  <c r="AE396" i="3" s="1"/>
  <c r="AE398" i="3" s="1"/>
  <c r="AE101" i="3" s="1"/>
  <c r="AS286" i="3"/>
  <c r="AQ124" i="3"/>
  <c r="Y517" i="9" l="1"/>
  <c r="AG517" i="9"/>
  <c r="AW517" i="9"/>
  <c r="BA517" i="9"/>
  <c r="U517" i="9"/>
  <c r="AS517" i="9"/>
  <c r="BE517" i="9"/>
  <c r="AG239" i="4"/>
  <c r="Z97" i="4" s="1"/>
  <c r="AW754" i="9"/>
  <c r="AF752" i="9"/>
  <c r="AD754" i="9"/>
  <c r="AU752" i="9"/>
  <c r="AQ753" i="9"/>
  <c r="AY754" i="9"/>
  <c r="AS752" i="9"/>
  <c r="AQ752" i="9"/>
  <c r="AG472" i="9"/>
  <c r="U472" i="9"/>
  <c r="BE472" i="9"/>
  <c r="AS472" i="9"/>
  <c r="AC472" i="9"/>
  <c r="AS712" i="9"/>
  <c r="AW472" i="9"/>
  <c r="AG329" i="4"/>
  <c r="AG257" i="4"/>
  <c r="Z257" i="4"/>
  <c r="S286" i="4"/>
  <c r="AU754" i="9"/>
  <c r="AH752" i="9"/>
  <c r="AS754" i="9"/>
  <c r="AY753" i="9"/>
  <c r="AB753" i="9"/>
  <c r="AB752" i="9"/>
  <c r="AF753" i="9"/>
  <c r="AF754" i="9"/>
  <c r="AY752" i="9"/>
  <c r="AW752" i="9"/>
  <c r="Z754" i="9"/>
  <c r="AH753" i="9"/>
  <c r="AQ754" i="9"/>
  <c r="AW753" i="9"/>
  <c r="AD752" i="9"/>
  <c r="AD753" i="9"/>
  <c r="AS753" i="9"/>
  <c r="AU753" i="9"/>
  <c r="AB754" i="9"/>
  <c r="Y472" i="9"/>
  <c r="AU330" i="9"/>
  <c r="S399" i="9"/>
  <c r="D523" i="9"/>
  <c r="Z329" i="4"/>
  <c r="AO329" i="4" s="1"/>
  <c r="AF329" i="4"/>
  <c r="AF257" i="4"/>
  <c r="Y329" i="4"/>
  <c r="AN329" i="4" s="1"/>
  <c r="Y257" i="4"/>
  <c r="R286" i="4"/>
  <c r="BM47" i="5"/>
  <c r="BN71" i="6" s="1"/>
  <c r="BN47" i="6" s="1"/>
  <c r="Y315" i="3"/>
  <c r="AE105" i="3"/>
  <c r="AE107" i="3"/>
  <c r="Y537" i="9"/>
  <c r="U537" i="9"/>
  <c r="BE537" i="9"/>
  <c r="BA537" i="9"/>
  <c r="AS537" i="9"/>
  <c r="AC537" i="9"/>
  <c r="AW537" i="9"/>
  <c r="AG305" i="3"/>
  <c r="AG315" i="3"/>
  <c r="Y305" i="3"/>
  <c r="Z34" i="5"/>
  <c r="Z35" i="5" s="1"/>
  <c r="AR34" i="5"/>
  <c r="AR35" i="5" s="1"/>
  <c r="BE527" i="9"/>
  <c r="BA295" i="3"/>
  <c r="AS527" i="9"/>
  <c r="U295" i="3"/>
  <c r="Y527" i="9"/>
  <c r="AG295" i="3"/>
  <c r="BE295" i="3"/>
  <c r="AK107" i="2"/>
  <c r="Y295" i="3"/>
  <c r="AW527" i="9"/>
  <c r="AC527" i="9"/>
  <c r="AG527" i="9"/>
  <c r="AS295" i="3"/>
  <c r="U527" i="9"/>
  <c r="AW295" i="3"/>
  <c r="U330" i="3"/>
  <c r="AS330" i="3"/>
  <c r="BA330" i="3"/>
  <c r="AW330" i="3"/>
  <c r="AG330" i="3"/>
  <c r="BE330" i="3"/>
  <c r="AC330" i="3"/>
  <c r="D337" i="3"/>
  <c r="BE340" i="3" s="1"/>
  <c r="AC107" i="2"/>
  <c r="W142" i="2" s="1"/>
  <c r="BE315" i="3"/>
  <c r="BA315" i="3"/>
  <c r="AW315" i="3"/>
  <c r="AI421" i="9"/>
  <c r="AS315" i="3"/>
  <c r="U315" i="3"/>
  <c r="BE305" i="3"/>
  <c r="U305" i="3"/>
  <c r="AS305" i="3"/>
  <c r="BA305" i="3"/>
  <c r="AC305" i="3"/>
  <c r="BC105" i="3"/>
  <c r="BC107" i="3"/>
  <c r="AY105" i="3"/>
  <c r="AY107" i="3" s="1"/>
  <c r="Q328" i="4"/>
  <c r="P367" i="4"/>
  <c r="Y368" i="4"/>
  <c r="AN368" i="4" s="1"/>
  <c r="AF368" i="4"/>
  <c r="U368" i="4"/>
  <c r="AJ368" i="4" s="1"/>
  <c r="AB368" i="4"/>
  <c r="AG368" i="4"/>
  <c r="Z368" i="4"/>
  <c r="AO368" i="4" s="1"/>
  <c r="AL329" i="4"/>
  <c r="W368" i="4"/>
  <c r="AD368" i="4"/>
  <c r="V368" i="4"/>
  <c r="AK368" i="4" s="1"/>
  <c r="AC368" i="4"/>
  <c r="AE328" i="4"/>
  <c r="AD367" i="4"/>
  <c r="X328" i="4"/>
  <c r="W367" i="4"/>
  <c r="AE368" i="4"/>
  <c r="X368" i="4"/>
  <c r="AM368" i="4" s="1"/>
  <c r="AG248" i="4"/>
  <c r="AG243" i="4"/>
  <c r="U35" i="5"/>
  <c r="R836" i="9"/>
  <c r="V831" i="9"/>
  <c r="R834" i="9"/>
  <c r="S765" i="9"/>
  <c r="Z765" i="9"/>
  <c r="S99" i="9"/>
  <c r="U29" i="5" s="1"/>
  <c r="S330" i="9"/>
  <c r="AP834" i="9"/>
  <c r="AP836" i="9"/>
  <c r="AT831" i="9"/>
  <c r="AQ765" i="9"/>
  <c r="AX765" i="9"/>
  <c r="AQ330" i="9"/>
  <c r="AQ399" i="9"/>
  <c r="AR58" i="4"/>
  <c r="AR87" i="4" s="1"/>
  <c r="AR135" i="4" s="1"/>
  <c r="AI94" i="3"/>
  <c r="BG94" i="3" s="1"/>
  <c r="W805" i="9"/>
  <c r="AU805" i="9"/>
  <c r="R829" i="9"/>
  <c r="AP829" i="9" s="1"/>
  <c r="AQ842" i="9"/>
  <c r="BB782" i="9"/>
  <c r="BB281" i="9"/>
  <c r="AY842" i="9"/>
  <c r="Z829" i="9"/>
  <c r="AX829" i="9" s="1"/>
  <c r="V809" i="9"/>
  <c r="AE421" i="9"/>
  <c r="BC352" i="9"/>
  <c r="BC421" i="9" s="1"/>
  <c r="AD782" i="9"/>
  <c r="AD842" i="9" s="1"/>
  <c r="AD867" i="9" s="1"/>
  <c r="BC867" i="9" s="1"/>
  <c r="AD281" i="9"/>
  <c r="AU842" i="9"/>
  <c r="V829" i="9"/>
  <c r="AT829" i="9" s="1"/>
  <c r="AI603" i="9"/>
  <c r="AJ700" i="9"/>
  <c r="BA700" i="9"/>
  <c r="BG396" i="3"/>
  <c r="BG175" i="3" s="1"/>
  <c r="S632" i="9"/>
  <c r="W632" i="9"/>
  <c r="AA632" i="9"/>
  <c r="AU632" i="9"/>
  <c r="AE632" i="9"/>
  <c r="AQ632" i="9"/>
  <c r="BC632" i="9"/>
  <c r="AY632" i="9"/>
  <c r="AI646" i="9"/>
  <c r="AI649" i="9" s="1"/>
  <c r="AE649" i="9"/>
  <c r="AB729" i="9"/>
  <c r="AB728" i="9"/>
  <c r="AB730" i="9"/>
  <c r="AH730" i="9"/>
  <c r="AD728" i="9"/>
  <c r="Z729" i="9"/>
  <c r="AD730" i="9"/>
  <c r="AF729" i="9"/>
  <c r="Z728" i="9"/>
  <c r="AH728" i="9"/>
  <c r="Z730" i="9"/>
  <c r="AF730" i="9"/>
  <c r="AF728" i="9"/>
  <c r="AD729" i="9"/>
  <c r="AH729" i="9"/>
  <c r="AQ728" i="9"/>
  <c r="AW730" i="9"/>
  <c r="AU730" i="9"/>
  <c r="AQ730" i="9"/>
  <c r="AU728" i="9"/>
  <c r="AW728" i="9"/>
  <c r="AS730" i="9"/>
  <c r="AQ729" i="9"/>
  <c r="AY729" i="9"/>
  <c r="AY728" i="9"/>
  <c r="AY730" i="9"/>
  <c r="AS728" i="9"/>
  <c r="AH737" i="9"/>
  <c r="Z737" i="9"/>
  <c r="Z736" i="9"/>
  <c r="AB736" i="9"/>
  <c r="AH736" i="9"/>
  <c r="AB737" i="9"/>
  <c r="AB735" i="9"/>
  <c r="AD737" i="9"/>
  <c r="Z735" i="9"/>
  <c r="AH735" i="9"/>
  <c r="AY735" i="9"/>
  <c r="AS736" i="9"/>
  <c r="AQ736" i="9"/>
  <c r="AS737" i="9"/>
  <c r="AY737" i="9"/>
  <c r="AQ737" i="9"/>
  <c r="AU736" i="9"/>
  <c r="AY736" i="9"/>
  <c r="AU737" i="9"/>
  <c r="AU735" i="9"/>
  <c r="AQ735" i="9"/>
  <c r="AS735" i="9"/>
  <c r="AW737" i="9"/>
  <c r="BA717" i="9"/>
  <c r="AF737" i="9"/>
  <c r="BA710" i="9"/>
  <c r="AJ710" i="9"/>
  <c r="F719" i="9"/>
  <c r="AB719" i="9" s="1"/>
  <c r="AJ717" i="9" s="1"/>
  <c r="F729" i="9"/>
  <c r="AW729" i="9" s="1"/>
  <c r="F735" i="9"/>
  <c r="AF735" i="9" s="1"/>
  <c r="F745" i="9"/>
  <c r="AI647" i="9"/>
  <c r="S647" i="9" s="1"/>
  <c r="W647" i="9" s="1"/>
  <c r="W651" i="9" s="1"/>
  <c r="AI165" i="9" s="1"/>
  <c r="BG647" i="9"/>
  <c r="AQ647" i="9" s="1"/>
  <c r="AU647" i="9" s="1"/>
  <c r="AU651" i="9" s="1"/>
  <c r="BG646" i="9"/>
  <c r="BG649" i="9" s="1"/>
  <c r="AG244" i="4"/>
  <c r="AZ244" i="4"/>
  <c r="AG247" i="4"/>
  <c r="AZ247" i="4"/>
  <c r="AZ245" i="4"/>
  <c r="AG245" i="4"/>
  <c r="AE607" i="9"/>
  <c r="AE610" i="9" s="1"/>
  <c r="AI605" i="9"/>
  <c r="S607" i="9"/>
  <c r="S610" i="9" s="1"/>
  <c r="AI604" i="9"/>
  <c r="AG246" i="4"/>
  <c r="AZ246" i="4"/>
  <c r="W607" i="9"/>
  <c r="W610" i="9" s="1"/>
  <c r="AA607" i="9"/>
  <c r="AA610" i="9" s="1"/>
  <c r="AS151" i="4"/>
  <c r="AS97" i="4"/>
  <c r="AR64" i="5"/>
  <c r="U287" i="3"/>
  <c r="U316" i="3"/>
  <c r="U296" i="3"/>
  <c r="U341" i="3"/>
  <c r="U306" i="3"/>
  <c r="U331" i="3"/>
  <c r="AS331" i="3"/>
  <c r="AS316" i="3"/>
  <c r="AS287" i="3"/>
  <c r="AS306" i="3"/>
  <c r="AS341" i="3"/>
  <c r="AS296" i="3"/>
  <c r="BG124" i="3"/>
  <c r="BA286" i="3"/>
  <c r="AY124" i="3"/>
  <c r="AG286" i="3"/>
  <c r="AE124" i="3"/>
  <c r="AQ126" i="9"/>
  <c r="AI126" i="9"/>
  <c r="BG126" i="9" s="1"/>
  <c r="AW296" i="3"/>
  <c r="AW331" i="3"/>
  <c r="AW316" i="3"/>
  <c r="AW287" i="3"/>
  <c r="AW306" i="3"/>
  <c r="AW307" i="3" s="1"/>
  <c r="AW341" i="3"/>
  <c r="BE286" i="3"/>
  <c r="BC124" i="3"/>
  <c r="Y306" i="3"/>
  <c r="Y287" i="3"/>
  <c r="Y331" i="3"/>
  <c r="Y332" i="3" s="1"/>
  <c r="Y296" i="3"/>
  <c r="Y316" i="3"/>
  <c r="Y341" i="3"/>
  <c r="AA398" i="3"/>
  <c r="AA101" i="3" s="1"/>
  <c r="AI396" i="3"/>
  <c r="W143" i="2" l="1"/>
  <c r="W147" i="2"/>
  <c r="Z64" i="5"/>
  <c r="Z151" i="4"/>
  <c r="AW340" i="3"/>
  <c r="AW342" i="3" s="1"/>
  <c r="BA751" i="9"/>
  <c r="S207" i="2"/>
  <c r="Z33" i="5" s="1"/>
  <c r="Z41" i="5" s="1"/>
  <c r="BJ207" i="2"/>
  <c r="AR33" i="5" s="1"/>
  <c r="AR41" i="5" s="1"/>
  <c r="AJ751" i="9"/>
  <c r="Y317" i="3"/>
  <c r="Y307" i="3"/>
  <c r="F752" i="9"/>
  <c r="AF745" i="9"/>
  <c r="AW745" i="9"/>
  <c r="S165" i="9"/>
  <c r="AE165" i="9"/>
  <c r="AA165" i="9"/>
  <c r="W165" i="9"/>
  <c r="AW297" i="3"/>
  <c r="AS340" i="3"/>
  <c r="AS342" i="3" s="1"/>
  <c r="BG105" i="3"/>
  <c r="BG107" i="3" s="1"/>
  <c r="AQ109" i="3" s="1"/>
  <c r="BX157" i="2" s="1"/>
  <c r="AC340" i="3"/>
  <c r="AG340" i="3"/>
  <c r="Y340" i="3"/>
  <c r="Y342" i="3" s="1"/>
  <c r="U340" i="3"/>
  <c r="U342" i="3" s="1"/>
  <c r="AA105" i="3"/>
  <c r="AI105" i="3" s="1"/>
  <c r="AA107" i="3"/>
  <c r="BA340" i="3"/>
  <c r="AW317" i="3"/>
  <c r="AW332" i="3"/>
  <c r="Y297" i="3"/>
  <c r="R328" i="4"/>
  <c r="Q367" i="4"/>
  <c r="AL368" i="4"/>
  <c r="Y328" i="4"/>
  <c r="X367" i="4"/>
  <c r="AF328" i="4"/>
  <c r="AE367" i="4"/>
  <c r="AP282" i="9"/>
  <c r="R282" i="9"/>
  <c r="V836" i="9"/>
  <c r="V284" i="9" s="1"/>
  <c r="Z831" i="9"/>
  <c r="V834" i="9"/>
  <c r="V282" i="9" s="1"/>
  <c r="R284" i="9"/>
  <c r="AP284" i="9"/>
  <c r="AT834" i="9"/>
  <c r="AT282" i="9" s="1"/>
  <c r="AX831" i="9"/>
  <c r="AT836" i="9"/>
  <c r="AT284" i="9" s="1"/>
  <c r="D158" i="2"/>
  <c r="W807" i="9"/>
  <c r="AI807" i="9" s="1"/>
  <c r="AD824" i="9" s="1"/>
  <c r="AI198" i="9"/>
  <c r="BG198" i="9"/>
  <c r="AU807" i="9"/>
  <c r="BG807" i="9" s="1"/>
  <c r="BG398" i="3"/>
  <c r="AD809" i="9"/>
  <c r="AD735" i="9"/>
  <c r="BC842" i="9"/>
  <c r="AD829" i="9"/>
  <c r="BB829" i="9" s="1"/>
  <c r="AU729" i="9"/>
  <c r="AG249" i="4"/>
  <c r="Z91" i="4" s="1"/>
  <c r="Z74" i="4" s="1"/>
  <c r="Z62" i="6" s="1"/>
  <c r="BG632" i="9"/>
  <c r="AQ316" i="9" s="1"/>
  <c r="AU316" i="9" s="1"/>
  <c r="AY316" i="9" s="1"/>
  <c r="BC316" i="9" s="1"/>
  <c r="AI632" i="9"/>
  <c r="S385" i="9" s="1"/>
  <c r="AS729" i="9"/>
  <c r="AW735" i="9"/>
  <c r="BC647" i="9"/>
  <c r="BC651" i="9" s="1"/>
  <c r="BC652" i="9" s="1"/>
  <c r="AJ727" i="9"/>
  <c r="AA647" i="9"/>
  <c r="AA651" i="9" s="1"/>
  <c r="AI166" i="9" s="1"/>
  <c r="AY647" i="9"/>
  <c r="AY651" i="9" s="1"/>
  <c r="BG166" i="9" s="1"/>
  <c r="S651" i="9"/>
  <c r="S652" i="9" s="1"/>
  <c r="F736" i="9"/>
  <c r="AD736" i="9" s="1"/>
  <c r="F746" i="9"/>
  <c r="AQ651" i="9"/>
  <c r="AQ652" i="9" s="1"/>
  <c r="W652" i="9"/>
  <c r="AE647" i="9"/>
  <c r="AE651" i="9" s="1"/>
  <c r="AE652" i="9" s="1"/>
  <c r="AZ249" i="4"/>
  <c r="AS91" i="4" s="1"/>
  <c r="AR60" i="5" s="1"/>
  <c r="AY610" i="9"/>
  <c r="AY612" i="9" s="1"/>
  <c r="AY174" i="9" s="1"/>
  <c r="AA612" i="9"/>
  <c r="AA174" i="9" s="1"/>
  <c r="BC610" i="9"/>
  <c r="BC612" i="9" s="1"/>
  <c r="BC174" i="9" s="1"/>
  <c r="AE612" i="9"/>
  <c r="AE174" i="9" s="1"/>
  <c r="AU610" i="9"/>
  <c r="AU612" i="9" s="1"/>
  <c r="AU174" i="9" s="1"/>
  <c r="W612" i="9"/>
  <c r="W174" i="9" s="1"/>
  <c r="AI607" i="9"/>
  <c r="S612" i="9"/>
  <c r="S174" i="9" s="1"/>
  <c r="S176" i="9" s="1"/>
  <c r="AQ610" i="9"/>
  <c r="AQ612" i="9" s="1"/>
  <c r="AQ174" i="9" s="1"/>
  <c r="AI610" i="9"/>
  <c r="AS297" i="3"/>
  <c r="U297" i="3"/>
  <c r="BG165" i="9"/>
  <c r="AU652" i="9"/>
  <c r="AS307" i="3"/>
  <c r="AY194" i="3"/>
  <c r="BG176" i="3"/>
  <c r="BG181" i="3" s="1"/>
  <c r="AY204" i="3"/>
  <c r="U332" i="3"/>
  <c r="BA341" i="3"/>
  <c r="BA296" i="3"/>
  <c r="BA297" i="3" s="1"/>
  <c r="BA331" i="3"/>
  <c r="BA332" i="3" s="1"/>
  <c r="BA306" i="3"/>
  <c r="BA307" i="3" s="1"/>
  <c r="BA287" i="3"/>
  <c r="BA316" i="3"/>
  <c r="BA317" i="3" s="1"/>
  <c r="AG341" i="3"/>
  <c r="AG306" i="3"/>
  <c r="AG307" i="3" s="1"/>
  <c r="AG316" i="3"/>
  <c r="AG317" i="3" s="1"/>
  <c r="AG331" i="3"/>
  <c r="AG332" i="3" s="1"/>
  <c r="AG296" i="3"/>
  <c r="AG297" i="3" s="1"/>
  <c r="AG287" i="3"/>
  <c r="BI286" i="3"/>
  <c r="BE296" i="3"/>
  <c r="BE297" i="3" s="1"/>
  <c r="BE306" i="3"/>
  <c r="BE307" i="3" s="1"/>
  <c r="BE316" i="3"/>
  <c r="BE317" i="3" s="1"/>
  <c r="BE287" i="3"/>
  <c r="BE341" i="3"/>
  <c r="BE342" i="3" s="1"/>
  <c r="BE331" i="3"/>
  <c r="BE332" i="3" s="1"/>
  <c r="AS317" i="3"/>
  <c r="U307" i="3"/>
  <c r="AS332" i="3"/>
  <c r="AI175" i="3"/>
  <c r="AI398" i="3"/>
  <c r="U317" i="3"/>
  <c r="AC286" i="3"/>
  <c r="AA124" i="3"/>
  <c r="AI101" i="3"/>
  <c r="W176" i="9" l="1"/>
  <c r="W180" i="9" s="1"/>
  <c r="W371" i="9" s="1"/>
  <c r="W372" i="9" s="1"/>
  <c r="AU176" i="9"/>
  <c r="AU180" i="9" s="1"/>
  <c r="AE176" i="9"/>
  <c r="AE180" i="9" s="1"/>
  <c r="AE371" i="9" s="1"/>
  <c r="AE372" i="9" s="1"/>
  <c r="BC176" i="9"/>
  <c r="BC303" i="9" s="1"/>
  <c r="AA176" i="9"/>
  <c r="AA180" i="9" s="1"/>
  <c r="AQ176" i="9"/>
  <c r="AQ180" i="9" s="1"/>
  <c r="AQ371" i="9" s="1"/>
  <c r="AQ372" i="9" s="1"/>
  <c r="AY176" i="9"/>
  <c r="AR32" i="5"/>
  <c r="AR162" i="5" s="1"/>
  <c r="Z32" i="5"/>
  <c r="Z162" i="5" s="1"/>
  <c r="AR67" i="5"/>
  <c r="Z67" i="5"/>
  <c r="S180" i="9"/>
  <c r="S371" i="9" s="1"/>
  <c r="S372" i="9" s="1"/>
  <c r="U463" i="9"/>
  <c r="U503" i="9" s="1"/>
  <c r="U504" i="9" s="1"/>
  <c r="F753" i="9"/>
  <c r="AW746" i="9"/>
  <c r="BA744" i="9" s="1"/>
  <c r="AF746" i="9"/>
  <c r="AJ744" i="9" s="1"/>
  <c r="W385" i="9"/>
  <c r="AE385" i="9"/>
  <c r="AA385" i="9"/>
  <c r="AQ182" i="9"/>
  <c r="S182" i="9"/>
  <c r="AE303" i="9"/>
  <c r="AE182" i="9"/>
  <c r="BC182" i="9"/>
  <c r="AY182" i="9"/>
  <c r="W182" i="9"/>
  <c r="W303" i="9"/>
  <c r="AA182" i="9"/>
  <c r="AU182" i="9"/>
  <c r="AU303" i="9"/>
  <c r="AQ165" i="9"/>
  <c r="AY165" i="9"/>
  <c r="BC165" i="9"/>
  <c r="AU165" i="9"/>
  <c r="AQ111" i="3"/>
  <c r="AG342" i="3"/>
  <c r="BG133" i="3"/>
  <c r="BG183" i="3"/>
  <c r="BG127" i="3" s="1"/>
  <c r="AI107" i="3"/>
  <c r="BA342" i="3"/>
  <c r="BI342" i="3" s="1"/>
  <c r="BP165" i="2"/>
  <c r="AR34" i="6" s="1"/>
  <c r="BJ165" i="2"/>
  <c r="AR33" i="6" s="1"/>
  <c r="Y158" i="2"/>
  <c r="BP158" i="2"/>
  <c r="AS47" i="4" s="1"/>
  <c r="S165" i="2"/>
  <c r="Z33" i="6" s="1"/>
  <c r="Y165" i="2"/>
  <c r="Z34" i="6" s="1"/>
  <c r="BJ200" i="2"/>
  <c r="AR25" i="4" s="1"/>
  <c r="AR59" i="4" s="1"/>
  <c r="S200" i="2"/>
  <c r="S186" i="2"/>
  <c r="AE35" i="6" s="1"/>
  <c r="BJ186" i="2"/>
  <c r="AW35" i="6" s="1"/>
  <c r="U27" i="4"/>
  <c r="U28" i="4" s="1"/>
  <c r="S328" i="4"/>
  <c r="S367" i="4" s="1"/>
  <c r="R367" i="4"/>
  <c r="Z328" i="4"/>
  <c r="Y367" i="4"/>
  <c r="AG328" i="4"/>
  <c r="AF367" i="4"/>
  <c r="Z836" i="9"/>
  <c r="Z284" i="9" s="1"/>
  <c r="AD831" i="9"/>
  <c r="Z834" i="9"/>
  <c r="Z282" i="9" s="1"/>
  <c r="AX836" i="9"/>
  <c r="AX284" i="9" s="1"/>
  <c r="BB831" i="9"/>
  <c r="AX834" i="9"/>
  <c r="AX282" i="9" s="1"/>
  <c r="R824" i="9"/>
  <c r="V824" i="9"/>
  <c r="Z824" i="9"/>
  <c r="AP824" i="9"/>
  <c r="BB824" i="9"/>
  <c r="AX824" i="9"/>
  <c r="AT824" i="9"/>
  <c r="BA727" i="9"/>
  <c r="BI296" i="3"/>
  <c r="AQ385" i="9"/>
  <c r="Z60" i="5"/>
  <c r="S316" i="9"/>
  <c r="W316" i="9" s="1"/>
  <c r="AA316" i="9" s="1"/>
  <c r="AE316" i="9" s="1"/>
  <c r="BG164" i="9"/>
  <c r="AU164" i="9" s="1"/>
  <c r="AF736" i="9"/>
  <c r="AJ734" i="9" s="1"/>
  <c r="AW736" i="9"/>
  <c r="BA734" i="9" s="1"/>
  <c r="BG167" i="9"/>
  <c r="AA652" i="9"/>
  <c r="AI652" i="9" s="1"/>
  <c r="AI164" i="9"/>
  <c r="AY652" i="9"/>
  <c r="BG652" i="9" s="1"/>
  <c r="AQ315" i="9" s="1"/>
  <c r="AI167" i="9"/>
  <c r="BI287" i="3"/>
  <c r="BI285" i="3" s="1"/>
  <c r="AU188" i="3" s="1"/>
  <c r="AY188" i="3" s="1"/>
  <c r="AR77" i="5"/>
  <c r="AR78" i="5" s="1"/>
  <c r="AS74" i="4"/>
  <c r="AR62" i="6" s="1"/>
  <c r="Y463" i="9"/>
  <c r="Y503" i="9" s="1"/>
  <c r="Y504" i="9" s="1"/>
  <c r="AI612" i="9"/>
  <c r="BG610" i="9"/>
  <c r="BG612" i="9" s="1"/>
  <c r="BI316" i="3"/>
  <c r="AS463" i="9"/>
  <c r="AS503" i="9" s="1"/>
  <c r="BG174" i="9"/>
  <c r="BI331" i="3"/>
  <c r="AI174" i="9"/>
  <c r="AG463" i="9"/>
  <c r="AG503" i="9" s="1"/>
  <c r="AG504" i="9" s="1"/>
  <c r="BI306" i="3"/>
  <c r="BE463" i="9"/>
  <c r="BE503" i="9" s="1"/>
  <c r="BE504" i="9" s="1"/>
  <c r="BA463" i="9"/>
  <c r="BA503" i="9" s="1"/>
  <c r="BA504" i="9" s="1"/>
  <c r="AW463" i="9"/>
  <c r="AW503" i="9" s="1"/>
  <c r="AW504" i="9" s="1"/>
  <c r="BI307" i="3"/>
  <c r="BI297" i="3"/>
  <c r="AC463" i="9"/>
  <c r="AC503" i="9" s="1"/>
  <c r="AC504" i="9" s="1"/>
  <c r="BI332" i="3"/>
  <c r="BI317" i="3"/>
  <c r="AC306" i="3"/>
  <c r="AC287" i="3"/>
  <c r="AK287" i="3" s="1"/>
  <c r="AC316" i="3"/>
  <c r="AC331" i="3"/>
  <c r="AC296" i="3"/>
  <c r="AC341" i="3"/>
  <c r="AK286" i="3"/>
  <c r="BI341" i="3"/>
  <c r="AI176" i="3"/>
  <c r="AI181" i="3" s="1"/>
  <c r="AA194" i="3"/>
  <c r="AA204" i="3"/>
  <c r="AI124" i="3"/>
  <c r="BG176" i="9" l="1"/>
  <c r="AA303" i="9"/>
  <c r="AQ303" i="9"/>
  <c r="BC180" i="9"/>
  <c r="BC371" i="9" s="1"/>
  <c r="BC372" i="9" s="1"/>
  <c r="BB373" i="9" s="1"/>
  <c r="AY180" i="9"/>
  <c r="AY371" i="9" s="1"/>
  <c r="AY372" i="9" s="1"/>
  <c r="AX373" i="9" s="1"/>
  <c r="AY303" i="9"/>
  <c r="AY304" i="9" s="1"/>
  <c r="S303" i="9"/>
  <c r="S304" i="9" s="1"/>
  <c r="S312" i="9" s="1"/>
  <c r="AI176" i="9"/>
  <c r="Z165" i="5"/>
  <c r="Z164" i="5"/>
  <c r="AR165" i="5"/>
  <c r="AR164" i="5"/>
  <c r="AR168" i="5" s="1"/>
  <c r="Z168" i="5"/>
  <c r="BI503" i="9"/>
  <c r="AS504" i="9"/>
  <c r="BI504" i="9" s="1"/>
  <c r="AK504" i="9"/>
  <c r="AK503" i="9"/>
  <c r="AG756" i="9"/>
  <c r="Z764" i="9" s="1"/>
  <c r="AA403" i="9" s="1"/>
  <c r="S381" i="9"/>
  <c r="R373" i="9"/>
  <c r="AQ381" i="9"/>
  <c r="AP373" i="9"/>
  <c r="AY385" i="9"/>
  <c r="BC385" i="9"/>
  <c r="AU385" i="9"/>
  <c r="AD373" i="9"/>
  <c r="AE381" i="9"/>
  <c r="V373" i="9"/>
  <c r="W381" i="9"/>
  <c r="AU371" i="9"/>
  <c r="AU372" i="9" s="1"/>
  <c r="AU381" i="9" s="1"/>
  <c r="AI133" i="3"/>
  <c r="AI183" i="3"/>
  <c r="AI127" i="3" s="1"/>
  <c r="AW44" i="6"/>
  <c r="AR62" i="5"/>
  <c r="Z47" i="4"/>
  <c r="Z62" i="5"/>
  <c r="AE44" i="6"/>
  <c r="Z25" i="5"/>
  <c r="Z58" i="5" s="1"/>
  <c r="Z31" i="6"/>
  <c r="AR25" i="5"/>
  <c r="AR58" i="5" s="1"/>
  <c r="AR31" i="6"/>
  <c r="AR33" i="4"/>
  <c r="J358" i="4" s="1"/>
  <c r="AF391" i="4" s="1"/>
  <c r="Y33" i="4"/>
  <c r="Z92" i="4" s="1"/>
  <c r="Y25" i="4"/>
  <c r="Y59" i="4" s="1"/>
  <c r="BI305" i="3"/>
  <c r="AU190" i="3" s="1"/>
  <c r="AY190" i="3" s="1"/>
  <c r="BI330" i="3"/>
  <c r="AU200" i="3" s="1"/>
  <c r="AY200" i="3" s="1"/>
  <c r="BI295" i="3"/>
  <c r="AU189" i="3" s="1"/>
  <c r="AY189" i="3" s="1"/>
  <c r="BI315" i="3"/>
  <c r="AU191" i="3" s="1"/>
  <c r="AY191" i="3" s="1"/>
  <c r="BI340" i="3"/>
  <c r="AU201" i="3" s="1"/>
  <c r="AY201" i="3" s="1"/>
  <c r="AG367" i="4"/>
  <c r="Z367" i="4"/>
  <c r="BB834" i="9"/>
  <c r="BB282" i="9" s="1"/>
  <c r="BF831" i="9"/>
  <c r="BB836" i="9"/>
  <c r="AH831" i="9"/>
  <c r="AD834" i="9"/>
  <c r="AD836" i="9"/>
  <c r="AH824" i="9"/>
  <c r="Q825" i="9" s="1"/>
  <c r="AA371" i="9"/>
  <c r="AI180" i="9"/>
  <c r="AI178" i="9" s="1"/>
  <c r="BF824" i="9"/>
  <c r="AO825" i="9" s="1"/>
  <c r="AK285" i="3"/>
  <c r="W188" i="3" s="1"/>
  <c r="AA188" i="3" s="1"/>
  <c r="AU168" i="9"/>
  <c r="AX756" i="9"/>
  <c r="AY164" i="9"/>
  <c r="AY168" i="9" s="1"/>
  <c r="Z77" i="5"/>
  <c r="Z78" i="5" s="1"/>
  <c r="Z79" i="5" s="1"/>
  <c r="AR79" i="5"/>
  <c r="AQ164" i="9"/>
  <c r="AQ168" i="9" s="1"/>
  <c r="BC164" i="9"/>
  <c r="BC168" i="9" s="1"/>
  <c r="S384" i="9"/>
  <c r="W384" i="9" s="1"/>
  <c r="S315" i="9"/>
  <c r="W315" i="9" s="1"/>
  <c r="AE164" i="9"/>
  <c r="AE168" i="9" s="1"/>
  <c r="W164" i="9"/>
  <c r="AA164" i="9"/>
  <c r="AA168" i="9" s="1"/>
  <c r="S164" i="9"/>
  <c r="S168" i="9" s="1"/>
  <c r="BC304" i="9"/>
  <c r="W304" i="9"/>
  <c r="AE304" i="9"/>
  <c r="AU304" i="9"/>
  <c r="AA304" i="9"/>
  <c r="BE493" i="9"/>
  <c r="BE494" i="9" s="1"/>
  <c r="BE464" i="9"/>
  <c r="BE473" i="9"/>
  <c r="BE474" i="9" s="1"/>
  <c r="BE528" i="9"/>
  <c r="BE529" i="9" s="1"/>
  <c r="BE483" i="9"/>
  <c r="BE484" i="9" s="1"/>
  <c r="BE538" i="9"/>
  <c r="BE539" i="9" s="1"/>
  <c r="BE518" i="9"/>
  <c r="BE519" i="9" s="1"/>
  <c r="U493" i="9"/>
  <c r="U518" i="9"/>
  <c r="U473" i="9"/>
  <c r="U464" i="9"/>
  <c r="U528" i="9"/>
  <c r="U538" i="9"/>
  <c r="U483" i="9"/>
  <c r="AQ384" i="9"/>
  <c r="AU384" i="9" s="1"/>
  <c r="AW464" i="9"/>
  <c r="AW538" i="9"/>
  <c r="AW539" i="9" s="1"/>
  <c r="AW518" i="9"/>
  <c r="AW519" i="9" s="1"/>
  <c r="AW493" i="9"/>
  <c r="AW494" i="9" s="1"/>
  <c r="AW483" i="9"/>
  <c r="AW484" i="9" s="1"/>
  <c r="AW528" i="9"/>
  <c r="AW529" i="9" s="1"/>
  <c r="AW473" i="9"/>
  <c r="AW474" i="9" s="1"/>
  <c r="AC493" i="9"/>
  <c r="AC494" i="9" s="1"/>
  <c r="AC518" i="9"/>
  <c r="AC519" i="9" s="1"/>
  <c r="AC473" i="9"/>
  <c r="AC474" i="9" s="1"/>
  <c r="AC538" i="9"/>
  <c r="AC539" i="9" s="1"/>
  <c r="AC464" i="9"/>
  <c r="AC528" i="9"/>
  <c r="AC529" i="9" s="1"/>
  <c r="AC483" i="9"/>
  <c r="AC484" i="9" s="1"/>
  <c r="AG483" i="9"/>
  <c r="AG484" i="9" s="1"/>
  <c r="AG473" i="9"/>
  <c r="AG474" i="9" s="1"/>
  <c r="AG493" i="9"/>
  <c r="AG494" i="9" s="1"/>
  <c r="AG518" i="9"/>
  <c r="AG519" i="9" s="1"/>
  <c r="AG464" i="9"/>
  <c r="AG538" i="9"/>
  <c r="AG539" i="9" s="1"/>
  <c r="AG528" i="9"/>
  <c r="AG529" i="9" s="1"/>
  <c r="AK463" i="9"/>
  <c r="Y464" i="9"/>
  <c r="Y528" i="9"/>
  <c r="Y529" i="9" s="1"/>
  <c r="Y518" i="9"/>
  <c r="Y519" i="9" s="1"/>
  <c r="Y538" i="9"/>
  <c r="Y539" i="9" s="1"/>
  <c r="Y473" i="9"/>
  <c r="Y474" i="9" s="1"/>
  <c r="Y493" i="9"/>
  <c r="Y494" i="9" s="1"/>
  <c r="Y483" i="9"/>
  <c r="Y484" i="9" s="1"/>
  <c r="BA464" i="9"/>
  <c r="BA518" i="9"/>
  <c r="BA519" i="9" s="1"/>
  <c r="BA473" i="9"/>
  <c r="BA474" i="9" s="1"/>
  <c r="BA528" i="9"/>
  <c r="BA529" i="9" s="1"/>
  <c r="BA483" i="9"/>
  <c r="BA484" i="9" s="1"/>
  <c r="BA493" i="9"/>
  <c r="BA494" i="9" s="1"/>
  <c r="BA538" i="9"/>
  <c r="BA539" i="9" s="1"/>
  <c r="AS528" i="9"/>
  <c r="AS483" i="9"/>
  <c r="AS464" i="9"/>
  <c r="AS493" i="9"/>
  <c r="AS473" i="9"/>
  <c r="AS538" i="9"/>
  <c r="AS518" i="9"/>
  <c r="BI463" i="9"/>
  <c r="AQ304" i="9"/>
  <c r="AQ312" i="9" s="1"/>
  <c r="AU315" i="9"/>
  <c r="AQ317" i="9"/>
  <c r="AC342" i="3"/>
  <c r="AK342" i="3" s="1"/>
  <c r="AK341" i="3"/>
  <c r="AK340" i="3" s="1"/>
  <c r="AC317" i="3"/>
  <c r="AK317" i="3" s="1"/>
  <c r="AK316" i="3"/>
  <c r="S109" i="3"/>
  <c r="AX157" i="2" s="1"/>
  <c r="S111" i="3"/>
  <c r="AC297" i="3"/>
  <c r="AK297" i="3" s="1"/>
  <c r="AK296" i="3"/>
  <c r="AC332" i="3"/>
  <c r="AK332" i="3" s="1"/>
  <c r="AK331" i="3"/>
  <c r="AK330" i="3" s="1"/>
  <c r="AC307" i="3"/>
  <c r="AK307" i="3" s="1"/>
  <c r="AK306" i="3"/>
  <c r="BG303" i="9" l="1"/>
  <c r="BG180" i="9"/>
  <c r="BG178" i="9" s="1"/>
  <c r="AY381" i="9"/>
  <c r="R305" i="9"/>
  <c r="AI303" i="9"/>
  <c r="BC381" i="9"/>
  <c r="AR176" i="5"/>
  <c r="AR177" i="5" s="1"/>
  <c r="AR83" i="5" s="1"/>
  <c r="Z176" i="5"/>
  <c r="Z177" i="5" s="1"/>
  <c r="Z179" i="5" s="1"/>
  <c r="Z187" i="5" s="1"/>
  <c r="AK502" i="9"/>
  <c r="W399" i="9" s="1"/>
  <c r="AE399" i="9" s="1"/>
  <c r="AE400" i="9" s="1"/>
  <c r="W330" i="9"/>
  <c r="S764" i="9"/>
  <c r="AA334" i="9" s="1"/>
  <c r="BI502" i="9"/>
  <c r="AU399" i="9" s="1"/>
  <c r="BC399" i="9" s="1"/>
  <c r="BG371" i="9"/>
  <c r="AX305" i="9"/>
  <c r="AY312" i="9"/>
  <c r="Z305" i="9"/>
  <c r="AA312" i="9"/>
  <c r="BG182" i="9"/>
  <c r="AQ184" i="9" s="1"/>
  <c r="BX156" i="2" s="1"/>
  <c r="BX158" i="2" s="1"/>
  <c r="AR55" i="6" s="1"/>
  <c r="AT305" i="9"/>
  <c r="AU312" i="9"/>
  <c r="AD305" i="9"/>
  <c r="AE312" i="9"/>
  <c r="V305" i="9"/>
  <c r="W312" i="9"/>
  <c r="AI182" i="9"/>
  <c r="S184" i="9" s="1"/>
  <c r="AX156" i="2" s="1"/>
  <c r="BB305" i="9"/>
  <c r="BC312" i="9"/>
  <c r="AO370" i="4"/>
  <c r="AN378" i="4"/>
  <c r="AK375" i="4"/>
  <c r="AN381" i="4"/>
  <c r="AO381" i="4"/>
  <c r="AE374" i="4"/>
  <c r="AL383" i="4"/>
  <c r="AJ387" i="4"/>
  <c r="AN380" i="4"/>
  <c r="AW59" i="6"/>
  <c r="AL372" i="4"/>
  <c r="AM376" i="4"/>
  <c r="V371" i="4"/>
  <c r="AS92" i="4"/>
  <c r="AJ371" i="4"/>
  <c r="AM372" i="4"/>
  <c r="AJ370" i="4"/>
  <c r="AZ198" i="4"/>
  <c r="AZ215" i="4" s="1"/>
  <c r="AO390" i="4"/>
  <c r="AK385" i="4"/>
  <c r="AK384" i="4"/>
  <c r="AN375" i="4"/>
  <c r="AK371" i="4"/>
  <c r="AO374" i="4"/>
  <c r="AM387" i="4"/>
  <c r="J319" i="4"/>
  <c r="AG336" i="4" s="1"/>
  <c r="AM378" i="4"/>
  <c r="AL392" i="4"/>
  <c r="AM392" i="4"/>
  <c r="AJ389" i="4"/>
  <c r="AG198" i="4"/>
  <c r="AG200" i="4" s="1"/>
  <c r="AN373" i="4"/>
  <c r="AJ388" i="4"/>
  <c r="AL386" i="4"/>
  <c r="AJ385" i="4"/>
  <c r="Z373" i="4"/>
  <c r="AL384" i="4"/>
  <c r="AK388" i="4"/>
  <c r="AL381" i="4"/>
  <c r="AK381" i="4"/>
  <c r="AN371" i="4"/>
  <c r="R392" i="4"/>
  <c r="AG373" i="4"/>
  <c r="AJ383" i="4"/>
  <c r="AO386" i="4"/>
  <c r="AJ380" i="4"/>
  <c r="AO379" i="4"/>
  <c r="AM391" i="4"/>
  <c r="N382" i="4"/>
  <c r="AM380" i="4"/>
  <c r="AL376" i="4"/>
  <c r="AM377" i="4"/>
  <c r="AO389" i="4"/>
  <c r="AN391" i="4"/>
  <c r="AK378" i="4"/>
  <c r="AJ386" i="4"/>
  <c r="AM388" i="4"/>
  <c r="AJ391" i="4"/>
  <c r="AL380" i="4"/>
  <c r="AO373" i="4"/>
  <c r="AO382" i="4"/>
  <c r="AJ392" i="4"/>
  <c r="AL377" i="4"/>
  <c r="AO391" i="4"/>
  <c r="AK377" i="4"/>
  <c r="AL382" i="4"/>
  <c r="AM383" i="4"/>
  <c r="AN376" i="4"/>
  <c r="AB388" i="4"/>
  <c r="AO385" i="4"/>
  <c r="AN389" i="4"/>
  <c r="AJ379" i="4"/>
  <c r="AN370" i="4"/>
  <c r="AM381" i="4"/>
  <c r="AN390" i="4"/>
  <c r="AN374" i="4"/>
  <c r="AM390" i="4"/>
  <c r="AM374" i="4"/>
  <c r="AN379" i="4"/>
  <c r="AK382" i="4"/>
  <c r="P375" i="4"/>
  <c r="AD376" i="4"/>
  <c r="AK383" i="4"/>
  <c r="AL388" i="4"/>
  <c r="AN377" i="4"/>
  <c r="AK392" i="4"/>
  <c r="AK380" i="4"/>
  <c r="AL389" i="4"/>
  <c r="AL373" i="4"/>
  <c r="AK389" i="4"/>
  <c r="AK370" i="4"/>
  <c r="AL378" i="4"/>
  <c r="AM379" i="4"/>
  <c r="X377" i="4"/>
  <c r="AD380" i="4"/>
  <c r="AO377" i="4"/>
  <c r="AN385" i="4"/>
  <c r="AJ375" i="4"/>
  <c r="AM389" i="4"/>
  <c r="AK376" i="4"/>
  <c r="AL385" i="4"/>
  <c r="AM384" i="4"/>
  <c r="AO383" i="4"/>
  <c r="AL390" i="4"/>
  <c r="AL374" i="4"/>
  <c r="AO372" i="4"/>
  <c r="AC381" i="4"/>
  <c r="W380" i="4"/>
  <c r="AF370" i="4"/>
  <c r="AB380" i="4"/>
  <c r="AJ374" i="4"/>
  <c r="P388" i="4"/>
  <c r="P380" i="4"/>
  <c r="AO392" i="4"/>
  <c r="AL387" i="4"/>
  <c r="Z382" i="4"/>
  <c r="N379" i="4"/>
  <c r="AK374" i="4"/>
  <c r="AL375" i="4"/>
  <c r="S385" i="4"/>
  <c r="R373" i="4"/>
  <c r="AD388" i="4"/>
  <c r="AK391" i="4"/>
  <c r="AM385" i="4"/>
  <c r="AM373" i="4"/>
  <c r="AJ384" i="4"/>
  <c r="AK387" i="4"/>
  <c r="AO387" i="4"/>
  <c r="AK373" i="4"/>
  <c r="AJ381" i="4"/>
  <c r="AK390" i="4"/>
  <c r="AL391" i="4"/>
  <c r="N386" i="4"/>
  <c r="Y385" i="4"/>
  <c r="V375" i="4"/>
  <c r="AD373" i="4"/>
  <c r="X388" i="4"/>
  <c r="AD385" i="4"/>
  <c r="AE373" i="4"/>
  <c r="AC380" i="4"/>
  <c r="N383" i="4"/>
  <c r="Z377" i="4"/>
  <c r="S381" i="4"/>
  <c r="X387" i="4"/>
  <c r="Z381" i="4"/>
  <c r="W376" i="4"/>
  <c r="Z378" i="4"/>
  <c r="Z389" i="4"/>
  <c r="O392" i="4"/>
  <c r="AE377" i="4"/>
  <c r="S390" i="4"/>
  <c r="AG382" i="4"/>
  <c r="O376" i="4"/>
  <c r="Q373" i="4"/>
  <c r="Z390" i="4"/>
  <c r="Y372" i="4"/>
  <c r="W375" i="4"/>
  <c r="P373" i="4"/>
  <c r="AE59" i="6"/>
  <c r="AK386" i="4"/>
  <c r="AJ390" i="4"/>
  <c r="AN372" i="4"/>
  <c r="O379" i="4"/>
  <c r="R385" i="4"/>
  <c r="V383" i="4"/>
  <c r="AC388" i="4"/>
  <c r="R381" i="4"/>
  <c r="W391" i="4"/>
  <c r="AE388" i="4"/>
  <c r="AC372" i="4"/>
  <c r="P371" i="4"/>
  <c r="S382" i="4"/>
  <c r="AD384" i="4"/>
  <c r="AK372" i="4"/>
  <c r="AN386" i="4"/>
  <c r="AJ376" i="4"/>
  <c r="AK379" i="4"/>
  <c r="AM386" i="4"/>
  <c r="AO375" i="4"/>
  <c r="AN387" i="4"/>
  <c r="AJ377" i="4"/>
  <c r="AO388" i="4"/>
  <c r="AM375" i="4"/>
  <c r="AN384" i="4"/>
  <c r="P391" i="4"/>
  <c r="O391" i="4"/>
  <c r="AB376" i="4"/>
  <c r="N375" i="4"/>
  <c r="Z385" i="4"/>
  <c r="AE381" i="4"/>
  <c r="Q392" i="4"/>
  <c r="S386" i="4"/>
  <c r="U378" i="4"/>
  <c r="AE386" i="4"/>
  <c r="AF378" i="4"/>
  <c r="O384" i="4"/>
  <c r="Y380" i="4"/>
  <c r="U379" i="4"/>
  <c r="Q374" i="4"/>
  <c r="AO378" i="4"/>
  <c r="AM370" i="4"/>
  <c r="AN382" i="4"/>
  <c r="AJ372" i="4"/>
  <c r="AL370" i="4"/>
  <c r="AM382" i="4"/>
  <c r="AO371" i="4"/>
  <c r="AN383" i="4"/>
  <c r="AJ373" i="4"/>
  <c r="AO384" i="4"/>
  <c r="AM371" i="4"/>
  <c r="AL379" i="4"/>
  <c r="V372" i="4"/>
  <c r="S373" i="4"/>
  <c r="AD389" i="4"/>
  <c r="X372" i="4"/>
  <c r="X392" i="4"/>
  <c r="AE389" i="4"/>
  <c r="W392" i="4"/>
  <c r="Q381" i="4"/>
  <c r="Y392" i="4"/>
  <c r="R386" i="4"/>
  <c r="R374" i="4"/>
  <c r="AO380" i="4"/>
  <c r="AN392" i="4"/>
  <c r="AJ382" i="4"/>
  <c r="AL371" i="4"/>
  <c r="V388" i="4"/>
  <c r="Y373" i="4"/>
  <c r="AF382" i="4"/>
  <c r="R377" i="4"/>
  <c r="V379" i="4"/>
  <c r="AG370" i="4"/>
  <c r="AC384" i="4"/>
  <c r="AE378" i="4"/>
  <c r="R370" i="4"/>
  <c r="O380" i="4"/>
  <c r="U390" i="4"/>
  <c r="AF389" i="4"/>
  <c r="X375" i="4"/>
  <c r="O373" i="4"/>
  <c r="Z376" i="4"/>
  <c r="AD383" i="4"/>
  <c r="AO376" i="4"/>
  <c r="AN388" i="4"/>
  <c r="AJ378" i="4"/>
  <c r="P379" i="4"/>
  <c r="AG391" i="4"/>
  <c r="W388" i="4"/>
  <c r="N391" i="4"/>
  <c r="N371" i="4"/>
  <c r="X384" i="4"/>
  <c r="AC376" i="4"/>
  <c r="AC392" i="4"/>
  <c r="O371" i="4"/>
  <c r="O388" i="4"/>
  <c r="U370" i="4"/>
  <c r="AB371" i="4"/>
  <c r="AF390" i="4"/>
  <c r="AE372" i="4"/>
  <c r="AC379" i="4"/>
  <c r="U382" i="4"/>
  <c r="AB387" i="4"/>
  <c r="R382" i="4"/>
  <c r="AE380" i="4"/>
  <c r="P376" i="4"/>
  <c r="X376" i="4"/>
  <c r="V387" i="4"/>
  <c r="AG374" i="4"/>
  <c r="AE385" i="4"/>
  <c r="V380" i="4"/>
  <c r="W384" i="4"/>
  <c r="Q389" i="4"/>
  <c r="S378" i="4"/>
  <c r="W379" i="4"/>
  <c r="AF373" i="4"/>
  <c r="N378" i="4"/>
  <c r="P385" i="4"/>
  <c r="X379" i="4"/>
  <c r="AC391" i="4"/>
  <c r="Y377" i="4"/>
  <c r="V392" i="4"/>
  <c r="N384" i="4"/>
  <c r="V386" i="4"/>
  <c r="R376" i="4"/>
  <c r="AC374" i="4"/>
  <c r="N387" i="4"/>
  <c r="P372" i="4"/>
  <c r="X380" i="4"/>
  <c r="V391" i="4"/>
  <c r="AG378" i="4"/>
  <c r="AG390" i="4"/>
  <c r="AE390" i="4"/>
  <c r="S370" i="4"/>
  <c r="Q385" i="4"/>
  <c r="O372" i="4"/>
  <c r="Y388" i="4"/>
  <c r="AF381" i="4"/>
  <c r="Q388" i="4"/>
  <c r="N376" i="4"/>
  <c r="V390" i="4"/>
  <c r="V384" i="4"/>
  <c r="Q370" i="4"/>
  <c r="Z372" i="4"/>
  <c r="AG377" i="4"/>
  <c r="AC373" i="4"/>
  <c r="AG375" i="4"/>
  <c r="X383" i="4"/>
  <c r="AG385" i="4"/>
  <c r="Q384" i="4"/>
  <c r="W383" i="4"/>
  <c r="AB379" i="4"/>
  <c r="X381" i="4"/>
  <c r="P389" i="4"/>
  <c r="N372" i="4"/>
  <c r="Z388" i="4"/>
  <c r="AG389" i="4"/>
  <c r="Q372" i="4"/>
  <c r="W371" i="4"/>
  <c r="U386" i="4"/>
  <c r="AF377" i="4"/>
  <c r="AB391" i="4"/>
  <c r="P392" i="4"/>
  <c r="R378" i="4"/>
  <c r="V378" i="4"/>
  <c r="AE376" i="4"/>
  <c r="N390" i="4"/>
  <c r="AB372" i="4"/>
  <c r="AF374" i="4"/>
  <c r="W372" i="4"/>
  <c r="S387" i="4"/>
  <c r="O370" i="4"/>
  <c r="W373" i="4"/>
  <c r="U381" i="4"/>
  <c r="N377" i="4"/>
  <c r="Y374" i="4"/>
  <c r="W386" i="4"/>
  <c r="X374" i="4"/>
  <c r="Y378" i="4"/>
  <c r="AD392" i="4"/>
  <c r="Q380" i="4"/>
  <c r="N392" i="4"/>
  <c r="P381" i="4"/>
  <c r="V370" i="4"/>
  <c r="Z380" i="4"/>
  <c r="X391" i="4"/>
  <c r="AC383" i="4"/>
  <c r="P387" i="4"/>
  <c r="AG383" i="4"/>
  <c r="AD381" i="4"/>
  <c r="Y387" i="4"/>
  <c r="X390" i="4"/>
  <c r="Y386" i="4"/>
  <c r="Q377" i="4"/>
  <c r="U374" i="4"/>
  <c r="Y384" i="4"/>
  <c r="AD372" i="4"/>
  <c r="AB383" i="4"/>
  <c r="R388" i="4"/>
  <c r="U371" i="4"/>
  <c r="R390" i="4"/>
  <c r="N380" i="4"/>
  <c r="X371" i="4"/>
  <c r="V382" i="4"/>
  <c r="AC371" i="4"/>
  <c r="AE384" i="4"/>
  <c r="R380" i="4"/>
  <c r="S389" i="4"/>
  <c r="S391" i="4"/>
  <c r="AF380" i="4"/>
  <c r="AG372" i="4"/>
  <c r="AF387" i="4"/>
  <c r="S374" i="4"/>
  <c r="Y376" i="4"/>
  <c r="W387" i="4"/>
  <c r="AB375" i="4"/>
  <c r="AF385" i="4"/>
  <c r="Z370" i="4"/>
  <c r="Y389" i="4"/>
  <c r="N388" i="4"/>
  <c r="P377" i="4"/>
  <c r="V374" i="4"/>
  <c r="Z384" i="4"/>
  <c r="AC375" i="4"/>
  <c r="AC387" i="4"/>
  <c r="X373" i="4"/>
  <c r="S377" i="4"/>
  <c r="S375" i="4"/>
  <c r="O375" i="4"/>
  <c r="AE370" i="4"/>
  <c r="P370" i="4"/>
  <c r="U385" i="4"/>
  <c r="AF386" i="4"/>
  <c r="AC378" i="4"/>
  <c r="AB385" i="4"/>
  <c r="Z392" i="4"/>
  <c r="AG381" i="4"/>
  <c r="AE392" i="4"/>
  <c r="X389" i="4"/>
  <c r="Y381" i="4"/>
  <c r="Q386" i="4"/>
  <c r="AD379" i="4"/>
  <c r="P374" i="4"/>
  <c r="AD377" i="4"/>
  <c r="AY192" i="3"/>
  <c r="AY233" i="3" s="1"/>
  <c r="AY235" i="3" s="1"/>
  <c r="BG148" i="3" s="1"/>
  <c r="W370" i="4"/>
  <c r="AB390" i="4"/>
  <c r="Z375" i="4"/>
  <c r="S388" i="4"/>
  <c r="Z110" i="5"/>
  <c r="U375" i="4"/>
  <c r="AB384" i="4"/>
  <c r="O385" i="4"/>
  <c r="W374" i="4"/>
  <c r="U389" i="4"/>
  <c r="AD391" i="4"/>
  <c r="R387" i="4"/>
  <c r="V377" i="4"/>
  <c r="AC386" i="4"/>
  <c r="Q387" i="4"/>
  <c r="W389" i="4"/>
  <c r="AB392" i="4"/>
  <c r="S383" i="4"/>
  <c r="Y375" i="4"/>
  <c r="AB370" i="4"/>
  <c r="AF392" i="4"/>
  <c r="R383" i="4"/>
  <c r="X378" i="4"/>
  <c r="AG388" i="4"/>
  <c r="Q383" i="4"/>
  <c r="AF371" i="4"/>
  <c r="U387" i="4"/>
  <c r="R389" i="4"/>
  <c r="O381" i="4"/>
  <c r="U377" i="4"/>
  <c r="AB374" i="4"/>
  <c r="P383" i="4"/>
  <c r="P382" i="4"/>
  <c r="V385" i="4"/>
  <c r="R384" i="4"/>
  <c r="Q375" i="4"/>
  <c r="AB373" i="4"/>
  <c r="AG387" i="4"/>
  <c r="U391" i="4"/>
  <c r="P384" i="4"/>
  <c r="O377" i="4"/>
  <c r="W378" i="4"/>
  <c r="AD375" i="4"/>
  <c r="V376" i="4"/>
  <c r="P378" i="4"/>
  <c r="V389" i="4"/>
  <c r="N374" i="4"/>
  <c r="S372" i="4"/>
  <c r="AB377" i="4"/>
  <c r="Q382" i="4"/>
  <c r="S371" i="4"/>
  <c r="Y379" i="4"/>
  <c r="Y391" i="4"/>
  <c r="AB382" i="4"/>
  <c r="R372" i="4"/>
  <c r="N389" i="4"/>
  <c r="R375" i="4"/>
  <c r="Z379" i="4"/>
  <c r="AE375" i="4"/>
  <c r="Z374" i="4"/>
  <c r="O386" i="4"/>
  <c r="U376" i="4"/>
  <c r="AD374" i="4"/>
  <c r="Q390" i="4"/>
  <c r="S379" i="4"/>
  <c r="Y371" i="4"/>
  <c r="W382" i="4"/>
  <c r="AD371" i="4"/>
  <c r="AF384" i="4"/>
  <c r="N370" i="4"/>
  <c r="P386" i="4"/>
  <c r="N373" i="4"/>
  <c r="X386" i="4"/>
  <c r="AE383" i="4"/>
  <c r="O387" i="4"/>
  <c r="O378" i="4"/>
  <c r="U384" i="4"/>
  <c r="AD382" i="4"/>
  <c r="O389" i="4"/>
  <c r="Q378" i="4"/>
  <c r="U373" i="4"/>
  <c r="Y383" i="4"/>
  <c r="AF372" i="4"/>
  <c r="AB386" i="4"/>
  <c r="O383" i="4"/>
  <c r="N385" i="4"/>
  <c r="R371" i="4"/>
  <c r="Z387" i="4"/>
  <c r="AG384" i="4"/>
  <c r="Q376" i="4"/>
  <c r="S376" i="4"/>
  <c r="W385" i="4"/>
  <c r="AF383" i="4"/>
  <c r="AT825" i="9"/>
  <c r="AT826" i="9" s="1"/>
  <c r="AT835" i="9" s="1"/>
  <c r="AT283" i="9" s="1"/>
  <c r="AT285" i="9" s="1"/>
  <c r="AD825" i="9"/>
  <c r="AD826" i="9" s="1"/>
  <c r="AD835" i="9" s="1"/>
  <c r="AD283" i="9" s="1"/>
  <c r="AG376" i="4"/>
  <c r="AE387" i="4"/>
  <c r="X385" i="4"/>
  <c r="U383" i="4"/>
  <c r="S384" i="4"/>
  <c r="O374" i="4"/>
  <c r="W377" i="4"/>
  <c r="U388" i="4"/>
  <c r="AF375" i="4"/>
  <c r="AD386" i="4"/>
  <c r="AP825" i="9"/>
  <c r="AP826" i="9" s="1"/>
  <c r="AP835" i="9" s="1"/>
  <c r="R825" i="9"/>
  <c r="R826" i="9" s="1"/>
  <c r="R835" i="9" s="1"/>
  <c r="R837" i="9" s="1"/>
  <c r="R424" i="9" s="1"/>
  <c r="V381" i="4"/>
  <c r="Z391" i="4"/>
  <c r="AE379" i="4"/>
  <c r="AC390" i="4"/>
  <c r="AC377" i="4"/>
  <c r="S392" i="4"/>
  <c r="O382" i="4"/>
  <c r="Q371" i="4"/>
  <c r="U380" i="4"/>
  <c r="Y390" i="4"/>
  <c r="AD378" i="4"/>
  <c r="AB389" i="4"/>
  <c r="BB825" i="9"/>
  <c r="BB826" i="9" s="1"/>
  <c r="BB835" i="9" s="1"/>
  <c r="BB283" i="9" s="1"/>
  <c r="AF376" i="4"/>
  <c r="AD387" i="4"/>
  <c r="AG379" i="4"/>
  <c r="R391" i="4"/>
  <c r="N381" i="4"/>
  <c r="X370" i="4"/>
  <c r="X382" i="4"/>
  <c r="AC370" i="4"/>
  <c r="AG380" i="4"/>
  <c r="AE391" i="4"/>
  <c r="AE382" i="4"/>
  <c r="Q391" i="4"/>
  <c r="S380" i="4"/>
  <c r="Y370" i="4"/>
  <c r="W381" i="4"/>
  <c r="U392" i="4"/>
  <c r="AF379" i="4"/>
  <c r="AD390" i="4"/>
  <c r="AX825" i="9"/>
  <c r="AX826" i="9" s="1"/>
  <c r="AX835" i="9" s="1"/>
  <c r="W390" i="4"/>
  <c r="AB378" i="4"/>
  <c r="AF388" i="4"/>
  <c r="AC389" i="4"/>
  <c r="P390" i="4"/>
  <c r="R379" i="4"/>
  <c r="V373" i="4"/>
  <c r="Z383" i="4"/>
  <c r="AE371" i="4"/>
  <c r="AC382" i="4"/>
  <c r="AG392" i="4"/>
  <c r="AC385" i="4"/>
  <c r="O390" i="4"/>
  <c r="Q379" i="4"/>
  <c r="U372" i="4"/>
  <c r="Y382" i="4"/>
  <c r="AD370" i="4"/>
  <c r="AB381" i="4"/>
  <c r="Z825" i="9"/>
  <c r="Z826" i="9" s="1"/>
  <c r="Z835" i="9" s="1"/>
  <c r="AY202" i="3"/>
  <c r="AY205" i="3" s="1"/>
  <c r="BG129" i="3" s="1"/>
  <c r="Z386" i="4"/>
  <c r="AG386" i="4"/>
  <c r="V825" i="9"/>
  <c r="V826" i="9" s="1"/>
  <c r="V835" i="9" s="1"/>
  <c r="V837" i="9" s="1"/>
  <c r="V355" i="9" s="1"/>
  <c r="Z371" i="4"/>
  <c r="AG371" i="4"/>
  <c r="AL333" i="4"/>
  <c r="AN350" i="4"/>
  <c r="AD340" i="4"/>
  <c r="AM346" i="4"/>
  <c r="AD353" i="4"/>
  <c r="S335" i="4"/>
  <c r="P350" i="4"/>
  <c r="X332" i="4"/>
  <c r="Z353" i="4"/>
  <c r="S386" i="9"/>
  <c r="R387" i="9" s="1"/>
  <c r="R868" i="9" s="1"/>
  <c r="AD284" i="9"/>
  <c r="AH836" i="9"/>
  <c r="AH284" i="9" s="1"/>
  <c r="AD282" i="9"/>
  <c r="AH834" i="9"/>
  <c r="AH282" i="9" s="1"/>
  <c r="BB284" i="9"/>
  <c r="BF836" i="9"/>
  <c r="BF284" i="9" s="1"/>
  <c r="BF834" i="9"/>
  <c r="BF282" i="9" s="1"/>
  <c r="AK295" i="3"/>
  <c r="W189" i="3" s="1"/>
  <c r="AA189" i="3" s="1"/>
  <c r="W200" i="3"/>
  <c r="AA200" i="3" s="1"/>
  <c r="AX158" i="2"/>
  <c r="Z55" i="6" s="1"/>
  <c r="AI371" i="9"/>
  <c r="AA372" i="9"/>
  <c r="AA381" i="9" s="1"/>
  <c r="AK315" i="3"/>
  <c r="W191" i="3" s="1"/>
  <c r="AA191" i="3" s="1"/>
  <c r="BG372" i="9"/>
  <c r="AT373" i="9"/>
  <c r="BF373" i="9" s="1"/>
  <c r="W201" i="3"/>
  <c r="AA201" i="3" s="1"/>
  <c r="AK305" i="3"/>
  <c r="W190" i="3" s="1"/>
  <c r="AA190" i="3" s="1"/>
  <c r="BC400" i="9"/>
  <c r="AQ764" i="9"/>
  <c r="AY334" i="9" s="1"/>
  <c r="AX764" i="9"/>
  <c r="W168" i="9"/>
  <c r="BC330" i="9"/>
  <c r="BC331" i="9" s="1"/>
  <c r="S317" i="9"/>
  <c r="Z73" i="6"/>
  <c r="AR110" i="5"/>
  <c r="AR73" i="6"/>
  <c r="AQ386" i="9"/>
  <c r="AP387" i="9" s="1"/>
  <c r="AP868" i="9" s="1"/>
  <c r="U539" i="9"/>
  <c r="AK539" i="9" s="1"/>
  <c r="AK538" i="9"/>
  <c r="AS519" i="9"/>
  <c r="BI519" i="9" s="1"/>
  <c r="BI518" i="9"/>
  <c r="U484" i="9"/>
  <c r="AK484" i="9" s="1"/>
  <c r="AK483" i="9"/>
  <c r="AS474" i="9"/>
  <c r="BI474" i="9" s="1"/>
  <c r="BI473" i="9"/>
  <c r="U529" i="9"/>
  <c r="AK529" i="9" s="1"/>
  <c r="AK528" i="9"/>
  <c r="AS494" i="9"/>
  <c r="BI494" i="9" s="1"/>
  <c r="BI493" i="9"/>
  <c r="AK464" i="9"/>
  <c r="AK462" i="9" s="1"/>
  <c r="U474" i="9"/>
  <c r="AK474" i="9" s="1"/>
  <c r="AK473" i="9"/>
  <c r="AS539" i="9"/>
  <c r="BI539" i="9" s="1"/>
  <c r="BI538" i="9"/>
  <c r="AS484" i="9"/>
  <c r="BI484" i="9" s="1"/>
  <c r="BI483" i="9"/>
  <c r="U519" i="9"/>
  <c r="AK519" i="9" s="1"/>
  <c r="AK518" i="9"/>
  <c r="AP305" i="9"/>
  <c r="BG304" i="9"/>
  <c r="BI528" i="9"/>
  <c r="AS529" i="9"/>
  <c r="BI529" i="9" s="1"/>
  <c r="BI464" i="9"/>
  <c r="BI462" i="9" s="1"/>
  <c r="AK493" i="9"/>
  <c r="U494" i="9"/>
  <c r="AK494" i="9" s="1"/>
  <c r="AI304" i="9"/>
  <c r="AA337" i="9" s="1"/>
  <c r="AA384" i="9"/>
  <c r="W386" i="9"/>
  <c r="V387" i="9" s="1"/>
  <c r="AY315" i="9"/>
  <c r="AU317" i="9"/>
  <c r="AY384" i="9"/>
  <c r="AU386" i="9"/>
  <c r="AA315" i="9"/>
  <c r="W317" i="9"/>
  <c r="S186" i="9" l="1"/>
  <c r="AQ186" i="9"/>
  <c r="AR179" i="5"/>
  <c r="AR187" i="5" s="1"/>
  <c r="AR188" i="5" s="1"/>
  <c r="Q342" i="4"/>
  <c r="Y344" i="4"/>
  <c r="S340" i="4"/>
  <c r="U351" i="4"/>
  <c r="AE344" i="4"/>
  <c r="V339" i="4"/>
  <c r="N345" i="4"/>
  <c r="Y341" i="4"/>
  <c r="Z336" i="4"/>
  <c r="N351" i="4"/>
  <c r="AJ337" i="4"/>
  <c r="Y343" i="4"/>
  <c r="Q340" i="4"/>
  <c r="N338" i="4"/>
  <c r="U350" i="4"/>
  <c r="O334" i="4"/>
  <c r="AJ353" i="4"/>
  <c r="Q337" i="4"/>
  <c r="AC335" i="4"/>
  <c r="AE335" i="4"/>
  <c r="X338" i="4"/>
  <c r="R345" i="4"/>
  <c r="R344" i="4"/>
  <c r="U349" i="4"/>
  <c r="S333" i="4"/>
  <c r="X341" i="4"/>
  <c r="N344" i="4"/>
  <c r="Z332" i="4"/>
  <c r="W353" i="4"/>
  <c r="U332" i="4"/>
  <c r="O352" i="4"/>
  <c r="AN335" i="4"/>
  <c r="Z343" i="4"/>
  <c r="AD339" i="4"/>
  <c r="Z352" i="4"/>
  <c r="AF335" i="4"/>
  <c r="AO336" i="4"/>
  <c r="AE343" i="4"/>
  <c r="R338" i="4"/>
  <c r="AD336" i="4"/>
  <c r="AD341" i="4"/>
  <c r="AN349" i="4"/>
  <c r="AC337" i="4"/>
  <c r="AO353" i="4"/>
  <c r="AJ338" i="4"/>
  <c r="AG349" i="4"/>
  <c r="AK342" i="4"/>
  <c r="AF344" i="4"/>
  <c r="AL343" i="4"/>
  <c r="AM347" i="4"/>
  <c r="Z346" i="4"/>
  <c r="AN332" i="4"/>
  <c r="AO351" i="4"/>
  <c r="AN334" i="4"/>
  <c r="AE352" i="4"/>
  <c r="AK340" i="4"/>
  <c r="AB347" i="4"/>
  <c r="AL344" i="4"/>
  <c r="AE342" i="4"/>
  <c r="AM348" i="4"/>
  <c r="Z83" i="5"/>
  <c r="Z84" i="5" s="1"/>
  <c r="Z85" i="5" s="1"/>
  <c r="Z188" i="5"/>
  <c r="Z66" i="5"/>
  <c r="AR66" i="5"/>
  <c r="AR84" i="5"/>
  <c r="AR86" i="5" s="1"/>
  <c r="AR128" i="5"/>
  <c r="AR129" i="5" s="1"/>
  <c r="AR130" i="5" s="1"/>
  <c r="AR147" i="5" s="1"/>
  <c r="AK482" i="9"/>
  <c r="W328" i="9" s="1"/>
  <c r="AA328" i="9" s="1"/>
  <c r="BB285" i="9"/>
  <c r="AY195" i="3"/>
  <c r="BG128" i="3" s="1"/>
  <c r="BG130" i="3" s="1"/>
  <c r="BG134" i="3" s="1"/>
  <c r="BG136" i="3" s="1"/>
  <c r="AZ204" i="4"/>
  <c r="AZ212" i="4"/>
  <c r="AZ207" i="4"/>
  <c r="AH305" i="9"/>
  <c r="S771" i="9" s="1"/>
  <c r="S772" i="9" s="1"/>
  <c r="AZ211" i="4"/>
  <c r="AZ200" i="4"/>
  <c r="AZ217" i="4"/>
  <c r="AE336" i="4"/>
  <c r="X336" i="4"/>
  <c r="AG350" i="4"/>
  <c r="O345" i="4"/>
  <c r="X351" i="4"/>
  <c r="P340" i="4"/>
  <c r="Y338" i="4"/>
  <c r="V352" i="4"/>
  <c r="AD338" i="4"/>
  <c r="AJ331" i="4"/>
  <c r="AK341" i="4"/>
  <c r="X344" i="4"/>
  <c r="AD332" i="4"/>
  <c r="X339" i="4"/>
  <c r="S346" i="4"/>
  <c r="N332" i="4"/>
  <c r="AN352" i="4"/>
  <c r="AJ339" i="4"/>
  <c r="AF345" i="4"/>
  <c r="R339" i="4"/>
  <c r="U334" i="4"/>
  <c r="AD331" i="4"/>
  <c r="P347" i="4"/>
  <c r="P353" i="4"/>
  <c r="AM335" i="4"/>
  <c r="AE348" i="4"/>
  <c r="AL345" i="4"/>
  <c r="W352" i="4"/>
  <c r="O350" i="4"/>
  <c r="W334" i="4"/>
  <c r="V349" i="4"/>
  <c r="AL334" i="4"/>
  <c r="AD351" i="4"/>
  <c r="AK343" i="4"/>
  <c r="AE341" i="4"/>
  <c r="AE353" i="4"/>
  <c r="W332" i="4"/>
  <c r="S349" i="4"/>
  <c r="R333" i="4"/>
  <c r="U344" i="4"/>
  <c r="AE334" i="4"/>
  <c r="AF343" i="4"/>
  <c r="AM349" i="4"/>
  <c r="AO335" i="4"/>
  <c r="Z349" i="4"/>
  <c r="AL350" i="4"/>
  <c r="AE347" i="4"/>
  <c r="Q341" i="4"/>
  <c r="X337" i="4"/>
  <c r="AL347" i="4"/>
  <c r="AD337" i="4"/>
  <c r="AF352" i="4"/>
  <c r="P334" i="4"/>
  <c r="Y340" i="4"/>
  <c r="AG337" i="4"/>
  <c r="V346" i="4"/>
  <c r="N348" i="4"/>
  <c r="AE339" i="4"/>
  <c r="AN353" i="4"/>
  <c r="AJ340" i="4"/>
  <c r="Q331" i="4"/>
  <c r="S344" i="4"/>
  <c r="Y339" i="4"/>
  <c r="AE331" i="4"/>
  <c r="N346" i="4"/>
  <c r="AM351" i="4"/>
  <c r="AO337" i="4"/>
  <c r="AC347" i="4"/>
  <c r="AZ213" i="4"/>
  <c r="AZ220" i="4"/>
  <c r="AN336" i="4"/>
  <c r="AB336" i="4"/>
  <c r="O353" i="4"/>
  <c r="U343" i="4"/>
  <c r="Q344" i="4"/>
  <c r="X334" i="4"/>
  <c r="W349" i="4"/>
  <c r="AN343" i="4"/>
  <c r="AB350" i="4"/>
  <c r="AK344" i="4"/>
  <c r="AB348" i="4"/>
  <c r="AC332" i="4"/>
  <c r="O331" i="4"/>
  <c r="R349" i="4"/>
  <c r="S334" i="4"/>
  <c r="Z342" i="4"/>
  <c r="AJ342" i="4"/>
  <c r="AF342" i="4"/>
  <c r="AM350" i="4"/>
  <c r="Z333" i="4"/>
  <c r="U346" i="4"/>
  <c r="O349" i="4"/>
  <c r="AJ349" i="4"/>
  <c r="R342" i="4"/>
  <c r="AG344" i="4"/>
  <c r="AL348" i="4"/>
  <c r="AK333" i="4"/>
  <c r="N349" i="4"/>
  <c r="Q339" i="4"/>
  <c r="U345" i="4"/>
  <c r="AC339" i="4"/>
  <c r="V338" i="4"/>
  <c r="AK346" i="4"/>
  <c r="AE338" i="4"/>
  <c r="AO331" i="4"/>
  <c r="U331" i="4"/>
  <c r="Y353" i="4"/>
  <c r="O339" i="4"/>
  <c r="Z339" i="4"/>
  <c r="AF331" i="4"/>
  <c r="AF340" i="4"/>
  <c r="AM352" i="4"/>
  <c r="AO338" i="4"/>
  <c r="AB352" i="4"/>
  <c r="AN351" i="4"/>
  <c r="R332" i="4"/>
  <c r="P344" i="4"/>
  <c r="W333" i="4"/>
  <c r="V348" i="4"/>
  <c r="AL335" i="4"/>
  <c r="AF348" i="4"/>
  <c r="AK345" i="4"/>
  <c r="X340" i="4"/>
  <c r="W351" i="4"/>
  <c r="P339" i="4"/>
  <c r="S350" i="4"/>
  <c r="P337" i="4"/>
  <c r="AE351" i="4"/>
  <c r="AJ343" i="4"/>
  <c r="AF341" i="4"/>
  <c r="R343" i="4"/>
  <c r="S332" i="4"/>
  <c r="W350" i="4"/>
  <c r="R331" i="4"/>
  <c r="AG333" i="4"/>
  <c r="AO340" i="4"/>
  <c r="AG343" i="4"/>
  <c r="AL349" i="4"/>
  <c r="AZ202" i="4"/>
  <c r="AZ203" i="4"/>
  <c r="S336" i="4"/>
  <c r="P336" i="4"/>
  <c r="O336" i="4"/>
  <c r="W344" i="4"/>
  <c r="P331" i="4"/>
  <c r="Q332" i="4"/>
  <c r="V345" i="4"/>
  <c r="AE340" i="4"/>
  <c r="AB346" i="4"/>
  <c r="AK347" i="4"/>
  <c r="AE337" i="4"/>
  <c r="AE349" i="4"/>
  <c r="S339" i="4"/>
  <c r="S353" i="4"/>
  <c r="N339" i="4"/>
  <c r="U340" i="4"/>
  <c r="X353" i="4"/>
  <c r="AF339" i="4"/>
  <c r="AM353" i="4"/>
  <c r="AO339" i="4"/>
  <c r="Z345" i="4"/>
  <c r="AF333" i="4"/>
  <c r="Z344" i="4"/>
  <c r="Q345" i="4"/>
  <c r="V332" i="4"/>
  <c r="AL351" i="4"/>
  <c r="AN337" i="4"/>
  <c r="AD347" i="4"/>
  <c r="P338" i="4"/>
  <c r="W335" i="4"/>
  <c r="AF332" i="4"/>
  <c r="N342" i="4"/>
  <c r="N352" i="4"/>
  <c r="AK334" i="4"/>
  <c r="AC350" i="4"/>
  <c r="AJ344" i="4"/>
  <c r="AD333" i="4"/>
  <c r="S348" i="4"/>
  <c r="Y335" i="4"/>
  <c r="X350" i="4"/>
  <c r="S351" i="4"/>
  <c r="AB353" i="4"/>
  <c r="AO341" i="4"/>
  <c r="AG342" i="4"/>
  <c r="AF350" i="4"/>
  <c r="U335" i="4"/>
  <c r="Q348" i="4"/>
  <c r="P332" i="4"/>
  <c r="W345" i="4"/>
  <c r="AG335" i="4"/>
  <c r="AB345" i="4"/>
  <c r="AK348" i="4"/>
  <c r="AM334" i="4"/>
  <c r="V351" i="4"/>
  <c r="AN339" i="4"/>
  <c r="R353" i="4"/>
  <c r="O340" i="4"/>
  <c r="Z338" i="4"/>
  <c r="AJ346" i="4"/>
  <c r="AF338" i="4"/>
  <c r="AN331" i="4"/>
  <c r="N333" i="4"/>
  <c r="U342" i="4"/>
  <c r="AC349" i="4"/>
  <c r="V350" i="4"/>
  <c r="R346" i="4"/>
  <c r="AG340" i="4"/>
  <c r="AL352" i="4"/>
  <c r="AN338" i="4"/>
  <c r="AZ221" i="4"/>
  <c r="AZ209" i="4"/>
  <c r="AZ201" i="4"/>
  <c r="Y336" i="4"/>
  <c r="AL336" i="4"/>
  <c r="N336" i="4"/>
  <c r="N353" i="4"/>
  <c r="Q343" i="4"/>
  <c r="U341" i="4"/>
  <c r="AG332" i="4"/>
  <c r="R340" i="4"/>
  <c r="AK350" i="4"/>
  <c r="AK335" i="4"/>
  <c r="AG348" i="4"/>
  <c r="Q346" i="4"/>
  <c r="Y345" i="4"/>
  <c r="O343" i="4"/>
  <c r="Z335" i="4"/>
  <c r="Y350" i="4"/>
  <c r="AO332" i="4"/>
  <c r="AF351" i="4"/>
  <c r="AO342" i="4"/>
  <c r="AC348" i="4"/>
  <c r="AE333" i="4"/>
  <c r="R348" i="4"/>
  <c r="P348" i="4"/>
  <c r="Q333" i="4"/>
  <c r="V344" i="4"/>
  <c r="AN340" i="4"/>
  <c r="AB344" i="4"/>
  <c r="AK349" i="4"/>
  <c r="V335" i="4"/>
  <c r="W347" i="4"/>
  <c r="O337" i="4"/>
  <c r="N331" i="4"/>
  <c r="P341" i="4"/>
  <c r="AC346" i="4"/>
  <c r="AJ347" i="4"/>
  <c r="AF337" i="4"/>
  <c r="R347" i="4"/>
  <c r="O338" i="4"/>
  <c r="W346" i="4"/>
  <c r="AC351" i="4"/>
  <c r="X343" i="4"/>
  <c r="AO344" i="4"/>
  <c r="AG339" i="4"/>
  <c r="AL353" i="4"/>
  <c r="Y333" i="4"/>
  <c r="AB332" i="4"/>
  <c r="S337" i="4"/>
  <c r="V341" i="4"/>
  <c r="AB333" i="4"/>
  <c r="AB342" i="4"/>
  <c r="AK351" i="4"/>
  <c r="AM337" i="4"/>
  <c r="AJ334" i="4"/>
  <c r="AJ341" i="4"/>
  <c r="X335" i="4"/>
  <c r="N343" i="4"/>
  <c r="Y334" i="4"/>
  <c r="X349" i="4"/>
  <c r="AO333" i="4"/>
  <c r="AD350" i="4"/>
  <c r="AO343" i="4"/>
  <c r="Z341" i="4"/>
  <c r="Y352" i="4"/>
  <c r="N334" i="4"/>
  <c r="Q349" i="4"/>
  <c r="R334" i="4"/>
  <c r="AC353" i="4"/>
  <c r="AN341" i="4"/>
  <c r="AB343" i="4"/>
  <c r="R336" i="4"/>
  <c r="AZ218" i="4"/>
  <c r="AZ214" i="4"/>
  <c r="AZ216" i="4"/>
  <c r="Q336" i="4"/>
  <c r="AM336" i="4"/>
  <c r="W336" i="4"/>
  <c r="P342" i="4"/>
  <c r="W331" i="4"/>
  <c r="Y351" i="4"/>
  <c r="O341" i="4"/>
  <c r="AL338" i="4"/>
  <c r="AM339" i="4"/>
  <c r="AC345" i="4"/>
  <c r="AJ348" i="4"/>
  <c r="U347" i="4"/>
  <c r="S352" i="4"/>
  <c r="Y331" i="4"/>
  <c r="X346" i="4"/>
  <c r="AG352" i="4"/>
  <c r="AF347" i="4"/>
  <c r="AO345" i="4"/>
  <c r="AG338" i="4"/>
  <c r="AK332" i="4"/>
  <c r="Q334" i="4"/>
  <c r="Q352" i="4"/>
  <c r="R337" i="4"/>
  <c r="W341" i="4"/>
  <c r="AG331" i="4"/>
  <c r="AB341" i="4"/>
  <c r="AK352" i="4"/>
  <c r="AM338" i="4"/>
  <c r="V347" i="4"/>
  <c r="AB335" i="4"/>
  <c r="Z348" i="4"/>
  <c r="O344" i="4"/>
  <c r="X333" i="4"/>
  <c r="AJ350" i="4"/>
  <c r="AJ335" i="4"/>
  <c r="AB349" i="4"/>
  <c r="N337" i="4"/>
  <c r="U338" i="4"/>
  <c r="AB334" i="4"/>
  <c r="X331" i="4"/>
  <c r="R350" i="4"/>
  <c r="AM332" i="4"/>
  <c r="AG351" i="4"/>
  <c r="AN342" i="4"/>
  <c r="AC343" i="4"/>
  <c r="Q347" i="4"/>
  <c r="U337" i="4"/>
  <c r="Z351" i="4"/>
  <c r="Q338" i="4"/>
  <c r="AL331" i="4"/>
  <c r="AM340" i="4"/>
  <c r="AC344" i="4"/>
  <c r="AC352" i="4"/>
  <c r="Y337" i="4"/>
  <c r="O347" i="4"/>
  <c r="Z331" i="4"/>
  <c r="Y346" i="4"/>
  <c r="AG341" i="4"/>
  <c r="AD346" i="4"/>
  <c r="AO346" i="4"/>
  <c r="AJ333" i="4"/>
  <c r="X352" i="4"/>
  <c r="Q350" i="4"/>
  <c r="P352" i="4"/>
  <c r="S338" i="4"/>
  <c r="V340" i="4"/>
  <c r="AN344" i="4"/>
  <c r="AB340" i="4"/>
  <c r="AK353" i="4"/>
  <c r="AZ208" i="4"/>
  <c r="AZ205" i="4"/>
  <c r="AZ210" i="4"/>
  <c r="AF336" i="4"/>
  <c r="AC336" i="4"/>
  <c r="U336" i="4"/>
  <c r="V331" i="4"/>
  <c r="W343" i="4"/>
  <c r="AN347" i="4"/>
  <c r="AC331" i="4"/>
  <c r="P345" i="4"/>
  <c r="AC342" i="4"/>
  <c r="AJ351" i="4"/>
  <c r="AL337" i="4"/>
  <c r="R351" i="4"/>
  <c r="O342" i="4"/>
  <c r="W342" i="4"/>
  <c r="AC334" i="4"/>
  <c r="P335" i="4"/>
  <c r="AO348" i="4"/>
  <c r="AN333" i="4"/>
  <c r="AE350" i="4"/>
  <c r="S343" i="4"/>
  <c r="W348" i="4"/>
  <c r="S341" i="4"/>
  <c r="V337" i="4"/>
  <c r="U352" i="4"/>
  <c r="AB338" i="4"/>
  <c r="AF353" i="4"/>
  <c r="AM341" i="4"/>
  <c r="AG346" i="4"/>
  <c r="AG334" i="4"/>
  <c r="P343" i="4"/>
  <c r="N347" i="4"/>
  <c r="O332" i="4"/>
  <c r="X345" i="4"/>
  <c r="AL339" i="4"/>
  <c r="AD345" i="4"/>
  <c r="AO347" i="4"/>
  <c r="Z337" i="4"/>
  <c r="Y348" i="4"/>
  <c r="P351" i="4"/>
  <c r="Q353" i="4"/>
  <c r="N340" i="4"/>
  <c r="AG347" i="4"/>
  <c r="AN345" i="4"/>
  <c r="AB339" i="4"/>
  <c r="P346" i="4"/>
  <c r="Q335" i="4"/>
  <c r="Y347" i="4"/>
  <c r="AL346" i="4"/>
  <c r="X347" i="4"/>
  <c r="AM343" i="4"/>
  <c r="AC341" i="4"/>
  <c r="AJ352" i="4"/>
  <c r="U339" i="4"/>
  <c r="AF334" i="4"/>
  <c r="O335" i="4"/>
  <c r="X342" i="4"/>
  <c r="AD334" i="4"/>
  <c r="AD343" i="4"/>
  <c r="AO349" i="4"/>
  <c r="AO334" i="4"/>
  <c r="AF346" i="4"/>
  <c r="S347" i="4"/>
  <c r="V342" i="4"/>
  <c r="R341" i="4"/>
  <c r="W337" i="4"/>
  <c r="Z350" i="4"/>
  <c r="AB337" i="4"/>
  <c r="AD352" i="4"/>
  <c r="AM342" i="4"/>
  <c r="AZ206" i="4"/>
  <c r="AZ219" i="4"/>
  <c r="AJ336" i="4"/>
  <c r="AK336" i="4"/>
  <c r="V336" i="4"/>
  <c r="V343" i="4"/>
  <c r="AB331" i="4"/>
  <c r="V334" i="4"/>
  <c r="O348" i="4"/>
  <c r="P333" i="4"/>
  <c r="AK331" i="4"/>
  <c r="AL340" i="4"/>
  <c r="AD344" i="4"/>
  <c r="N341" i="4"/>
  <c r="Y332" i="4"/>
  <c r="U353" i="4"/>
  <c r="R352" i="4"/>
  <c r="S331" i="4"/>
  <c r="AK338" i="4"/>
  <c r="AE346" i="4"/>
  <c r="AN346" i="4"/>
  <c r="Y349" i="4"/>
  <c r="Q351" i="4"/>
  <c r="U333" i="4"/>
  <c r="Z347" i="4"/>
  <c r="AJ345" i="4"/>
  <c r="AF349" i="4"/>
  <c r="AM344" i="4"/>
  <c r="AC340" i="4"/>
  <c r="AL332" i="4"/>
  <c r="O333" i="4"/>
  <c r="O351" i="4"/>
  <c r="N335" i="4"/>
  <c r="Y342" i="4"/>
  <c r="AC333" i="4"/>
  <c r="AD342" i="4"/>
  <c r="AO350" i="4"/>
  <c r="AK337" i="4"/>
  <c r="X348" i="4"/>
  <c r="AG345" i="4"/>
  <c r="AE332" i="4"/>
  <c r="S342" i="4"/>
  <c r="Z334" i="4"/>
  <c r="AN348" i="4"/>
  <c r="AM333" i="4"/>
  <c r="AB351" i="4"/>
  <c r="R335" i="4"/>
  <c r="W339" i="4"/>
  <c r="AD335" i="4"/>
  <c r="Z340" i="4"/>
  <c r="P349" i="4"/>
  <c r="AC338" i="4"/>
  <c r="AG353" i="4"/>
  <c r="AL341" i="4"/>
  <c r="AL342" i="4"/>
  <c r="O346" i="4"/>
  <c r="W338" i="4"/>
  <c r="V353" i="4"/>
  <c r="N350" i="4"/>
  <c r="AO352" i="4"/>
  <c r="AK339" i="4"/>
  <c r="AE345" i="4"/>
  <c r="AD349" i="4"/>
  <c r="W340" i="4"/>
  <c r="S345" i="4"/>
  <c r="V333" i="4"/>
  <c r="U348" i="4"/>
  <c r="AM331" i="4"/>
  <c r="AD348" i="4"/>
  <c r="AM345" i="4"/>
  <c r="AJ332" i="4"/>
  <c r="AG201" i="4"/>
  <c r="AG208" i="4"/>
  <c r="AG204" i="4"/>
  <c r="AG210" i="4"/>
  <c r="AG207" i="4"/>
  <c r="AG216" i="4"/>
  <c r="AG219" i="4"/>
  <c r="AG217" i="4"/>
  <c r="AG205" i="4"/>
  <c r="AG218" i="4"/>
  <c r="AG203" i="4"/>
  <c r="AG209" i="4"/>
  <c r="AG221" i="4"/>
  <c r="AG215" i="4"/>
  <c r="AG213" i="4"/>
  <c r="AG212" i="4"/>
  <c r="AG202" i="4"/>
  <c r="AG220" i="4"/>
  <c r="AG211" i="4"/>
  <c r="AG206" i="4"/>
  <c r="AG214" i="4"/>
  <c r="V424" i="9"/>
  <c r="V283" i="9"/>
  <c r="V285" i="9" s="1"/>
  <c r="AJ363" i="4"/>
  <c r="J363" i="4" s="1"/>
  <c r="AS107" i="4" s="1"/>
  <c r="AD837" i="9"/>
  <c r="AD355" i="9" s="1"/>
  <c r="AH826" i="9"/>
  <c r="AY240" i="3"/>
  <c r="AY242" i="3" s="1"/>
  <c r="BG149" i="3" s="1"/>
  <c r="BG150" i="3" s="1"/>
  <c r="BG154" i="3" s="1"/>
  <c r="BJ157" i="2" s="1"/>
  <c r="AH835" i="9"/>
  <c r="AH283" i="9" s="1"/>
  <c r="R283" i="9"/>
  <c r="R285" i="9" s="1"/>
  <c r="BF826" i="9"/>
  <c r="BB837" i="9"/>
  <c r="BB424" i="9" s="1"/>
  <c r="AX837" i="9"/>
  <c r="AX283" i="9"/>
  <c r="AX285" i="9" s="1"/>
  <c r="AP837" i="9"/>
  <c r="AP872" i="9" s="1"/>
  <c r="AP283" i="9"/>
  <c r="AP285" i="9" s="1"/>
  <c r="Z283" i="9"/>
  <c r="Z285" i="9" s="1"/>
  <c r="Z837" i="9"/>
  <c r="N362" i="4"/>
  <c r="J362" i="4" s="1"/>
  <c r="AS100" i="4" s="1"/>
  <c r="AD285" i="9"/>
  <c r="AA202" i="3"/>
  <c r="AA240" i="3" s="1"/>
  <c r="AA242" i="3" s="1"/>
  <c r="AI149" i="3" s="1"/>
  <c r="AA192" i="3"/>
  <c r="AA233" i="3" s="1"/>
  <c r="AA235" i="3" s="1"/>
  <c r="AI148" i="3" s="1"/>
  <c r="BG381" i="9"/>
  <c r="AI372" i="9"/>
  <c r="Z373" i="9"/>
  <c r="AY406" i="9"/>
  <c r="AY417" i="9"/>
  <c r="AY403" i="9"/>
  <c r="AT837" i="9"/>
  <c r="BF835" i="9"/>
  <c r="BF283" i="9" s="1"/>
  <c r="R355" i="9"/>
  <c r="V868" i="9"/>
  <c r="R872" i="9"/>
  <c r="AE330" i="9"/>
  <c r="AE331" i="9" s="1"/>
  <c r="AT318" i="9"/>
  <c r="AT843" i="9" s="1"/>
  <c r="BG312" i="9"/>
  <c r="AK527" i="9"/>
  <c r="BI472" i="9"/>
  <c r="AU327" i="9" s="1"/>
  <c r="AY327" i="9" s="1"/>
  <c r="V318" i="9"/>
  <c r="BI492" i="9"/>
  <c r="AU329" i="9" s="1"/>
  <c r="AY329" i="9" s="1"/>
  <c r="R318" i="9"/>
  <c r="BF305" i="9"/>
  <c r="AQ771" i="9" s="1"/>
  <c r="AQ772" i="9" s="1"/>
  <c r="AQ773" i="9" s="1"/>
  <c r="AQ774" i="9" s="1"/>
  <c r="BI517" i="9"/>
  <c r="AU412" i="9" s="1"/>
  <c r="AY412" i="9" s="1"/>
  <c r="BI537" i="9"/>
  <c r="AU345" i="9" s="1"/>
  <c r="AY345" i="9" s="1"/>
  <c r="AK492" i="9"/>
  <c r="W329" i="9" s="1"/>
  <c r="AA329" i="9" s="1"/>
  <c r="W395" i="9"/>
  <c r="AA395" i="9" s="1"/>
  <c r="W326" i="9"/>
  <c r="AA326" i="9" s="1"/>
  <c r="AU395" i="9"/>
  <c r="AY395" i="9" s="1"/>
  <c r="AU326" i="9"/>
  <c r="AY326" i="9" s="1"/>
  <c r="BI482" i="9"/>
  <c r="AU397" i="9" s="1"/>
  <c r="AY397" i="9" s="1"/>
  <c r="AK537" i="9"/>
  <c r="W414" i="9" s="1"/>
  <c r="AA414" i="9" s="1"/>
  <c r="AK472" i="9"/>
  <c r="W327" i="9" s="1"/>
  <c r="AA327" i="9" s="1"/>
  <c r="BI527" i="9"/>
  <c r="AU413" i="9" s="1"/>
  <c r="AY413" i="9" s="1"/>
  <c r="AK517" i="9"/>
  <c r="W343" i="9" s="1"/>
  <c r="AA343" i="9" s="1"/>
  <c r="AY348" i="9"/>
  <c r="AY337" i="9"/>
  <c r="AA348" i="9"/>
  <c r="AE334" i="9" s="1"/>
  <c r="AE384" i="9"/>
  <c r="AE386" i="9" s="1"/>
  <c r="AD387" i="9" s="1"/>
  <c r="AA386" i="9"/>
  <c r="AE315" i="9"/>
  <c r="AE317" i="9" s="1"/>
  <c r="AD318" i="9" s="1"/>
  <c r="AA317" i="9"/>
  <c r="Z318" i="9" s="1"/>
  <c r="AY317" i="9"/>
  <c r="AX318" i="9" s="1"/>
  <c r="AX843" i="9" s="1"/>
  <c r="BC315" i="9"/>
  <c r="BC317" i="9" s="1"/>
  <c r="BB318" i="9" s="1"/>
  <c r="BB843" i="9" s="1"/>
  <c r="BC384" i="9"/>
  <c r="BC386" i="9" s="1"/>
  <c r="BB387" i="9" s="1"/>
  <c r="AY386" i="9"/>
  <c r="AX387" i="9" s="1"/>
  <c r="Z128" i="5" l="1"/>
  <c r="Z129" i="5" s="1"/>
  <c r="Z130" i="5" s="1"/>
  <c r="Z147" i="5" s="1"/>
  <c r="Z86" i="5"/>
  <c r="R188" i="5"/>
  <c r="AR85" i="5"/>
  <c r="Z111" i="5"/>
  <c r="Z74" i="6"/>
  <c r="Z68" i="5"/>
  <c r="Z70" i="5" s="1"/>
  <c r="N323" i="4"/>
  <c r="J323" i="4" s="1"/>
  <c r="Z100" i="4" s="1"/>
  <c r="AJ324" i="4"/>
  <c r="J324" i="4" s="1"/>
  <c r="Z107" i="4" s="1"/>
  <c r="W344" i="9"/>
  <c r="AA344" i="9" s="1"/>
  <c r="W413" i="9"/>
  <c r="AA413" i="9" s="1"/>
  <c r="BG156" i="3"/>
  <c r="BJ171" i="2" s="1"/>
  <c r="AD424" i="9"/>
  <c r="BB355" i="9"/>
  <c r="BF285" i="9"/>
  <c r="Z355" i="9"/>
  <c r="Z424" i="9"/>
  <c r="AP355" i="9"/>
  <c r="AP424" i="9"/>
  <c r="AH837" i="9"/>
  <c r="AH424" i="9" s="1"/>
  <c r="AH285" i="9"/>
  <c r="AX424" i="9"/>
  <c r="AX355" i="9"/>
  <c r="AA195" i="3"/>
  <c r="AI128" i="3" s="1"/>
  <c r="AI150" i="3"/>
  <c r="AI154" i="3" s="1"/>
  <c r="AI156" i="3" s="1"/>
  <c r="S171" i="2" s="1"/>
  <c r="AA205" i="3"/>
  <c r="AI129" i="3" s="1"/>
  <c r="AT387" i="9"/>
  <c r="AT868" i="9" s="1"/>
  <c r="AT872" i="9" s="1"/>
  <c r="AI381" i="9"/>
  <c r="AH373" i="9"/>
  <c r="AA406" i="9"/>
  <c r="AE403" i="9" s="1"/>
  <c r="AA417" i="9"/>
  <c r="AX771" i="9"/>
  <c r="AX772" i="9" s="1"/>
  <c r="AX773" i="9" s="1"/>
  <c r="AX774" i="9" s="1"/>
  <c r="BF374" i="9" s="1"/>
  <c r="AP259" i="9" s="1"/>
  <c r="BW177" i="2" s="1"/>
  <c r="BW179" i="2" s="1"/>
  <c r="AR41" i="6" s="1"/>
  <c r="BJ177" i="2"/>
  <c r="BJ179" i="2" s="1"/>
  <c r="AR39" i="6" s="1"/>
  <c r="BC403" i="9"/>
  <c r="BC334" i="9"/>
  <c r="BB868" i="9"/>
  <c r="AX868" i="9"/>
  <c r="AT846" i="9"/>
  <c r="AT424" i="9"/>
  <c r="AT355" i="9"/>
  <c r="BF837" i="9"/>
  <c r="BB846" i="9"/>
  <c r="AX846" i="9"/>
  <c r="V872" i="9"/>
  <c r="AD868" i="9"/>
  <c r="R843" i="9"/>
  <c r="V843" i="9"/>
  <c r="Z843" i="9"/>
  <c r="AD843" i="9"/>
  <c r="BF306" i="9"/>
  <c r="AP229" i="9" s="1"/>
  <c r="AU396" i="9"/>
  <c r="AY396" i="9" s="1"/>
  <c r="AP318" i="9"/>
  <c r="AP843" i="9" s="1"/>
  <c r="AI312" i="9"/>
  <c r="AU398" i="9"/>
  <c r="AY398" i="9" s="1"/>
  <c r="AU414" i="9"/>
  <c r="AY414" i="9" s="1"/>
  <c r="AY415" i="9" s="1"/>
  <c r="AY418" i="9" s="1"/>
  <c r="AQ254" i="9" s="1"/>
  <c r="W398" i="9"/>
  <c r="AA398" i="9" s="1"/>
  <c r="AU343" i="9"/>
  <c r="AY343" i="9" s="1"/>
  <c r="W412" i="9"/>
  <c r="AA412" i="9" s="1"/>
  <c r="W397" i="9"/>
  <c r="AA397" i="9" s="1"/>
  <c r="W396" i="9"/>
  <c r="AA396" i="9" s="1"/>
  <c r="AU344" i="9"/>
  <c r="AY344" i="9" s="1"/>
  <c r="W345" i="9"/>
  <c r="AA345" i="9" s="1"/>
  <c r="AU328" i="9"/>
  <c r="AY328" i="9" s="1"/>
  <c r="AY331" i="9" s="1"/>
  <c r="AY338" i="9" s="1"/>
  <c r="AA331" i="9"/>
  <c r="AA338" i="9" s="1"/>
  <c r="AR74" i="6" l="1"/>
  <c r="AR111" i="5"/>
  <c r="AR68" i="5"/>
  <c r="AR70" i="5" s="1"/>
  <c r="AA346" i="9"/>
  <c r="AA349" i="9" s="1"/>
  <c r="R224" i="9" s="1"/>
  <c r="R846" i="9"/>
  <c r="BF843" i="9"/>
  <c r="BF844" i="9" s="1"/>
  <c r="BF845" i="9" s="1"/>
  <c r="BF354" i="9" s="1"/>
  <c r="AG171" i="2"/>
  <c r="BX171" i="2"/>
  <c r="BP177" i="2"/>
  <c r="BP179" i="2" s="1"/>
  <c r="AR40" i="6" s="1"/>
  <c r="AH355" i="9"/>
  <c r="AI130" i="3"/>
  <c r="AI134" i="3" s="1"/>
  <c r="AI136" i="3" s="1"/>
  <c r="S157" i="2"/>
  <c r="Z387" i="9"/>
  <c r="AH387" i="9" s="1"/>
  <c r="Z763" i="9" s="1"/>
  <c r="Z766" i="9" s="1"/>
  <c r="BF387" i="9"/>
  <c r="AX763" i="9" s="1"/>
  <c r="AX766" i="9" s="1"/>
  <c r="BF375" i="9"/>
  <c r="AP258" i="9" s="1"/>
  <c r="AP260" i="9" s="1"/>
  <c r="Z771" i="9"/>
  <c r="Z772" i="9" s="1"/>
  <c r="Z773" i="9" s="1"/>
  <c r="Z774" i="9" s="1"/>
  <c r="AH374" i="9" s="1"/>
  <c r="AH375" i="9" s="1"/>
  <c r="S177" i="2"/>
  <c r="S179" i="2" s="1"/>
  <c r="Z39" i="6" s="1"/>
  <c r="BB872" i="9"/>
  <c r="AX872" i="9"/>
  <c r="BF868" i="9"/>
  <c r="AP846" i="9"/>
  <c r="BF846" i="9" s="1"/>
  <c r="AO847" i="9" s="1"/>
  <c r="BF355" i="9"/>
  <c r="BF424" i="9"/>
  <c r="AD872" i="9"/>
  <c r="AD846" i="9"/>
  <c r="Z846" i="9"/>
  <c r="V846" i="9"/>
  <c r="AH843" i="9"/>
  <c r="Q844" i="9" s="1"/>
  <c r="AP844" i="9" s="1"/>
  <c r="AP845" i="9" s="1"/>
  <c r="AP354" i="9" s="1"/>
  <c r="BF307" i="9"/>
  <c r="AP228" i="9" s="1"/>
  <c r="AY400" i="9"/>
  <c r="AY407" i="9" s="1"/>
  <c r="BF318" i="9"/>
  <c r="AY346" i="9"/>
  <c r="AY349" i="9" s="1"/>
  <c r="AQ224" i="9" s="1"/>
  <c r="AA400" i="9"/>
  <c r="AA407" i="9" s="1"/>
  <c r="AA415" i="9"/>
  <c r="AA418" i="9" s="1"/>
  <c r="R254" i="9" s="1"/>
  <c r="AX767" i="9" l="1"/>
  <c r="AX768" i="9" s="1"/>
  <c r="BF388" i="9" s="1"/>
  <c r="AR94" i="5"/>
  <c r="Z767" i="9"/>
  <c r="Z768" i="9" s="1"/>
  <c r="AH388" i="9" s="1"/>
  <c r="Z94" i="5"/>
  <c r="AO844" i="9"/>
  <c r="AX844" i="9"/>
  <c r="AX845" i="9" s="1"/>
  <c r="AX354" i="9" s="1"/>
  <c r="AT844" i="9"/>
  <c r="AT845" i="9" s="1"/>
  <c r="AT354" i="9" s="1"/>
  <c r="BB844" i="9"/>
  <c r="BB845" i="9" s="1"/>
  <c r="BB354" i="9" s="1"/>
  <c r="V844" i="9"/>
  <c r="V845" i="9" s="1"/>
  <c r="V354" i="9" s="1"/>
  <c r="AD844" i="9"/>
  <c r="AD845" i="9" s="1"/>
  <c r="AD354" i="9" s="1"/>
  <c r="R844" i="9"/>
  <c r="R845" i="9" s="1"/>
  <c r="R354" i="9" s="1"/>
  <c r="Z844" i="9"/>
  <c r="Z845" i="9" s="1"/>
  <c r="Z354" i="9" s="1"/>
  <c r="Z868" i="9"/>
  <c r="Z872" i="9" s="1"/>
  <c r="AH872" i="9" s="1"/>
  <c r="AQ763" i="9"/>
  <c r="AQ766" i="9" s="1"/>
  <c r="AQ767" i="9" s="1"/>
  <c r="AQ768" i="9" s="1"/>
  <c r="BF319" i="9" s="1"/>
  <c r="BF872" i="9"/>
  <c r="AO869" i="9"/>
  <c r="BF869" i="9"/>
  <c r="BF870" i="9" s="1"/>
  <c r="BF423" i="9" s="1"/>
  <c r="BF847" i="9"/>
  <c r="BF848" i="9" s="1"/>
  <c r="AP237" i="9" s="1"/>
  <c r="AP230" i="9"/>
  <c r="AH846" i="9"/>
  <c r="Q847" i="9" s="1"/>
  <c r="AP847" i="9" s="1"/>
  <c r="AP848" i="9" s="1"/>
  <c r="AP856" i="9" s="1"/>
  <c r="AH844" i="9"/>
  <c r="AH845" i="9" s="1"/>
  <c r="AH354" i="9" s="1"/>
  <c r="AR95" i="5" l="1"/>
  <c r="AH868" i="9"/>
  <c r="BJ191" i="2"/>
  <c r="BJ193" i="2" s="1"/>
  <c r="AR46" i="6" s="1"/>
  <c r="AP243" i="9"/>
  <c r="BF873" i="9"/>
  <c r="BF874" i="9" s="1"/>
  <c r="AO873" i="9"/>
  <c r="AP356" i="9"/>
  <c r="BF356" i="9"/>
  <c r="R847" i="9"/>
  <c r="R848" i="9" s="1"/>
  <c r="R856" i="9" s="1"/>
  <c r="AX847" i="9"/>
  <c r="AX848" i="9" s="1"/>
  <c r="AX856" i="9" s="1"/>
  <c r="BB847" i="9"/>
  <c r="BB848" i="9" s="1"/>
  <c r="BB856" i="9" s="1"/>
  <c r="AT847" i="9"/>
  <c r="AT848" i="9" s="1"/>
  <c r="AT856" i="9" s="1"/>
  <c r="AD847" i="9"/>
  <c r="AD848" i="9" s="1"/>
  <c r="V847" i="9"/>
  <c r="V848" i="9" s="1"/>
  <c r="Z847" i="9"/>
  <c r="Z848" i="9" s="1"/>
  <c r="AH847" i="9"/>
  <c r="AH848" i="9" s="1"/>
  <c r="R237" i="9" s="1"/>
  <c r="Q873" i="9"/>
  <c r="AH873" i="9"/>
  <c r="AH874" i="9" s="1"/>
  <c r="AH318" i="9"/>
  <c r="AR96" i="5" l="1"/>
  <c r="AR97" i="5" s="1"/>
  <c r="AR76" i="6" s="1"/>
  <c r="AR136" i="5"/>
  <c r="Z856" i="9"/>
  <c r="Z857" i="9" s="1"/>
  <c r="Z858" i="9" s="1"/>
  <c r="Z859" i="9" s="1"/>
  <c r="Z860" i="9" s="1"/>
  <c r="AD356" i="9"/>
  <c r="AD856" i="9"/>
  <c r="AD857" i="9" s="1"/>
  <c r="AD858" i="9" s="1"/>
  <c r="AD859" i="9" s="1"/>
  <c r="AD860" i="9" s="1"/>
  <c r="V856" i="9"/>
  <c r="V857" i="9" s="1"/>
  <c r="V858" i="9" s="1"/>
  <c r="V859" i="9" s="1"/>
  <c r="V860" i="9" s="1"/>
  <c r="Q869" i="9"/>
  <c r="AH869" i="9"/>
  <c r="AH870" i="9" s="1"/>
  <c r="AH423" i="9" s="1"/>
  <c r="S191" i="2"/>
  <c r="S193" i="2" s="1"/>
  <c r="AR101" i="5"/>
  <c r="AS123" i="4"/>
  <c r="AP857" i="9"/>
  <c r="AP858" i="9" s="1"/>
  <c r="AP859" i="9" s="1"/>
  <c r="AP860" i="9" s="1"/>
  <c r="AP873" i="9"/>
  <c r="AP874" i="9" s="1"/>
  <c r="AT873" i="9"/>
  <c r="AT874" i="9" s="1"/>
  <c r="BB873" i="9"/>
  <c r="BB874" i="9" s="1"/>
  <c r="AX873" i="9"/>
  <c r="AX874" i="9" s="1"/>
  <c r="R356" i="9"/>
  <c r="BF425" i="9"/>
  <c r="AP267" i="9"/>
  <c r="AP273" i="9" s="1"/>
  <c r="AH425" i="9"/>
  <c r="R267" i="9"/>
  <c r="BB857" i="9"/>
  <c r="BB858" i="9" s="1"/>
  <c r="BB859" i="9" s="1"/>
  <c r="BB860" i="9" s="1"/>
  <c r="BB356" i="9"/>
  <c r="AT857" i="9"/>
  <c r="AT858" i="9" s="1"/>
  <c r="AT356" i="9"/>
  <c r="AX857" i="9"/>
  <c r="AX858" i="9" s="1"/>
  <c r="AX859" i="9" s="1"/>
  <c r="AX860" i="9" s="1"/>
  <c r="AX356" i="9"/>
  <c r="Z356" i="9"/>
  <c r="V356" i="9"/>
  <c r="R873" i="9"/>
  <c r="R874" i="9" s="1"/>
  <c r="V873" i="9"/>
  <c r="V874" i="9" s="1"/>
  <c r="V882" i="9" s="1"/>
  <c r="Z873" i="9"/>
  <c r="Z874" i="9" s="1"/>
  <c r="Z882" i="9" s="1"/>
  <c r="AD873" i="9"/>
  <c r="AD874" i="9" s="1"/>
  <c r="AD882" i="9" s="1"/>
  <c r="AH356" i="9"/>
  <c r="S763" i="9"/>
  <c r="S766" i="9" s="1"/>
  <c r="AR137" i="5" l="1"/>
  <c r="AR138" i="5"/>
  <c r="Z95" i="5"/>
  <c r="Z46" i="6"/>
  <c r="Z101" i="5"/>
  <c r="AP869" i="9"/>
  <c r="AP870" i="9" s="1"/>
  <c r="AP423" i="9" s="1"/>
  <c r="R869" i="9"/>
  <c r="R870" i="9" s="1"/>
  <c r="R423" i="9" s="1"/>
  <c r="V869" i="9"/>
  <c r="V870" i="9" s="1"/>
  <c r="V423" i="9" s="1"/>
  <c r="Z869" i="9"/>
  <c r="Z870" i="9" s="1"/>
  <c r="Z423" i="9" s="1"/>
  <c r="AX869" i="9"/>
  <c r="AX870" i="9" s="1"/>
  <c r="AX423" i="9" s="1"/>
  <c r="AT869" i="9"/>
  <c r="AT870" i="9" s="1"/>
  <c r="AT423" i="9" s="1"/>
  <c r="AD869" i="9"/>
  <c r="AD870" i="9" s="1"/>
  <c r="AD423" i="9" s="1"/>
  <c r="BB869" i="9"/>
  <c r="BB870" i="9" s="1"/>
  <c r="BB423" i="9" s="1"/>
  <c r="Z123" i="4"/>
  <c r="Z125" i="4" s="1"/>
  <c r="Z126" i="4" s="1"/>
  <c r="R857" i="9"/>
  <c r="R858" i="9" s="1"/>
  <c r="R859" i="9" s="1"/>
  <c r="R860" i="9" s="1"/>
  <c r="AI856" i="9"/>
  <c r="AA335" i="9" s="1"/>
  <c r="AE335" i="9" s="1"/>
  <c r="AE337" i="9" s="1"/>
  <c r="BG856" i="9"/>
  <c r="AY335" i="9" s="1"/>
  <c r="BC335" i="9" s="1"/>
  <c r="BC337" i="9" s="1"/>
  <c r="BC338" i="9" s="1"/>
  <c r="AX882" i="9"/>
  <c r="AX883" i="9" s="1"/>
  <c r="AX884" i="9" s="1"/>
  <c r="AX885" i="9" s="1"/>
  <c r="AX886" i="9" s="1"/>
  <c r="AX425" i="9"/>
  <c r="BB425" i="9"/>
  <c r="BB882" i="9"/>
  <c r="BB883" i="9" s="1"/>
  <c r="BB884" i="9" s="1"/>
  <c r="AT882" i="9"/>
  <c r="AT883" i="9" s="1"/>
  <c r="AT884" i="9" s="1"/>
  <c r="AT885" i="9" s="1"/>
  <c r="AT886" i="9" s="1"/>
  <c r="AT425" i="9"/>
  <c r="AP425" i="9"/>
  <c r="AP882" i="9"/>
  <c r="R425" i="9"/>
  <c r="R882" i="9"/>
  <c r="AI882" i="9" s="1"/>
  <c r="AA404" i="9" s="1"/>
  <c r="BF858" i="9"/>
  <c r="BF859" i="9" s="1"/>
  <c r="BF860" i="9" s="1"/>
  <c r="BF320" i="9" s="1"/>
  <c r="BF321" i="9" s="1"/>
  <c r="AP222" i="9" s="1"/>
  <c r="AT859" i="9"/>
  <c r="AT860" i="9" s="1"/>
  <c r="V425" i="9"/>
  <c r="V883" i="9"/>
  <c r="V884" i="9" s="1"/>
  <c r="V885" i="9" s="1"/>
  <c r="V886" i="9" s="1"/>
  <c r="AD425" i="9"/>
  <c r="AD883" i="9"/>
  <c r="AD884" i="9" s="1"/>
  <c r="AD885" i="9" s="1"/>
  <c r="AD886" i="9" s="1"/>
  <c r="Z425" i="9"/>
  <c r="Z883" i="9"/>
  <c r="Z884" i="9" s="1"/>
  <c r="Z885" i="9" s="1"/>
  <c r="Z886" i="9" s="1"/>
  <c r="S767" i="9"/>
  <c r="S768" i="9" s="1"/>
  <c r="AH319" i="9" s="1"/>
  <c r="AS124" i="4"/>
  <c r="AS125" i="4"/>
  <c r="AE404" i="9" l="1"/>
  <c r="AE406" i="9" s="1"/>
  <c r="Z96" i="5"/>
  <c r="Z97" i="5" s="1"/>
  <c r="Z76" i="6" s="1"/>
  <c r="Z136" i="5"/>
  <c r="AE338" i="9"/>
  <c r="AI338" i="9" s="1"/>
  <c r="R223" i="9" s="1"/>
  <c r="AS126" i="4"/>
  <c r="AS127" i="4" s="1"/>
  <c r="AS128" i="4" s="1"/>
  <c r="Z124" i="4"/>
  <c r="AH858" i="9"/>
  <c r="AH859" i="9" s="1"/>
  <c r="AH860" i="9" s="1"/>
  <c r="BG338" i="9"/>
  <c r="AQ223" i="9" s="1"/>
  <c r="AP225" i="9" s="1"/>
  <c r="AP238" i="9"/>
  <c r="AQ240" i="9" s="1"/>
  <c r="AP883" i="9"/>
  <c r="AP884" i="9" s="1"/>
  <c r="AP885" i="9" s="1"/>
  <c r="AP886" i="9" s="1"/>
  <c r="BG882" i="9"/>
  <c r="AY404" i="9" s="1"/>
  <c r="BC404" i="9" s="1"/>
  <c r="R883" i="9"/>
  <c r="R884" i="9" s="1"/>
  <c r="R885" i="9" s="1"/>
  <c r="R886" i="9" s="1"/>
  <c r="BB885" i="9"/>
  <c r="BB886" i="9" s="1"/>
  <c r="BC406" i="9" l="1"/>
  <c r="BC407" i="9" s="1"/>
  <c r="BG407" i="9" s="1"/>
  <c r="AQ253" i="9" s="1"/>
  <c r="AE407" i="9"/>
  <c r="AI407" i="9" s="1"/>
  <c r="R253" i="9" s="1"/>
  <c r="Z137" i="5"/>
  <c r="Z138" i="5" s="1"/>
  <c r="R238" i="9"/>
  <c r="S240" i="9" s="1"/>
  <c r="AH320" i="9"/>
  <c r="AH321" i="9" s="1"/>
  <c r="BF884" i="9"/>
  <c r="BF885" i="9" s="1"/>
  <c r="BF886" i="9" s="1"/>
  <c r="BF389" i="9" s="1"/>
  <c r="AH884" i="9"/>
  <c r="AH885" i="9" s="1"/>
  <c r="AH886" i="9" s="1"/>
  <c r="AP232" i="9"/>
  <c r="AP244" i="9" s="1"/>
  <c r="AQ246" i="9" s="1"/>
  <c r="Z127" i="4"/>
  <c r="Z128" i="4" s="1"/>
  <c r="AP268" i="9" l="1"/>
  <c r="R268" i="9"/>
  <c r="S270" i="9" s="1"/>
  <c r="Z170" i="2" s="1"/>
  <c r="Z172" i="2" s="1"/>
  <c r="Z51" i="6" s="1"/>
  <c r="AH389" i="9"/>
  <c r="AH390" i="9" s="1"/>
  <c r="R252" i="9" s="1"/>
  <c r="AQ234" i="9"/>
  <c r="BF390" i="9"/>
  <c r="AP252" i="9" s="1"/>
  <c r="R222" i="9"/>
  <c r="R225" i="9" s="1"/>
  <c r="AA200" i="5"/>
  <c r="AA199" i="5"/>
  <c r="AA201" i="5"/>
  <c r="AA197" i="5"/>
  <c r="AA198" i="5"/>
  <c r="AP255" i="9" l="1"/>
  <c r="BJ156" i="2" s="1"/>
  <c r="BJ158" i="2" s="1"/>
  <c r="R255" i="9"/>
  <c r="R262" i="9" s="1"/>
  <c r="R232" i="9"/>
  <c r="R244" i="9" s="1"/>
  <c r="AP262" i="9"/>
  <c r="AQ270" i="9"/>
  <c r="BQ170" i="2" s="1"/>
  <c r="BQ172" i="2" s="1"/>
  <c r="AR51" i="6" s="1"/>
  <c r="AA203" i="5"/>
  <c r="R50" i="5" s="1"/>
  <c r="AR61" i="5" l="1"/>
  <c r="AR88" i="5" s="1"/>
  <c r="AR132" i="5" s="1"/>
  <c r="AR43" i="6"/>
  <c r="AS46" i="4"/>
  <c r="S156" i="2"/>
  <c r="S158" i="2" s="1"/>
  <c r="AR89" i="5"/>
  <c r="AR90" i="5" s="1"/>
  <c r="AR133" i="5"/>
  <c r="AR134" i="5" s="1"/>
  <c r="AR148" i="5" s="1"/>
  <c r="AS95" i="4"/>
  <c r="AS114" i="4"/>
  <c r="AS117" i="4" s="1"/>
  <c r="AS118" i="4" s="1"/>
  <c r="AS119" i="4" s="1"/>
  <c r="AS64" i="4" s="1"/>
  <c r="AS67" i="4" s="1"/>
  <c r="R274" i="9"/>
  <c r="AQ264" i="9"/>
  <c r="BJ170" i="2" s="1"/>
  <c r="BJ172" i="2" s="1"/>
  <c r="AR50" i="6" s="1"/>
  <c r="AP274" i="9"/>
  <c r="AQ276" i="9" s="1"/>
  <c r="BX170" i="2" s="1"/>
  <c r="BX172" i="2" s="1"/>
  <c r="AR52" i="6" s="1"/>
  <c r="AY196" i="5"/>
  <c r="AG200" i="5"/>
  <c r="AG198" i="5"/>
  <c r="AG197" i="5"/>
  <c r="AG202" i="5"/>
  <c r="AG199" i="5"/>
  <c r="AG201" i="5"/>
  <c r="AM203" i="5"/>
  <c r="Z43" i="6" l="1"/>
  <c r="Z61" i="5"/>
  <c r="Z88" i="5" s="1"/>
  <c r="Z46" i="4"/>
  <c r="Z72" i="5"/>
  <c r="Z71" i="6" s="1"/>
  <c r="AR71" i="6" s="1"/>
  <c r="Z102" i="5"/>
  <c r="AS173" i="4"/>
  <c r="AR112" i="5"/>
  <c r="AR75" i="6"/>
  <c r="AY203" i="5"/>
  <c r="AS201" i="5"/>
  <c r="AS199" i="5"/>
  <c r="AS197" i="5"/>
  <c r="AS198" i="5"/>
  <c r="AS200" i="5"/>
  <c r="AS202" i="5"/>
  <c r="AG203" i="5"/>
  <c r="C72" i="5" s="1"/>
  <c r="D71" i="6" s="1"/>
  <c r="Z95" i="4" l="1"/>
  <c r="Z114" i="4"/>
  <c r="Z117" i="4" s="1"/>
  <c r="Z118" i="4" s="1"/>
  <c r="Z119" i="4" s="1"/>
  <c r="Z64" i="4" s="1"/>
  <c r="Z173" i="4" s="1"/>
  <c r="Z132" i="5"/>
  <c r="Z89" i="5"/>
  <c r="Z90" i="5" s="1"/>
  <c r="D50" i="5"/>
  <c r="Z103" i="5"/>
  <c r="AR102" i="5"/>
  <c r="AR103" i="5" s="1"/>
  <c r="AS203" i="5"/>
  <c r="CF50" i="5" s="1"/>
  <c r="AR72" i="5"/>
  <c r="Z75" i="6" l="1"/>
  <c r="Z112" i="5"/>
  <c r="Z67" i="4"/>
  <c r="Z133" i="5"/>
  <c r="Z134" i="5"/>
  <c r="Z148" i="5" s="1"/>
  <c r="AR104" i="5"/>
  <c r="AR105" i="5" s="1"/>
  <c r="AR107" i="5" s="1"/>
  <c r="AR140" i="5"/>
  <c r="AR141" i="5" s="1"/>
  <c r="AR142" i="5" s="1"/>
  <c r="Z104" i="5"/>
  <c r="Z105" i="5" s="1"/>
  <c r="Z77" i="6" s="1"/>
  <c r="Z140" i="5"/>
  <c r="Z107" i="5" l="1"/>
  <c r="Z78" i="6" s="1"/>
  <c r="AR77" i="6"/>
  <c r="AR149" i="5"/>
  <c r="AR143" i="5"/>
  <c r="AR113" i="5"/>
  <c r="Z113" i="5"/>
  <c r="Z141" i="5"/>
  <c r="Z142" i="5" s="1"/>
  <c r="Z143" i="5" s="1"/>
  <c r="AR86" i="6" l="1"/>
  <c r="BD143" i="5"/>
  <c r="AR78" i="6"/>
  <c r="AL143" i="5"/>
  <c r="Z86" i="6"/>
  <c r="Z149" i="5"/>
  <c r="S773" i="9" l="1"/>
  <c r="S774" i="9" s="1"/>
  <c r="AH306" i="9" l="1"/>
  <c r="R229" i="9" s="1"/>
  <c r="AH307" i="9" l="1"/>
  <c r="R228" i="9" s="1"/>
  <c r="R230" i="9" s="1"/>
  <c r="R259" i="9"/>
  <c r="AF177" i="2" s="1"/>
  <c r="Y177" i="2" l="1"/>
  <c r="Y179" i="2" s="1"/>
  <c r="Z40" i="6" s="1"/>
  <c r="AF179" i="2"/>
  <c r="Z41" i="6" s="1"/>
  <c r="S234" i="9"/>
  <c r="R243" i="9"/>
  <c r="S246" i="9" s="1"/>
  <c r="R258" i="9"/>
  <c r="R260" i="9" s="1"/>
  <c r="AZ199" i="4"/>
  <c r="AZ222" i="4" s="1"/>
  <c r="AS93" i="4" s="1"/>
  <c r="AG199" i="4"/>
  <c r="AG222" i="4" s="1"/>
  <c r="Z93" i="4" s="1"/>
  <c r="Z108" i="4" s="1"/>
  <c r="AS101" i="4" l="1"/>
  <c r="Z101" i="4"/>
  <c r="AS108" i="4"/>
  <c r="R273" i="9" l="1"/>
  <c r="S276" i="9" s="1"/>
  <c r="S264" i="9"/>
  <c r="S170" i="2" s="1"/>
  <c r="S172" i="2" s="1"/>
  <c r="Z50" i="6" s="1"/>
  <c r="AS109" i="4"/>
  <c r="AS110" i="4" s="1"/>
  <c r="AS63" i="4" s="1"/>
  <c r="AS172" i="4" s="1"/>
  <c r="Z102" i="4"/>
  <c r="Z103" i="4" s="1"/>
  <c r="Z62" i="4" s="1"/>
  <c r="Z109" i="4"/>
  <c r="Z110" i="4" s="1"/>
  <c r="Z63" i="4" s="1"/>
  <c r="Z172" i="4" s="1"/>
  <c r="AS102" i="4"/>
  <c r="AS103" i="4" s="1"/>
  <c r="AS62" i="4" s="1"/>
  <c r="AS65" i="4" l="1"/>
  <c r="AS68" i="4" s="1"/>
  <c r="AS69" i="4" s="1"/>
  <c r="AS70" i="4" s="1"/>
  <c r="AG170" i="2"/>
  <c r="AG172" i="2" s="1"/>
  <c r="Z52" i="6" s="1"/>
  <c r="Z65" i="4"/>
  <c r="Z68" i="4" s="1"/>
  <c r="Z69" i="4" s="1"/>
  <c r="Z70" i="4" s="1"/>
  <c r="AS171" i="4"/>
  <c r="Z171" i="4"/>
  <c r="BD62" i="4" l="1"/>
  <c r="BD63" i="4"/>
  <c r="BD64" i="4"/>
  <c r="BD65" i="4"/>
  <c r="AK62" i="4"/>
  <c r="AK63" i="4"/>
  <c r="AK64" i="4"/>
  <c r="AK65" i="4"/>
  <c r="Z75" i="4"/>
  <c r="AS75" i="4"/>
  <c r="Z76" i="4" l="1"/>
  <c r="Z77" i="4" s="1"/>
  <c r="Z152" i="4" s="1"/>
  <c r="AS76" i="4"/>
  <c r="AS77" i="4" s="1"/>
  <c r="AS152" i="4" s="1"/>
  <c r="AR63" i="6" l="1"/>
  <c r="AS145" i="4"/>
  <c r="AS146" i="4" s="1"/>
  <c r="AS147" i="4" s="1"/>
  <c r="AS139" i="4"/>
  <c r="Z139" i="4"/>
  <c r="Z63" i="6"/>
  <c r="Z145" i="4"/>
  <c r="Z146" i="4" s="1"/>
  <c r="Z147" i="4" s="1"/>
  <c r="Z140" i="4" l="1"/>
  <c r="Z141" i="4" s="1"/>
  <c r="Z153" i="4"/>
  <c r="Z154" i="4" s="1"/>
  <c r="AS140" i="4"/>
  <c r="AS141" i="4" s="1"/>
  <c r="AS153" i="4"/>
  <c r="AS154" i="4" s="1"/>
  <c r="AR115" i="5" s="1"/>
  <c r="Z115" i="5" l="1"/>
  <c r="Z116" i="5" s="1"/>
  <c r="Z117" i="5" s="1"/>
  <c r="Z118" i="5" s="1"/>
  <c r="AR151" i="5"/>
  <c r="AR116" i="5"/>
  <c r="AR117" i="5" s="1"/>
  <c r="AR118" i="5" s="1"/>
  <c r="Z151" i="5" l="1"/>
  <c r="Z152" i="5" s="1"/>
  <c r="Z153" i="5" s="1"/>
  <c r="Z154" i="5" s="1"/>
  <c r="Z87" i="6" s="1"/>
  <c r="AR81" i="6"/>
  <c r="AR82" i="6"/>
  <c r="AR152" i="5"/>
  <c r="AR153" i="5" s="1"/>
  <c r="AR154" i="5" s="1"/>
  <c r="AR87" i="6" s="1"/>
  <c r="Z81" i="6"/>
  <c r="Z82" i="6"/>
  <c r="AL154" i="5" l="1"/>
  <c r="BD154" i="5"/>
</calcChain>
</file>

<file path=xl/sharedStrings.xml><?xml version="1.0" encoding="utf-8"?>
<sst xmlns="http://schemas.openxmlformats.org/spreadsheetml/2006/main" count="3011" uniqueCount="1615">
  <si>
    <t>t</t>
  </si>
  <si>
    <t>Kampagne effiziente Kälte</t>
  </si>
  <si>
    <t>Bezeichnung</t>
  </si>
  <si>
    <t>Bemerkung</t>
  </si>
  <si>
    <t>Firma</t>
  </si>
  <si>
    <t>Name</t>
  </si>
  <si>
    <t>Datum</t>
  </si>
  <si>
    <t>Wirtschaftlichkeit</t>
  </si>
  <si>
    <t>Ergebnisse</t>
  </si>
  <si>
    <t>Version: 2016/V1</t>
  </si>
  <si>
    <t>D/F/I</t>
  </si>
  <si>
    <t>Deutsch</t>
  </si>
  <si>
    <t>Italiano</t>
  </si>
  <si>
    <t>u</t>
  </si>
  <si>
    <t>Abschätzungs-Tool</t>
  </si>
  <si>
    <t>Anlagetyp</t>
  </si>
  <si>
    <t xml:space="preserve"> - </t>
  </si>
  <si>
    <t>Supermarkt</t>
  </si>
  <si>
    <t>Kältemittel</t>
  </si>
  <si>
    <t>R404A</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</si>
  <si>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</si>
  <si>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</si>
  <si>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</si>
  <si>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</si>
  <si>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</si>
  <si>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</si>
  <si>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</si>
  <si>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</si>
  <si>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</si>
  <si>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</si>
  <si>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</si>
  <si>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</si>
  <si>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</si>
  <si>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</si>
  <si>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</si>
  <si>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</si>
  <si>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</si>
  <si>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</si>
  <si>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</si>
  <si>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</si>
  <si>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</si>
  <si>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</si>
  <si>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</si>
  <si>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</si>
  <si>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</si>
  <si>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</si>
  <si>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</si>
  <si>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</si>
  <si>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</si>
  <si>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</si>
  <si>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</si>
  <si>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</si>
  <si>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 32</t>
  </si>
  <si>
    <t>R134a</t>
  </si>
  <si>
    <t>R407C</t>
  </si>
  <si>
    <t>R407F</t>
  </si>
  <si>
    <t>R410A</t>
  </si>
  <si>
    <t>R417A</t>
  </si>
  <si>
    <t>R422A</t>
  </si>
  <si>
    <t>R422D</t>
  </si>
  <si>
    <t>R427A</t>
  </si>
  <si>
    <t>R448A</t>
  </si>
  <si>
    <t>R449A</t>
  </si>
  <si>
    <t>R450A</t>
  </si>
  <si>
    <t>R507 A</t>
  </si>
  <si>
    <t>R513 A</t>
  </si>
  <si>
    <t>R723</t>
  </si>
  <si>
    <t>R744  (CO2)</t>
  </si>
  <si>
    <t>Schweizer Verbrauchsmix</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</si>
  <si>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</si>
  <si>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</si>
  <si>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</si>
  <si>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</si>
  <si>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</si>
  <si>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</si>
  <si>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</si>
  <si>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</si>
  <si>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</si>
  <si>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</si>
  <si>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</si>
  <si>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</si>
  <si>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</si>
  <si>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</si>
  <si>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</si>
  <si>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</si>
  <si>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</si>
  <si>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Wasserkraft</t>
  </si>
  <si>
    <t>Naturmade Star Windkraft</t>
  </si>
  <si>
    <t>Naturmade Star Photovoltaik</t>
  </si>
  <si>
    <t>Berechnung</t>
  </si>
  <si>
    <t xml:space="preserve">R1234ze </t>
  </si>
  <si>
    <t>R1233zd</t>
  </si>
  <si>
    <t>R1234yf</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</si>
  <si>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</si>
  <si>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</si>
  <si>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</si>
  <si>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</si>
  <si>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</si>
  <si>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</si>
  <si>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</si>
  <si>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</si>
  <si>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</si>
  <si>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</si>
  <si>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</si>
  <si>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</si>
  <si>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</si>
  <si>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</si>
  <si>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</si>
  <si>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</si>
  <si>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</si>
  <si>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</si>
  <si>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</si>
  <si>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</si>
  <si>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</si>
  <si>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</si>
  <si>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</si>
  <si>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</si>
  <si>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</si>
  <si>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</si>
  <si>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</si>
  <si>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</si>
  <si>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</si>
  <si>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</si>
  <si>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</si>
  <si>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</si>
  <si>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</si>
  <si>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</si>
  <si>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</si>
  <si>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</si>
  <si>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</si>
  <si>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</si>
  <si>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</si>
  <si>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</si>
  <si>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</si>
  <si>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</si>
  <si>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</si>
  <si>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</si>
  <si>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</si>
  <si>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</si>
  <si>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</si>
  <si>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</si>
  <si>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</si>
  <si>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</si>
  <si>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</si>
  <si>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</si>
  <si>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</si>
  <si>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</si>
  <si>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</si>
  <si>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</si>
  <si>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</si>
  <si>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</si>
  <si>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</si>
  <si>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</si>
  <si>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</si>
  <si>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</si>
  <si>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</si>
  <si>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</si>
  <si>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</si>
  <si>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</si>
  <si>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</si>
  <si>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</si>
  <si>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</si>
  <si>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</si>
  <si>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</si>
  <si>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</si>
  <si>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</si>
  <si>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</si>
  <si>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</si>
  <si>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</si>
  <si>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</si>
  <si>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</si>
  <si>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</si>
  <si>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</si>
  <si>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</si>
  <si>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</si>
  <si>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</si>
  <si>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</si>
  <si>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</si>
  <si>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</si>
  <si>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</si>
  <si>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</si>
  <si>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</si>
  <si>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</si>
  <si>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</si>
  <si>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</si>
  <si>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</si>
  <si>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</si>
  <si>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</si>
  <si>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</si>
  <si>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</si>
  <si>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</si>
  <si>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</si>
  <si>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</si>
  <si>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</si>
  <si>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</si>
  <si>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</si>
  <si>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</si>
  <si>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</si>
  <si>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</si>
  <si>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</si>
  <si>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</si>
  <si>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</si>
  <si>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</si>
  <si>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</si>
  <si>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</si>
  <si>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</si>
  <si>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</si>
  <si>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</si>
  <si>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</si>
  <si>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</si>
  <si>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</si>
  <si>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</si>
  <si>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</si>
  <si>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</si>
  <si>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</si>
  <si>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</si>
  <si>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</si>
  <si>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</si>
  <si>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</si>
  <si>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</si>
  <si>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</si>
  <si>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</si>
  <si>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</si>
  <si>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</si>
  <si>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</si>
  <si>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</si>
  <si>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</si>
  <si>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</si>
  <si>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</si>
  <si>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</si>
  <si>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</si>
  <si>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</si>
  <si>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</si>
  <si>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</si>
  <si>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</si>
  <si>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</si>
  <si>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</si>
  <si>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</si>
  <si>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</si>
  <si>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</si>
  <si>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</si>
  <si>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</si>
  <si>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</si>
  <si>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</si>
  <si>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</si>
  <si>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</si>
  <si>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</si>
  <si>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</si>
  <si>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</si>
  <si>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</si>
  <si>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</si>
  <si>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</si>
  <si>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</si>
  <si>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</si>
  <si>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</si>
  <si>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</si>
  <si>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</si>
  <si>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</si>
  <si>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</si>
  <si>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</si>
  <si>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</si>
  <si>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</si>
  <si>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</si>
  <si>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</si>
  <si>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</si>
  <si>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</si>
  <si>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</si>
  <si>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Daten Elektrizitätsbedarf</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</si>
  <si>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</si>
  <si>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</si>
  <si>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</si>
  <si>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</si>
  <si>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</si>
  <si>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</si>
  <si>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</si>
  <si>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</si>
  <si>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</si>
  <si>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</si>
  <si>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</si>
  <si>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</si>
  <si>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</si>
  <si>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</si>
  <si>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</si>
  <si>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</si>
  <si>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Aussentemperatur (7:00 - 19:00 h)</t>
  </si>
  <si>
    <t>Kosten CO2-Kompensation</t>
  </si>
  <si>
    <t>Sprachumschaltung</t>
  </si>
  <si>
    <t>Objekt</t>
  </si>
  <si>
    <t>Ausgefüllt durch</t>
  </si>
  <si>
    <t>Was wollen Sie berechnen?</t>
  </si>
  <si>
    <t>Übersicht der Tools</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</si>
  <si>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</si>
  <si>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</si>
  <si>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</si>
  <si>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</si>
  <si>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</si>
  <si>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</si>
  <si>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</si>
  <si>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</si>
  <si>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</si>
  <si>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</si>
  <si>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</si>
  <si>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</si>
  <si>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</si>
  <si>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</si>
  <si>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</si>
  <si>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</si>
  <si>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</si>
  <si>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</si>
  <si>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</si>
  <si>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</si>
  <si>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</si>
  <si>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</si>
  <si>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</si>
  <si>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</si>
  <si>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</si>
  <si>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</si>
  <si>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</si>
  <si>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</si>
  <si>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</si>
  <si>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</si>
  <si>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</si>
  <si>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</si>
  <si>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</si>
  <si>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</si>
  <si>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</si>
  <si>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</si>
  <si>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</si>
  <si>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</si>
  <si>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</si>
  <si>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</si>
  <si>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</si>
  <si>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</si>
  <si>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</si>
  <si>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</si>
  <si>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</si>
  <si>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</si>
  <si>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</si>
  <si>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</si>
  <si>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</si>
  <si>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</si>
  <si>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</si>
  <si>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</si>
  <si>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</si>
  <si>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</si>
  <si>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</si>
  <si>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</si>
  <si>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</si>
  <si>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</si>
  <si>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</si>
  <si>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</si>
  <si>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</si>
  <si>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</si>
  <si>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</si>
  <si>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</si>
  <si>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</si>
  <si>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</si>
  <si>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</si>
  <si>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</si>
  <si>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</si>
  <si>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</si>
  <si>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</si>
  <si>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</si>
  <si>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</si>
  <si>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</si>
  <si>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</si>
  <si>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</si>
  <si>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</si>
  <si>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</si>
  <si>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</si>
  <si>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</si>
  <si>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</si>
  <si>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</si>
  <si>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</si>
  <si>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</si>
  <si>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</si>
  <si>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</si>
  <si>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</si>
  <si>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</si>
  <si>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</si>
  <si>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</si>
  <si>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</si>
  <si>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</si>
  <si>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</si>
  <si>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</si>
  <si>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</si>
  <si>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</si>
  <si>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</si>
  <si>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</si>
  <si>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</si>
  <si>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</si>
  <si>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</si>
  <si>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</si>
  <si>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</si>
  <si>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</si>
  <si>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</si>
  <si>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</si>
  <si>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</si>
  <si>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</si>
  <si>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</si>
  <si>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</si>
  <si>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</si>
  <si>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ESEER (European Seasonal Energy Efficiency Ratio) berücksichtigt die unterschiedliche effizienz der Kältemaschine im Teillastbetrieb. Der ESEER-Wert wird in den technischen Angaben zur Maschine ausgewiesen.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</si>
  <si>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</si>
  <si>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</si>
  <si>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</si>
  <si>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</si>
  <si>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</si>
  <si>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</si>
  <si>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</si>
  <si>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</si>
  <si>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</si>
  <si>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</si>
  <si>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</si>
  <si>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</si>
  <si>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</si>
  <si>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</si>
  <si>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</si>
  <si>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</si>
  <si>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</si>
  <si>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</si>
  <si>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</si>
  <si>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</si>
  <si>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</si>
  <si>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</si>
  <si>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</si>
  <si>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</si>
  <si>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</si>
  <si>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</si>
  <si>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</si>
  <si>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</si>
  <si>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</si>
  <si>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</si>
  <si>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</si>
  <si>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</si>
  <si>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</si>
  <si>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</si>
  <si>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</si>
  <si>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</si>
  <si>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</si>
  <si>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</si>
  <si>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</si>
  <si>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</si>
  <si>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</si>
  <si>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</si>
  <si>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</si>
  <si>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</si>
  <si>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</si>
  <si>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</si>
  <si>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</si>
  <si>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</si>
  <si>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</si>
  <si>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</si>
  <si>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</si>
  <si>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</si>
  <si>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</si>
  <si>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</si>
  <si>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</si>
  <si>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</si>
  <si>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</si>
  <si>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</si>
  <si>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</si>
  <si>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</si>
  <si>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</si>
  <si>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</si>
  <si>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</si>
  <si>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</si>
  <si>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</si>
  <si>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</si>
  <si>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</si>
  <si>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</si>
  <si>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</si>
  <si>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</si>
  <si>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Température extérieure (7h00 - 19h00)</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</si>
  <si>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</si>
  <si>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</si>
  <si>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</si>
  <si>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</si>
  <si>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</si>
  <si>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</si>
  <si>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</si>
  <si>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</si>
  <si>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</si>
  <si>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</si>
  <si>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</si>
  <si>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</si>
  <si>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</si>
  <si>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</si>
  <si>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</si>
  <si>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</si>
  <si>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</si>
  <si>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</si>
  <si>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</si>
  <si>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</si>
  <si>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</si>
  <si>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</si>
  <si>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</si>
  <si>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</si>
  <si>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</si>
  <si>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</si>
  <si>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</si>
  <si>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</si>
  <si>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</si>
  <si>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</si>
  <si>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Données consommation d'électricité</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</si>
  <si>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</si>
  <si>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</si>
  <si>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</si>
  <si>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</si>
  <si>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</si>
  <si>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</si>
  <si>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</si>
  <si>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</si>
  <si>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</si>
  <si>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</si>
  <si>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</si>
  <si>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</si>
  <si>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</si>
  <si>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</si>
  <si>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</si>
  <si>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</si>
  <si>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</si>
  <si>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</si>
  <si>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Bouquet électrique UE</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</si>
  <si>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</si>
  <si>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</si>
  <si>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</si>
  <si>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</si>
  <si>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</si>
  <si>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</si>
  <si>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</si>
  <si>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</si>
  <si>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</si>
  <si>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</si>
  <si>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</si>
  <si>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</si>
  <si>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</si>
  <si>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</si>
  <si>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</si>
  <si>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</si>
  <si>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</si>
  <si>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</si>
  <si>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</si>
  <si>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</si>
  <si>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</si>
  <si>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</si>
  <si>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</si>
  <si>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</si>
  <si>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</si>
  <si>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</si>
  <si>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</si>
  <si>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</si>
  <si>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</si>
  <si>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</si>
  <si>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</si>
  <si>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</si>
  <si>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</si>
  <si>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</si>
  <si>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</si>
  <si>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</si>
  <si>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</si>
  <si>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</si>
  <si>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Photovoltaïque</t>
  </si>
  <si>
    <t>Naturmade Star Énergie hydraulique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</si>
  <si>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</si>
  <si>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</si>
  <si>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</si>
  <si>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</si>
  <si>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</si>
  <si>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</si>
  <si>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</si>
  <si>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</si>
  <si>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</si>
  <si>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</si>
  <si>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</si>
  <si>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</si>
  <si>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</si>
  <si>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</si>
  <si>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</si>
  <si>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</si>
  <si>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</si>
  <si>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</si>
  <si>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</si>
  <si>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</si>
  <si>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</si>
  <si>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</si>
  <si>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</si>
  <si>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</si>
  <si>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</si>
  <si>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</si>
  <si>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</si>
  <si>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</si>
  <si>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</si>
  <si>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</si>
  <si>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</si>
  <si>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</si>
  <si>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</si>
  <si>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</si>
  <si>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</si>
  <si>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</si>
  <si>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</si>
  <si>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</si>
  <si>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</si>
  <si>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</si>
  <si>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</si>
  <si>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</si>
  <si>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</si>
  <si>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</si>
  <si>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</si>
  <si>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</si>
  <si>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</si>
  <si>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</si>
  <si>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</si>
  <si>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</si>
  <si>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</si>
  <si>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</si>
  <si>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</si>
  <si>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</si>
  <si>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</si>
  <si>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</si>
  <si>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</si>
  <si>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</si>
  <si>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</si>
  <si>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</si>
  <si>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</si>
  <si>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</si>
  <si>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</si>
  <si>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</si>
  <si>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</si>
  <si>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</si>
  <si>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</si>
  <si>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</si>
  <si>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</si>
  <si>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L'ESEER (European Seasonal Energy Efficiency Ratio) tiene conto della diversa efficienza della macchina di refrigerazione nel funzionamento a carico parziale. Il valore ESEER è indicato nei dati tecnici della macchina.</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</si>
  <si>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</si>
  <si>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</si>
  <si>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</si>
  <si>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</si>
  <si>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</si>
  <si>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</si>
  <si>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</si>
  <si>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</si>
  <si>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</si>
  <si>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</si>
  <si>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</si>
  <si>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</si>
  <si>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</si>
  <si>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</si>
  <si>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</si>
  <si>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</si>
  <si>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</si>
  <si>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</si>
  <si>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</si>
  <si>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</si>
  <si>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</si>
  <si>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</si>
  <si>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</si>
  <si>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</si>
  <si>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</si>
  <si>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</si>
  <si>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</si>
  <si>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</si>
  <si>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L'ESEER (European Seasonal Energy Efficiency Ratio) tient compte de l'efficacité de la machine de froid en différents mode de charge partielle. La valeur ESEER est indiquée dans les caractéristiques techniques de la machine.</t>
  </si>
  <si>
    <t>S'il y a des unités auxiliaires supplémentaires du «côté froid» non intégrés dans l'ESEER, elles peuvent être saisies ici.</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</si>
  <si>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</si>
  <si>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</si>
  <si>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</si>
  <si>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</si>
  <si>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</si>
  <si>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</si>
  <si>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</si>
  <si>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</si>
  <si>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</si>
  <si>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</si>
  <si>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</si>
  <si>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</si>
  <si>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</si>
  <si>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</si>
  <si>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</si>
  <si>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</si>
  <si>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</si>
  <si>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</si>
  <si>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</si>
  <si>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</si>
  <si>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</si>
  <si>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</si>
  <si>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</si>
  <si>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</si>
  <si>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</si>
  <si>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</si>
  <si>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</si>
  <si>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</si>
  <si>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</si>
  <si>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</si>
  <si>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</si>
  <si>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</si>
  <si>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</si>
  <si>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</si>
  <si>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</si>
  <si>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</si>
  <si>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Française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</si>
  <si>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</si>
  <si>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</si>
  <si>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</si>
  <si>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</si>
  <si>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</si>
  <si>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</si>
  <si>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</si>
  <si>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</si>
  <si>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</si>
  <si>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</si>
  <si>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</si>
  <si>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</si>
  <si>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</si>
  <si>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</si>
  <si>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</si>
  <si>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</si>
  <si>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</si>
  <si>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</si>
  <si>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</si>
  <si>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</si>
  <si>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</si>
  <si>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</si>
  <si>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</si>
  <si>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</si>
  <si>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</si>
  <si>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</si>
  <si>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</si>
  <si>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</si>
  <si>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</si>
  <si>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</si>
  <si>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</si>
  <si>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</si>
  <si>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</si>
  <si>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</si>
  <si>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</si>
  <si>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</si>
  <si>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</si>
  <si>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</si>
  <si>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</si>
  <si>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</si>
  <si>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</si>
  <si>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Falls es zusätzliche Hilfsbetriebe auf der «kalten Seite» gibt, die im ESEER noch nicht eingerechnet sind, können diese hier eingetragen werden.</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</si>
  <si>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</si>
  <si>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</si>
  <si>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</si>
  <si>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</si>
  <si>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</si>
  <si>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</si>
  <si>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</si>
  <si>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</si>
  <si>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</si>
  <si>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</si>
  <si>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</si>
  <si>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</si>
  <si>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</si>
  <si>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</si>
  <si>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</si>
  <si>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</si>
  <si>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</si>
  <si>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</si>
  <si>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</si>
  <si>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</si>
  <si>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</si>
  <si>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</si>
  <si>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</si>
  <si>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</si>
  <si>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</si>
  <si>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</si>
  <si>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</si>
  <si>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</si>
  <si>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</si>
  <si>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</si>
  <si>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</si>
  <si>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</si>
  <si>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</si>
  <si>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</si>
  <si>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</si>
  <si>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</si>
  <si>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</si>
  <si>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</si>
  <si>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</si>
  <si>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</si>
  <si>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</si>
  <si>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</si>
  <si>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</si>
  <si>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</si>
  <si>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</si>
  <si>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</si>
  <si>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</si>
  <si>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</si>
  <si>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</si>
  <si>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</si>
  <si>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</si>
  <si>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</si>
  <si>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</si>
  <si>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</si>
  <si>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</si>
  <si>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</si>
  <si>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</si>
  <si>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</si>
  <si>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</si>
  <si>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</si>
  <si>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</si>
  <si>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</si>
  <si>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</si>
  <si>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</si>
  <si>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</si>
  <si>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</si>
  <si>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</si>
  <si>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</si>
  <si>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</si>
  <si>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</si>
  <si>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</si>
  <si>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</si>
  <si>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</si>
  <si>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</si>
  <si>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</si>
  <si>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</si>
  <si>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</si>
  <si>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</si>
  <si>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</si>
  <si>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</si>
  <si>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</si>
  <si>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</si>
  <si>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Mittelland</t>
  </si>
  <si>
    <t>Tessin</t>
  </si>
  <si>
    <t>Alpen</t>
  </si>
  <si>
    <t>VL-Temperatur °C</t>
  </si>
  <si>
    <t>Standort (Free-Cooling)</t>
  </si>
  <si>
    <t>((Alpen = Davos, Mittelland = Zürich, Tessin = Lugano))</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</si>
  <si>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</si>
  <si>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</si>
  <si>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</si>
  <si>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</si>
  <si>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</si>
  <si>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</si>
  <si>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</si>
  <si>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</si>
  <si>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</si>
  <si>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</si>
  <si>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</si>
  <si>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</si>
  <si>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</si>
  <si>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</si>
  <si>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</si>
  <si>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</si>
  <si>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</si>
  <si>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</si>
  <si>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</si>
  <si>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</si>
  <si>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</si>
  <si>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</si>
  <si>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</si>
  <si>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</si>
  <si>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</si>
  <si>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</si>
  <si>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</si>
  <si>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</si>
  <si>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</si>
  <si>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</si>
  <si>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</si>
  <si>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</si>
  <si>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</si>
  <si>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</si>
  <si>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</si>
  <si>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</si>
  <si>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</si>
  <si>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</si>
  <si>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</si>
  <si>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</si>
  <si>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</si>
  <si>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</si>
  <si>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</si>
  <si>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</si>
  <si>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</si>
  <si>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</si>
  <si>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</si>
  <si>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</si>
  <si>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</si>
  <si>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</si>
  <si>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</si>
  <si>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</si>
  <si>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</si>
  <si>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</si>
  <si>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</si>
  <si>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</si>
  <si>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Neuer Hinweis?</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</si>
  <si>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</si>
  <si>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</si>
  <si>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</si>
  <si>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</si>
  <si>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</si>
  <si>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</si>
  <si>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</si>
  <si>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</si>
  <si>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</si>
  <si>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</si>
  <si>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</si>
  <si>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</si>
  <si>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</si>
  <si>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</si>
  <si>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</si>
  <si>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</si>
  <si>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</si>
  <si>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</si>
  <si>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</si>
  <si>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</si>
  <si>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</si>
  <si>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</si>
  <si>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</si>
  <si>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</si>
  <si>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</si>
  <si>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</si>
  <si>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</si>
  <si>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</si>
  <si>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</si>
  <si>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</si>
  <si>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</si>
  <si>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</si>
  <si>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</si>
  <si>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</si>
  <si>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</si>
  <si>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</si>
  <si>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</si>
  <si>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</si>
  <si>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</si>
  <si>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HGT Zürich (2001-2010)</t>
  </si>
  <si>
    <t>August</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</si>
  <si>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</si>
  <si>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</si>
  <si>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</si>
  <si>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</si>
  <si>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</si>
  <si>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</si>
  <si>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</si>
  <si>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</si>
  <si>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</si>
  <si>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</si>
  <si>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</si>
  <si>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</si>
  <si>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</si>
  <si>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</si>
  <si>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</si>
  <si>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</si>
  <si>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</si>
  <si>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</si>
  <si>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</si>
  <si>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</si>
  <si>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</si>
  <si>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</si>
  <si>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</si>
  <si>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</si>
  <si>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</si>
  <si>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</si>
  <si>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</si>
  <si>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</si>
  <si>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</si>
  <si>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</si>
  <si>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</si>
  <si>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</si>
  <si>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</si>
  <si>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</si>
  <si>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</si>
  <si>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</si>
  <si>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</si>
  <si>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</si>
  <si>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</si>
  <si>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</si>
  <si>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</si>
  <si>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</si>
  <si>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</si>
  <si>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</si>
  <si>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</si>
  <si>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</si>
  <si>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</si>
  <si>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Laufzeit der Zusatzfunktion</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</si>
  <si>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</si>
  <si>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</si>
  <si>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</si>
  <si>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</si>
  <si>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</si>
  <si>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</si>
  <si>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</si>
  <si>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</si>
  <si>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</si>
  <si>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</si>
  <si>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</si>
  <si>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</si>
  <si>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</si>
  <si>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</si>
  <si>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</si>
  <si>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</si>
  <si>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</si>
  <si>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</si>
  <si>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Kälte</t>
  </si>
  <si>
    <t>((genutzte Wärme + Kälte) / Gesamter Elektrizitätsverbrauch)</t>
  </si>
  <si>
    <t>➤</t>
  </si>
  <si>
    <t>Berechnung für einfache Komfort-Klimakälteanlagen</t>
  </si>
  <si>
    <t>Wollen Sie die vereinfachte Abschätzung über den SEER-Wert durchführen?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</si>
  <si>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</si>
  <si>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</si>
  <si>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</si>
  <si>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</si>
  <si>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</si>
  <si>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</si>
  <si>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</si>
  <si>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</si>
  <si>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Bestimmung Berechnung 2A oder 2B</t>
  </si>
  <si>
    <t>2A: reguläre Abschätzung</t>
  </si>
  <si>
    <t>2B: vereinfachte Abschätzung Klimakälte</t>
  </si>
  <si>
    <t>Berechnungsweg Elektrizitätsbedarf</t>
  </si>
  <si>
    <t>Klima-Anwendung</t>
  </si>
  <si>
    <t>Vereinfachte Berechnung für Klima-Anwendungen gewählt</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</si>
  <si>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</si>
  <si>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</si>
  <si>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</si>
  <si>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</si>
  <si>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</si>
  <si>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</si>
  <si>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</si>
  <si>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</si>
  <si>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</si>
  <si>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2B: Berechnung Elektrizitätsbedarf für einfache Komfort-Klimakälteanlagen</t>
  </si>
  <si>
    <t>2A: Berechnung Elektrizitätsbedarf</t>
  </si>
  <si>
    <t>zur Berechnung des Elektrizitätsbedarfs (2A)</t>
  </si>
  <si>
    <t>zur Berechnung des Elektrizitätsbedarfs von einfachen Komfort-Klimakälteanlagen (2B)</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</si>
  <si>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</si>
  <si>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</si>
  <si>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</si>
  <si>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</si>
  <si>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</si>
  <si>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</si>
  <si>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</si>
  <si>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</si>
  <si>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</si>
  <si>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</si>
  <si>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</si>
  <si>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</si>
  <si>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</si>
  <si>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</si>
  <si>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</si>
  <si>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</si>
  <si>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</si>
  <si>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</si>
  <si>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</si>
  <si>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</si>
  <si>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</si>
  <si>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</si>
  <si>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</si>
  <si>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</si>
  <si>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</si>
  <si>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</si>
  <si>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</si>
  <si>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</si>
  <si>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</si>
  <si>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</si>
  <si>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</si>
  <si>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</si>
  <si>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</si>
  <si>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</si>
  <si>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</si>
  <si>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</si>
  <si>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</si>
  <si>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</si>
  <si>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</si>
  <si>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</si>
  <si>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Effektiv genutzte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</si>
  <si>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</si>
  <si>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</si>
  <si>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</si>
  <si>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</si>
  <si>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</si>
  <si>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</si>
  <si>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</si>
  <si>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</si>
  <si>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</si>
  <si>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</si>
  <si>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</si>
  <si>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</si>
  <si>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</si>
  <si>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</si>
  <si>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</si>
  <si>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</si>
  <si>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</si>
  <si>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</si>
  <si>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</si>
  <si>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</si>
  <si>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</si>
  <si>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</si>
  <si>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</si>
  <si>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</si>
  <si>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</si>
  <si>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</si>
  <si>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</si>
  <si>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</si>
  <si>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</si>
  <si>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</si>
  <si>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</si>
  <si>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</si>
  <si>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</si>
  <si>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</si>
  <si>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</si>
  <si>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</si>
  <si>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</si>
  <si>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</si>
  <si>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</si>
  <si>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</si>
  <si>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</si>
  <si>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</si>
  <si>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</si>
  <si>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</si>
  <si>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</si>
  <si>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</si>
  <si>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</si>
  <si>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</si>
  <si>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</si>
  <si>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</si>
  <si>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</si>
  <si>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</si>
  <si>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</si>
  <si>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</si>
  <si>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</si>
  <si>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</si>
  <si>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</si>
  <si>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</si>
  <si>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</si>
  <si>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</si>
  <si>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</si>
  <si>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</si>
  <si>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</si>
  <si>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</si>
  <si>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</si>
  <si>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</si>
  <si>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</si>
  <si>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</si>
  <si>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</si>
  <si>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</si>
  <si>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</si>
  <si>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</si>
  <si>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</si>
  <si>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</si>
  <si>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</si>
  <si>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</si>
  <si>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</si>
  <si>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</si>
  <si>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</si>
  <si>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</si>
  <si>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</si>
  <si>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</si>
  <si>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</si>
  <si>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</si>
  <si>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</si>
  <si>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</si>
  <si>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</si>
  <si>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</si>
  <si>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</si>
  <si>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</si>
  <si>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</si>
  <si>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</si>
  <si>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</si>
  <si>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</si>
  <si>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</si>
  <si>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</si>
  <si>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</si>
  <si>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</si>
  <si>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</si>
  <si>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</si>
  <si>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</si>
  <si>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</si>
  <si>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</si>
  <si>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</si>
  <si>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</si>
  <si>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Chaleur effectivement utilisée</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</si>
  <si>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</si>
  <si>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</si>
  <si>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</si>
  <si>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</si>
  <si>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</si>
  <si>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</si>
  <si>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</si>
  <si>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</si>
  <si>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</si>
  <si>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</si>
  <si>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</si>
  <si>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</si>
  <si>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</si>
  <si>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</si>
  <si>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</si>
  <si>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</si>
  <si>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</si>
  <si>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</si>
  <si>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</si>
  <si>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</si>
  <si>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</si>
  <si>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Voulez-vous effectuer l'estimation simplifiée via la valeur SEER?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</si>
  <si>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</si>
  <si>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</si>
  <si>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</si>
  <si>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</si>
  <si>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</si>
  <si>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</si>
  <si>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</si>
  <si>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</si>
  <si>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</si>
  <si>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</si>
  <si>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</si>
  <si>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</si>
  <si>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</si>
  <si>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</si>
  <si>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</si>
  <si>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</si>
  <si>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</si>
  <si>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</si>
  <si>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</si>
  <si>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</si>
  <si>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</si>
  <si>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Raffreddamento libero e recupero del calore (funzione aggiuntiva)</t>
  </si>
  <si>
    <t>Nel tool del freddo può scegliere se analizzare un impianto con funzione di raffreddamento libero o con un recupero del calore.</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</si>
  <si>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</si>
  <si>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</si>
  <si>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</si>
  <si>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</si>
  <si>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</si>
  <si>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</si>
  <si>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</si>
  <si>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</si>
  <si>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</si>
  <si>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</si>
  <si>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</si>
  <si>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</si>
  <si>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Raffreddamento con il raffreddamento libero</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</si>
  <si>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</si>
  <si>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</si>
  <si>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</si>
  <si>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</si>
  <si>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</si>
  <si>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</si>
  <si>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</si>
  <si>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</si>
  <si>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</si>
  <si>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</si>
  <si>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</si>
  <si>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</si>
  <si>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</si>
  <si>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</si>
  <si>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</si>
  <si>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</si>
  <si>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</si>
  <si>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</si>
  <si>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</si>
  <si>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 raffreddamento libero</t>
  </si>
  <si>
    <t>Consumo di corrente del compressore</t>
  </si>
  <si>
    <t>Riduzione grazie al raffreddamento libero</t>
  </si>
  <si>
    <t>Maggior consumo recupero del calore</t>
  </si>
  <si>
    <t>Calore disponibile</t>
  </si>
  <si>
    <t>Fabbisogno di calore (riscaldamento, acqua potabile calda, processi)</t>
  </si>
  <si>
    <t>Calore utilizzato effettivo</t>
  </si>
  <si>
    <t>Secco</t>
  </si>
  <si>
    <t>Ibrido</t>
  </si>
  <si>
    <t>Nessuna funzione aggiuntiva</t>
  </si>
  <si>
    <t>Impianto con raffreddamento libero</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</si>
  <si>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</si>
  <si>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</si>
  <si>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</si>
  <si>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</si>
  <si>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</si>
  <si>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</si>
  <si>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</si>
  <si>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</si>
  <si>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</si>
  <si>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</si>
  <si>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</si>
  <si>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</si>
  <si>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</si>
  <si>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</si>
  <si>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</si>
  <si>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</si>
  <si>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</si>
  <si>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Desidera eseguire anche una stima semplificata con il valore SEER?</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</si>
  <si>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</si>
  <si>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</si>
  <si>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</si>
  <si>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</si>
  <si>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</si>
  <si>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</si>
  <si>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</si>
  <si>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</si>
  <si>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</si>
  <si>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</si>
  <si>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</si>
  <si>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</si>
  <si>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</si>
  <si>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Importante: il tool non può effettuare il calcolo di impianti che dispongono sia di raffreddamento libero che di recupero del calore.</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</si>
  <si>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</si>
  <si>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</si>
  <si>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</si>
  <si>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</si>
  <si>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Il raffreddamento libero riduce i costi energetici di</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</si>
  <si>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</si>
  <si>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</si>
  <si>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</si>
  <si>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</si>
  <si>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</si>
  <si>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</si>
  <si>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per semplici impianti di climatizzazione comfort (2B)</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</si>
  <si>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</si>
  <si>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</si>
  <si>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</si>
  <si>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</si>
  <si>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</si>
  <si>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des installations de climatisation de confort simples (2B)</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</si>
  <si>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</si>
  <si>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</si>
  <si>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</si>
  <si>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</si>
  <si>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</si>
  <si>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</si>
  <si>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</si>
  <si>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</si>
  <si>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</si>
  <si>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</si>
  <si>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</si>
  <si>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</si>
  <si>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</si>
  <si>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</si>
  <si>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</si>
  <si>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</si>
  <si>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</si>
  <si>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</si>
  <si>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</si>
  <si>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</si>
  <si>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</si>
  <si>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</si>
  <si>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</si>
  <si>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</si>
  <si>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</si>
  <si>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</si>
  <si>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Beachten Sie: Bei der vereinfachten Abschätzung mit dem SEER-Wert können keine Anlagen mit den Zusatzfunktionen Free-Cooling oder Abwärmenutzung berechnet werden.</t>
  </si>
  <si>
    <t>Hinweis SEER: Free-Cooling und Abwärmenutzung einblenden</t>
  </si>
  <si>
    <t xml:space="preserve">Note : Dans l'estimation simplifiée avec la valeur SEER, aucun système avec les fonctions supplémentaires Free-Cooling ou utilisation de la chaleur perdue ne peut être calculé. </t>
  </si>
  <si>
    <t>Nota: Nel calcolo semplificato con il SEER non è possibile calcolare i sistemi con free-cooling o con sfruttamento del calore residuo.</t>
  </si>
  <si>
    <t>Kälte-Tool für die Abschätzung des Stromverbrauchs, der Umweltauswirkungen und der Lebenszykluskosten von Kälte- und Klimakälteanlagen</t>
  </si>
  <si>
    <t>comando in base al fabbisogno (FU)</t>
  </si>
  <si>
    <t>comando in base al fabbisogno (modulabile CF/CE)</t>
  </si>
  <si>
    <t>▼</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</si>
  <si>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</si>
  <si>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</si>
  <si>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</si>
  <si>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r>
      <rPr>
        <sz val="11"/>
        <color theme="0"/>
        <rFont val="Calibri"/>
        <family val="2"/>
      </rPr>
      <t>(tutti i valori di kg CO2 sono valori equivalenti di kg CO2)</t>
    </r>
  </si>
  <si>
    <r>
      <rPr>
        <sz val="11"/>
        <color theme="0"/>
        <rFont val="Calibri"/>
        <family val="2"/>
      </rPr>
      <t>(freddo prodotto / Consumo totale di elettricità)</t>
    </r>
  </si>
  <si>
    <r>
      <rPr>
        <sz val="11"/>
        <color theme="0"/>
        <rFont val="Calibri"/>
        <family val="2"/>
      </rPr>
      <t>(Sovra)dimensionamento</t>
    </r>
  </si>
  <si>
    <r>
      <rPr>
        <sz val="11"/>
        <color theme="0"/>
        <rFont val="Calibri"/>
        <family val="2"/>
      </rPr>
      <t>Discrepanza rispetto al valore previsto</t>
    </r>
  </si>
  <si>
    <r>
      <rPr>
        <sz val="11"/>
        <color theme="0"/>
        <rFont val="Calibri"/>
        <family val="2"/>
      </rPr>
      <t>Carica di riemplemento dell'impianto</t>
    </r>
  </si>
  <si>
    <r>
      <rPr>
        <sz val="11"/>
        <color theme="0"/>
        <rFont val="Calibri"/>
        <family val="2"/>
      </rPr>
      <t>Progetto dell'impianto</t>
    </r>
  </si>
  <si>
    <r>
      <rPr>
        <sz val="11"/>
        <color theme="0"/>
        <rFont val="Calibri"/>
        <family val="2"/>
      </rPr>
      <t>Specifiche dell'impianto</t>
    </r>
  </si>
  <si>
    <r>
      <rPr>
        <sz val="11"/>
        <color theme="0"/>
        <rFont val="Calibri"/>
        <family val="2"/>
      </rPr>
      <t>Tipo di impianto</t>
    </r>
  </si>
  <si>
    <r>
      <rPr>
        <sz val="11"/>
        <color theme="0"/>
        <rFont val="Calibri"/>
        <family val="2"/>
      </rPr>
      <t>Approvazione del progettista per il progetto</t>
    </r>
  </si>
  <si>
    <r>
      <rPr>
        <sz val="11"/>
        <color theme="0"/>
        <rFont val="Calibri"/>
        <family val="2"/>
      </rPr>
      <t>Numero camion</t>
    </r>
  </si>
  <si>
    <r>
      <rPr>
        <sz val="11"/>
        <color theme="0"/>
        <rFont val="Calibri"/>
        <family val="2"/>
      </rPr>
      <t xml:space="preserve">Numero varianti </t>
    </r>
  </si>
  <si>
    <r>
      <rPr>
        <sz val="11"/>
        <color theme="0"/>
        <rFont val="Calibri"/>
        <family val="2"/>
      </rPr>
      <t>Numero compressori</t>
    </r>
  </si>
  <si>
    <r>
      <rPr>
        <sz val="11"/>
        <color theme="0"/>
        <rFont val="Calibri"/>
        <family val="2"/>
      </rPr>
      <t>Riempito da</t>
    </r>
  </si>
  <si>
    <r>
      <rPr>
        <sz val="11"/>
        <color theme="0"/>
        <rFont val="Calibri"/>
        <family val="2"/>
      </rPr>
      <t>Scelta dell'impianto di refrigerazione</t>
    </r>
  </si>
  <si>
    <r>
      <rPr>
        <sz val="11"/>
        <color theme="0"/>
        <rFont val="Calibri"/>
        <family val="2"/>
      </rPr>
      <t xml:space="preserve">Temperatura esterna </t>
    </r>
  </si>
  <si>
    <r>
      <rPr>
        <sz val="11"/>
        <color theme="0"/>
        <rFont val="Calibri"/>
        <family val="2"/>
      </rPr>
      <t>Temperatura esterna (7:00 - 19:00 h)</t>
    </r>
  </si>
  <si>
    <r>
      <rPr>
        <sz val="11"/>
        <color theme="0"/>
        <rFont val="Calibri"/>
        <family val="2"/>
      </rPr>
      <t>Basilea</t>
    </r>
  </si>
  <si>
    <r>
      <rPr>
        <sz val="11"/>
        <color theme="0"/>
        <rFont val="Calibri"/>
        <family val="2"/>
      </rPr>
      <t>Modello</t>
    </r>
  </si>
  <si>
    <r>
      <rPr>
        <sz val="11"/>
        <color theme="0"/>
        <rFont val="Calibri"/>
        <family val="2"/>
      </rPr>
      <t>Impatto</t>
    </r>
  </si>
  <si>
    <r>
      <rPr>
        <sz val="11"/>
        <color theme="0"/>
        <rFont val="Calibri"/>
        <family val="2"/>
      </rPr>
      <t>Impatto comando</t>
    </r>
  </si>
  <si>
    <r>
      <rPr>
        <sz val="11"/>
        <color theme="0"/>
        <rFont val="Calibri"/>
        <family val="2"/>
      </rPr>
      <t>Calcolo</t>
    </r>
  </si>
  <si>
    <r>
      <rPr>
        <sz val="11"/>
        <color theme="0"/>
        <rFont val="Calibri"/>
        <family val="2"/>
      </rPr>
      <t>Calcolo delle emissioni di CO2 in base al consumo di elettricità dell'impianto di refrigerazione</t>
    </r>
  </si>
  <si>
    <r>
      <rPr>
        <sz val="11"/>
        <color theme="0"/>
        <rFont val="Calibri"/>
        <family val="2"/>
      </rPr>
      <t>Calcolo delle emissioni di CO2 dovuto alle perdite</t>
    </r>
  </si>
  <si>
    <r>
      <rPr>
        <sz val="11"/>
        <color theme="0"/>
        <rFont val="Calibri"/>
        <family val="2"/>
      </rPr>
      <t>Calcolo delle emissioni di CO2 dovuto a perdite nel recupero del refrigerante</t>
    </r>
  </si>
  <si>
    <r>
      <rPr>
        <sz val="11"/>
        <color theme="0"/>
        <rFont val="Calibri"/>
        <family val="2"/>
      </rPr>
      <t>Base di calcolo</t>
    </r>
  </si>
  <si>
    <r>
      <rPr>
        <sz val="11"/>
        <color theme="0"/>
        <rFont val="Calibri"/>
        <family val="2"/>
      </rPr>
      <t>Calcoli (A: profilo standard)</t>
    </r>
  </si>
  <si>
    <r>
      <rPr>
        <sz val="11"/>
        <color theme="0"/>
        <rFont val="Calibri"/>
        <family val="2"/>
      </rPr>
      <t>Calcoli (B: valori progettista)</t>
    </r>
  </si>
  <si>
    <r>
      <rPr>
        <sz val="11"/>
        <color theme="0"/>
        <rFont val="Calibri"/>
        <family val="2"/>
      </rPr>
      <t>Calcoli (dati del profilo)</t>
    </r>
  </si>
  <si>
    <r>
      <rPr>
        <sz val="11"/>
        <color theme="0"/>
        <rFont val="Calibri"/>
        <family val="2"/>
      </rPr>
      <t>Calcoli con i dati del progettista</t>
    </r>
  </si>
  <si>
    <r>
      <rPr>
        <sz val="11"/>
        <color theme="0"/>
        <rFont val="Calibri"/>
        <family val="2"/>
      </rPr>
      <t>Tipo di calcolo</t>
    </r>
  </si>
  <si>
    <r>
      <rPr>
        <sz val="11"/>
        <color theme="0"/>
        <rFont val="Calibri"/>
        <family val="2"/>
      </rPr>
      <t>Berna</t>
    </r>
  </si>
  <si>
    <r>
      <rPr>
        <sz val="11"/>
        <color theme="0"/>
        <rFont val="Calibri"/>
        <family val="2"/>
      </rPr>
      <t>Profilo d'esercizio</t>
    </r>
  </si>
  <si>
    <r>
      <rPr>
        <sz val="11"/>
        <color theme="0"/>
        <rFont val="Calibri"/>
        <family val="2"/>
      </rPr>
      <t>Ore d'esercizio macchina all'anno</t>
    </r>
  </si>
  <si>
    <r>
      <rPr>
        <sz val="11"/>
        <color theme="0"/>
        <rFont val="Calibri"/>
        <family val="2"/>
      </rPr>
      <t>Profilo ore d'esercizio (ridotto)</t>
    </r>
  </si>
  <si>
    <r>
      <rPr>
        <sz val="11"/>
        <color theme="0"/>
        <rFont val="Calibri"/>
        <family val="2"/>
      </rPr>
      <t>Ore d'esercizio (al giorno)</t>
    </r>
  </si>
  <si>
    <r>
      <rPr>
        <sz val="11"/>
        <color theme="0"/>
        <rFont val="Calibri"/>
        <family val="2"/>
      </rPr>
      <t>Ore di esercizio</t>
    </r>
  </si>
  <si>
    <r>
      <rPr>
        <sz val="11"/>
        <color theme="0"/>
        <rFont val="Calibri"/>
        <family val="2"/>
      </rPr>
      <t>Denominazione</t>
    </r>
  </si>
  <si>
    <r>
      <rPr>
        <sz val="11"/>
        <color theme="0"/>
        <rFont val="Calibri"/>
        <family val="2"/>
      </rPr>
      <t>Denominazione della variante A</t>
    </r>
  </si>
  <si>
    <r>
      <rPr>
        <sz val="11"/>
        <color theme="0"/>
        <rFont val="Calibri"/>
        <family val="2"/>
      </rPr>
      <t>Denominazione della variante B</t>
    </r>
  </si>
  <si>
    <r>
      <rPr>
        <sz val="11"/>
        <color theme="0"/>
        <rFont val="Calibri"/>
        <family val="2"/>
      </rPr>
      <t>CHF/ tonnellate CO2</t>
    </r>
  </si>
  <si>
    <r>
      <rPr>
        <sz val="11"/>
        <color theme="0"/>
        <rFont val="Calibri"/>
        <family val="2"/>
      </rPr>
      <t>Emissioni di CO2 auto di media cilindrata</t>
    </r>
  </si>
  <si>
    <r>
      <rPr>
        <sz val="11"/>
        <color theme="0"/>
        <rFont val="Calibri"/>
        <family val="2"/>
      </rPr>
      <t>Emissioni di CO2 all'anno</t>
    </r>
  </si>
  <si>
    <r>
      <rPr>
        <sz val="11"/>
        <color theme="0"/>
        <rFont val="Calibri"/>
        <family val="2"/>
      </rPr>
      <t>Emissioni di CO2 per consumo di elettricità</t>
    </r>
  </si>
  <si>
    <r>
      <rPr>
        <sz val="11"/>
        <color theme="0"/>
        <rFont val="Calibri"/>
        <family val="2"/>
      </rPr>
      <t>Emissioni di CO2 per perdite</t>
    </r>
  </si>
  <si>
    <r>
      <rPr>
        <sz val="11"/>
        <color theme="0"/>
        <rFont val="Calibri"/>
        <family val="2"/>
      </rPr>
      <t>Emissioni di CO2 per  da recupero</t>
    </r>
  </si>
  <si>
    <r>
      <rPr>
        <sz val="11"/>
        <color theme="0"/>
        <rFont val="Calibri"/>
        <family val="2"/>
      </rPr>
      <t>Emissioni di CO2 duranta di vita dell'impianto</t>
    </r>
  </si>
  <si>
    <r>
      <rPr>
        <sz val="11"/>
        <color theme="0"/>
        <rFont val="Calibri"/>
        <family val="2"/>
      </rPr>
      <t>Fattore delle emissioni di CO2 elettricità</t>
    </r>
  </si>
  <si>
    <r>
      <rPr>
        <sz val="11"/>
        <color theme="0"/>
        <rFont val="Calibri"/>
        <family val="2"/>
      </rPr>
      <t>Contenuto CO2 camion</t>
    </r>
  </si>
  <si>
    <r>
      <rPr>
        <sz val="11"/>
        <color theme="0"/>
        <rFont val="Calibri"/>
        <family val="2"/>
      </rPr>
      <t>Spese di compensazione CO2</t>
    </r>
  </si>
  <si>
    <r>
      <rPr>
        <sz val="11"/>
        <color theme="0"/>
        <rFont val="Calibri"/>
        <family val="2"/>
      </rPr>
      <t>Compressore COP (solo per controllo)</t>
    </r>
  </si>
  <si>
    <r>
      <rPr>
        <sz val="11"/>
        <color theme="0"/>
        <rFont val="Calibri"/>
        <family val="2"/>
      </rPr>
      <t>Dati sul fabbisogno di elettricità</t>
    </r>
  </si>
  <si>
    <r>
      <rPr>
        <sz val="11"/>
        <color theme="0"/>
        <rFont val="Calibri"/>
        <family val="2"/>
      </rPr>
      <t>Data</t>
    </r>
  </si>
  <si>
    <r>
      <rPr>
        <sz val="11"/>
        <color theme="0"/>
        <rFont val="Calibri"/>
        <family val="2"/>
      </rPr>
      <t>Mostrare i dettagli sul calcolo?</t>
    </r>
  </si>
  <si>
    <r>
      <rPr>
        <sz val="11"/>
        <color theme="0"/>
        <rFont val="Calibri"/>
        <family val="2"/>
      </rPr>
      <t>Distanza</t>
    </r>
  </si>
  <si>
    <r>
      <rPr>
        <sz val="11"/>
        <color theme="0"/>
        <rFont val="Calibri"/>
        <family val="2"/>
      </rPr>
      <t>Temperature d'esercizio effettive</t>
    </r>
  </si>
  <si>
    <r>
      <rPr>
        <sz val="11"/>
        <color theme="0"/>
        <rFont val="Calibri"/>
        <family val="2"/>
      </rPr>
      <t>acceso/spento</t>
    </r>
  </si>
  <si>
    <r>
      <rPr>
        <sz val="11"/>
        <color theme="0"/>
        <rFont val="Calibri"/>
        <family val="2"/>
      </rPr>
      <t>acceso/spento (con accumulatore grande, il compressore si accende meno di 6 volte all'ora)</t>
    </r>
  </si>
  <si>
    <r>
      <rPr>
        <sz val="11"/>
        <color theme="0"/>
        <rFont val="Calibri"/>
        <family val="2"/>
      </rPr>
      <t>acceso/spento (con accumulatore piccolo, il compressore si accende più di 6 volte all'ora)</t>
    </r>
  </si>
  <si>
    <r>
      <rPr>
        <sz val="11"/>
        <color theme="0"/>
        <rFont val="Calibri"/>
        <family val="2"/>
      </rPr>
      <t>acceso/spento (senza polmone)</t>
    </r>
  </si>
  <si>
    <r>
      <rPr>
        <sz val="11"/>
        <color theme="0"/>
        <rFont val="Calibri"/>
        <family val="2"/>
      </rPr>
      <t>Inserimento dati d'esercizio</t>
    </r>
  </si>
  <si>
    <r>
      <rPr>
        <sz val="11"/>
        <color theme="0"/>
        <rFont val="Calibri"/>
        <family val="2"/>
      </rPr>
      <t>Inserimento facoltativo</t>
    </r>
  </si>
  <si>
    <r>
      <rPr>
        <sz val="11"/>
        <color theme="0"/>
        <rFont val="Calibri"/>
        <family val="2"/>
      </rPr>
      <t>Inserimenti</t>
    </r>
  </si>
  <si>
    <r>
      <rPr>
        <sz val="11"/>
        <color theme="0"/>
        <rFont val="Calibri"/>
        <family val="2"/>
      </rPr>
      <t>Potenza elettrica assorbita</t>
    </r>
  </si>
  <si>
    <r>
      <rPr>
        <sz val="11"/>
        <color theme="0"/>
        <rFont val="Calibri"/>
        <family val="2"/>
      </rPr>
      <t>Potenza elettrica assorbita (effettiva)</t>
    </r>
  </si>
  <si>
    <r>
      <rPr>
        <sz val="11"/>
        <color theme="0"/>
        <rFont val="Calibri"/>
        <family val="2"/>
      </rPr>
      <t>Potenza elettrica assorbita compressore</t>
    </r>
  </si>
  <si>
    <r>
      <rPr>
        <sz val="11"/>
        <color theme="0"/>
        <rFont val="Calibri"/>
        <family val="2"/>
      </rPr>
      <t>Fabbisogno elettricità</t>
    </r>
  </si>
  <si>
    <r>
      <rPr>
        <sz val="11"/>
        <color theme="0"/>
        <rFont val="Calibri"/>
        <family val="2"/>
      </rPr>
      <t>Consumo elettricità</t>
    </r>
  </si>
  <si>
    <r>
      <rPr>
        <sz val="11"/>
        <color theme="0"/>
        <rFont val="Calibri"/>
        <family val="2"/>
      </rPr>
      <t>Consumo elettricità impianto di refrigerazione</t>
    </r>
  </si>
  <si>
    <r>
      <rPr>
        <sz val="11"/>
        <color theme="0"/>
        <rFont val="Calibri"/>
        <family val="2"/>
      </rPr>
      <t>Energia</t>
    </r>
  </si>
  <si>
    <r>
      <rPr>
        <sz val="11"/>
        <color theme="0"/>
        <rFont val="Calibri"/>
        <family val="2"/>
      </rPr>
      <t xml:space="preserve">Fattore di efficienza energetica </t>
    </r>
  </si>
  <si>
    <r>
      <rPr>
        <sz val="11"/>
        <color theme="0"/>
        <rFont val="Calibri"/>
        <family val="2"/>
      </rPr>
      <t>Costi energetici</t>
    </r>
  </si>
  <si>
    <r>
      <rPr>
        <sz val="11"/>
        <color theme="0"/>
        <rFont val="Calibri"/>
        <family val="2"/>
      </rPr>
      <t>Consumo elettricità aggregati ausiliari «parte fredda»</t>
    </r>
  </si>
  <si>
    <r>
      <rPr>
        <sz val="11"/>
        <color theme="0"/>
        <rFont val="Calibri"/>
        <family val="2"/>
      </rPr>
      <t>Consumo elettricità aggregati ausiliari «parte calda»</t>
    </r>
  </si>
  <si>
    <r>
      <rPr>
        <sz val="11"/>
        <color theme="0"/>
        <rFont val="Calibri"/>
        <family val="2"/>
      </rPr>
      <t>Consumo elettricità macchina</t>
    </r>
  </si>
  <si>
    <r>
      <rPr>
        <sz val="11"/>
        <color theme="0"/>
        <rFont val="Calibri"/>
        <family val="2"/>
      </rPr>
      <t>Consumo elettricità compressore</t>
    </r>
  </si>
  <si>
    <r>
      <rPr>
        <sz val="11"/>
        <color theme="0"/>
        <rFont val="Calibri"/>
        <family val="2"/>
      </rPr>
      <t>Risultato della stima in base alle ipotesi del progettista</t>
    </r>
  </si>
  <si>
    <r>
      <rPr>
        <sz val="11"/>
        <color theme="0"/>
        <rFont val="Calibri"/>
        <family val="2"/>
      </rPr>
      <t>Risultato della stima in base al profilo standard</t>
    </r>
  </si>
  <si>
    <r>
      <rPr>
        <sz val="11"/>
        <color theme="0"/>
        <rFont val="Calibri"/>
        <family val="2"/>
      </rPr>
      <t>Risultati</t>
    </r>
  </si>
  <si>
    <r>
      <rPr>
        <sz val="11"/>
        <color theme="0"/>
        <rFont val="Calibri"/>
        <family val="2"/>
      </rPr>
      <t>Risultati (valori arrotondati)</t>
    </r>
  </si>
  <si>
    <r>
      <rPr>
        <sz val="11"/>
        <color theme="0"/>
        <rFont val="Calibri"/>
        <family val="2"/>
      </rPr>
      <t xml:space="preserve">Risultati calcolo TEWI </t>
    </r>
  </si>
  <si>
    <r>
      <rPr>
        <sz val="11"/>
        <color theme="0"/>
        <rFont val="Calibri"/>
        <family val="2"/>
      </rPr>
      <t>Misto elettricità UE</t>
    </r>
  </si>
  <si>
    <r>
      <rPr>
        <sz val="11"/>
        <color theme="0"/>
        <rFont val="Calibri"/>
        <family val="2"/>
      </rPr>
      <t>Fattore</t>
    </r>
  </si>
  <si>
    <r>
      <rPr>
        <sz val="11"/>
        <color theme="0"/>
        <rFont val="Calibri"/>
        <family val="2"/>
      </rPr>
      <t>Ditta</t>
    </r>
  </si>
  <si>
    <r>
      <rPr>
        <sz val="11"/>
        <color theme="0"/>
        <rFont val="Calibri"/>
        <family val="2"/>
      </rPr>
      <t>Franchi</t>
    </r>
  </si>
  <si>
    <r>
      <rPr>
        <sz val="11"/>
        <color theme="0"/>
        <rFont val="Calibri"/>
        <family val="2"/>
      </rPr>
      <t>Convertitore di frequenza</t>
    </r>
  </si>
  <si>
    <r>
      <rPr>
        <sz val="11"/>
        <color theme="0"/>
        <rFont val="Calibri"/>
        <family val="2"/>
      </rPr>
      <t>Convertitore di frequenza (con polmone)</t>
    </r>
  </si>
  <si>
    <r>
      <rPr>
        <sz val="11"/>
        <color theme="0"/>
        <rFont val="Calibri"/>
        <family val="2"/>
      </rPr>
      <t>Primavera</t>
    </r>
  </si>
  <si>
    <r>
      <rPr>
        <sz val="11"/>
        <color theme="0"/>
        <rFont val="Calibri"/>
        <family val="2"/>
      </rPr>
      <t>inserire qui manualmente il fabbisogno di elettricità</t>
    </r>
  </si>
  <si>
    <r>
      <rPr>
        <sz val="11"/>
        <color theme="0"/>
        <rFont val="Calibri"/>
        <family val="2"/>
      </rPr>
      <t>Ginevra</t>
    </r>
  </si>
  <si>
    <r>
      <rPr>
        <sz val="11"/>
        <color theme="0"/>
        <rFont val="Calibri"/>
        <family val="2"/>
      </rPr>
      <t>Commercio</t>
    </r>
  </si>
  <si>
    <r>
      <rPr>
        <sz val="11"/>
        <color theme="0"/>
        <rFont val="Calibri"/>
        <family val="2"/>
      </rPr>
      <t>Dati di base</t>
    </r>
  </si>
  <si>
    <r>
      <rPr>
        <sz val="11"/>
        <color theme="0"/>
        <rFont val="Calibri"/>
        <family val="2"/>
      </rPr>
      <t>Refrigerante GWP</t>
    </r>
  </si>
  <si>
    <r>
      <rPr>
        <sz val="11"/>
        <color theme="0"/>
        <rFont val="Calibri"/>
        <family val="2"/>
      </rPr>
      <t>Autunno</t>
    </r>
  </si>
  <si>
    <r>
      <rPr>
        <sz val="11"/>
        <color theme="0"/>
        <rFont val="Calibri"/>
        <family val="2"/>
      </rPr>
      <t>Aggregati ausiliari «parte fredd0»</t>
    </r>
  </si>
  <si>
    <r>
      <rPr>
        <sz val="11"/>
        <color theme="0"/>
        <rFont val="Calibri"/>
        <family val="2"/>
      </rPr>
      <t>Illustrazione delle emissioni annue di CO2</t>
    </r>
  </si>
  <si>
    <r>
      <rPr>
        <sz val="11"/>
        <color theme="0"/>
        <rFont val="Calibri"/>
        <family val="2"/>
      </rPr>
      <t>Industria</t>
    </r>
  </si>
  <si>
    <r>
      <rPr>
        <sz val="11"/>
        <color theme="0"/>
        <rFont val="Calibri"/>
        <family val="2"/>
      </rPr>
      <t>Pompe nebulizzazione</t>
    </r>
  </si>
  <si>
    <r>
      <rPr>
        <sz val="11"/>
        <color theme="0"/>
        <rFont val="Calibri"/>
        <family val="2"/>
      </rPr>
      <t>Spese d'investimento</t>
    </r>
  </si>
  <si>
    <r>
      <rPr>
        <sz val="11"/>
        <color theme="0"/>
        <rFont val="Calibri"/>
        <family val="2"/>
      </rPr>
      <t>Sì</t>
    </r>
  </si>
  <si>
    <r>
      <rPr>
        <sz val="11"/>
        <color theme="0"/>
        <rFont val="Calibri"/>
        <family val="2"/>
      </rPr>
      <t>Anno</t>
    </r>
  </si>
  <si>
    <r>
      <rPr>
        <sz val="11"/>
        <color theme="0"/>
        <rFont val="Calibri"/>
        <family val="2"/>
      </rPr>
      <t>Anni</t>
    </r>
  </si>
  <si>
    <r>
      <rPr>
        <sz val="11"/>
        <color theme="0"/>
        <rFont val="Calibri"/>
        <family val="2"/>
      </rPr>
      <t>Costi annui</t>
    </r>
  </si>
  <si>
    <r>
      <rPr>
        <sz val="11"/>
        <color theme="0"/>
        <rFont val="Calibri"/>
        <family val="2"/>
      </rPr>
      <t>Costi annui (liv. economico)</t>
    </r>
  </si>
  <si>
    <r>
      <rPr>
        <sz val="11"/>
        <color theme="0"/>
        <rFont val="Calibri"/>
        <family val="2"/>
      </rPr>
      <t>Costi annui per un funzionamento neutrale per il clima (liv. economico + ecologico)</t>
    </r>
  </si>
  <si>
    <r>
      <rPr>
        <sz val="11"/>
        <color theme="0"/>
        <rFont val="Calibri"/>
        <family val="2"/>
      </rPr>
      <t>Fabbisogno energia di refrigerazione</t>
    </r>
  </si>
  <si>
    <r>
      <rPr>
        <sz val="11"/>
        <color theme="0"/>
        <rFont val="Calibri"/>
        <family val="2"/>
      </rPr>
      <t>Fabbisogno energia di raffreddamento Valori progettista</t>
    </r>
  </si>
  <si>
    <r>
      <rPr>
        <sz val="11"/>
        <color theme="0"/>
        <rFont val="Calibri"/>
        <family val="2"/>
      </rPr>
      <t>Profilo del fabbisogno di energia di raffreddamento</t>
    </r>
  </si>
  <si>
    <r>
      <rPr>
        <sz val="11"/>
        <color theme="0"/>
        <rFont val="Calibri"/>
        <family val="2"/>
      </rPr>
      <t>Potenza di raffreddamento</t>
    </r>
  </si>
  <si>
    <r>
      <rPr>
        <sz val="11"/>
        <color theme="0"/>
        <rFont val="Calibri"/>
        <family val="2"/>
      </rPr>
      <t>Fabbisogno potenza di raffreddamento</t>
    </r>
  </si>
  <si>
    <r>
      <rPr>
        <sz val="11"/>
        <color theme="0"/>
        <rFont val="Calibri"/>
        <family val="2"/>
      </rPr>
      <t>Potenza di raffreddamento delle macchine</t>
    </r>
  </si>
  <si>
    <r>
      <rPr>
        <sz val="11"/>
        <color theme="0"/>
        <rFont val="Calibri"/>
        <family val="2"/>
      </rPr>
      <t>Potenza di raffreddamento installata</t>
    </r>
  </si>
  <si>
    <r>
      <rPr>
        <sz val="11"/>
        <color theme="0"/>
        <rFont val="Calibri"/>
        <family val="2"/>
      </rPr>
      <t>Potenza di raffreddamento compressore</t>
    </r>
  </si>
  <si>
    <r>
      <rPr>
        <sz val="11"/>
        <color theme="0"/>
        <rFont val="Calibri"/>
        <family val="2"/>
      </rPr>
      <t>Refrigerante</t>
    </r>
  </si>
  <si>
    <r>
      <rPr>
        <sz val="11"/>
        <color theme="0"/>
        <rFont val="Calibri"/>
        <family val="2"/>
      </rPr>
      <t>Pompe circulazione freddo</t>
    </r>
  </si>
  <si>
    <r>
      <rPr>
        <sz val="11"/>
        <color theme="0"/>
        <rFont val="Calibri"/>
        <family val="2"/>
      </rPr>
      <t>Temperatura acqua fredda</t>
    </r>
  </si>
  <si>
    <r>
      <rPr>
        <sz val="11"/>
        <color theme="0"/>
        <rFont val="Calibri"/>
        <family val="2"/>
      </rPr>
      <t>Refrigeratore-climatizzatore (refrigeratori condensazione ad aria)</t>
    </r>
  </si>
  <si>
    <r>
      <rPr>
        <sz val="11"/>
        <color theme="0"/>
        <rFont val="Calibri"/>
        <family val="2"/>
      </rPr>
      <t>Refrigeratore-climatizzatore vaporizzazione diretta (sistemi VRV, VRF)</t>
    </r>
  </si>
  <si>
    <r>
      <rPr>
        <sz val="11"/>
        <color theme="0"/>
        <rFont val="Calibri"/>
        <family val="2"/>
      </rPr>
      <t>Carico rilevante per il clima (TEWI)</t>
    </r>
  </si>
  <si>
    <r>
      <rPr>
        <sz val="11"/>
        <color theme="0"/>
        <rFont val="Calibri"/>
        <family val="2"/>
      </rPr>
      <t>Spese di compensazione</t>
    </r>
  </si>
  <si>
    <r>
      <rPr>
        <sz val="11"/>
        <color theme="0"/>
        <rFont val="Calibri"/>
        <family val="2"/>
      </rPr>
      <t>Concetto produzione freddo</t>
    </r>
  </si>
  <si>
    <r>
      <rPr>
        <sz val="11"/>
        <color theme="0"/>
        <rFont val="Calibri"/>
        <family val="2"/>
      </rPr>
      <t xml:space="preserve">Costi </t>
    </r>
  </si>
  <si>
    <r>
      <rPr>
        <sz val="11"/>
        <color theme="0"/>
        <rFont val="Calibri"/>
        <family val="2"/>
      </rPr>
      <t>Costi compensazione CO2</t>
    </r>
  </si>
  <si>
    <r>
      <rPr>
        <sz val="11"/>
        <color theme="0"/>
        <rFont val="Calibri"/>
        <family val="2"/>
      </rPr>
      <t>Costi preventivo-manutenzione senza materiali</t>
    </r>
  </si>
  <si>
    <r>
      <rPr>
        <sz val="11"/>
        <color theme="0"/>
        <rFont val="Calibri"/>
        <family val="2"/>
      </rPr>
      <t>Fabbisogno potenza di refrigerazione</t>
    </r>
  </si>
  <si>
    <r>
      <rPr>
        <sz val="11"/>
        <color theme="0"/>
        <rFont val="Calibri"/>
        <family val="2"/>
      </rPr>
      <t>Fabbisogno potenza di refrigerazione (edificio)</t>
    </r>
  </si>
  <si>
    <r>
      <rPr>
        <sz val="11"/>
        <color theme="0"/>
        <rFont val="Calibri"/>
        <family val="2"/>
      </rPr>
      <t>Profilo di carico</t>
    </r>
  </si>
  <si>
    <r>
      <rPr>
        <sz val="11"/>
        <color theme="0"/>
        <rFont val="Calibri"/>
        <family val="2"/>
      </rPr>
      <t>Durata</t>
    </r>
  </si>
  <si>
    <r>
      <rPr>
        <sz val="11"/>
        <color theme="0"/>
        <rFont val="Calibri"/>
        <family val="2"/>
      </rPr>
      <t>Durata (dimensioni effettive)</t>
    </r>
  </si>
  <si>
    <r>
      <rPr>
        <sz val="11"/>
        <color theme="0"/>
        <rFont val="Calibri"/>
        <family val="2"/>
      </rPr>
      <t>Durata funzionamento macchina (al giorno)</t>
    </r>
  </si>
  <si>
    <r>
      <rPr>
        <sz val="11"/>
        <color theme="0"/>
        <rFont val="Calibri"/>
        <family val="2"/>
      </rPr>
      <t>Vita</t>
    </r>
  </si>
  <si>
    <r>
      <rPr>
        <sz val="11"/>
        <color theme="0"/>
        <rFont val="Calibri"/>
        <family val="2"/>
      </rPr>
      <t>Costi ciclo vitale con funzionamento con CO2 neutro</t>
    </r>
  </si>
  <si>
    <r>
      <rPr>
        <sz val="11"/>
        <color theme="0"/>
        <rFont val="Calibri"/>
        <family val="2"/>
      </rPr>
      <t>Costi del ciclo vitale</t>
    </r>
  </si>
  <si>
    <r>
      <rPr>
        <sz val="11"/>
        <color theme="0"/>
        <rFont val="Calibri"/>
        <family val="2"/>
      </rPr>
      <t>Costi del ciclo vitale (Life Cycle Cost LCC)</t>
    </r>
  </si>
  <si>
    <r>
      <rPr>
        <sz val="11"/>
        <color theme="0"/>
        <rFont val="Calibri"/>
        <family val="2"/>
      </rPr>
      <t>Costi del ciclo vitale (liv. economico)</t>
    </r>
  </si>
  <si>
    <r>
      <rPr>
        <sz val="11"/>
        <color theme="0"/>
        <rFont val="Calibri"/>
        <family val="2"/>
      </rPr>
      <t>Tasso di perdita all'anno</t>
    </r>
  </si>
  <si>
    <r>
      <rPr>
        <sz val="11"/>
        <color theme="0"/>
        <rFont val="Calibri"/>
        <family val="2"/>
      </rPr>
      <t>Lugano</t>
    </r>
  </si>
  <si>
    <r>
      <rPr>
        <sz val="11"/>
        <color theme="0"/>
        <rFont val="Calibri"/>
        <family val="2"/>
      </rPr>
      <t>Inserimento manuale</t>
    </r>
  </si>
  <si>
    <r>
      <rPr>
        <sz val="11"/>
        <color theme="0"/>
        <rFont val="Calibri"/>
        <family val="2"/>
      </rPr>
      <t>Macchina</t>
    </r>
  </si>
  <si>
    <r>
      <rPr>
        <sz val="11"/>
        <color theme="0"/>
        <rFont val="Calibri"/>
        <family val="2"/>
      </rPr>
      <t>Materiale (arrotondato)</t>
    </r>
  </si>
  <si>
    <r>
      <rPr>
        <sz val="11"/>
        <color theme="0"/>
        <rFont val="Calibri"/>
        <family val="2"/>
      </rPr>
      <t>Temperatura esterna media (0-24h)</t>
    </r>
  </si>
  <si>
    <r>
      <rPr>
        <sz val="11"/>
        <color theme="0"/>
        <rFont val="Calibri"/>
        <family val="2"/>
      </rPr>
      <t>Temperature medie</t>
    </r>
  </si>
  <si>
    <r>
      <rPr>
        <sz val="11"/>
        <color theme="0"/>
        <rFont val="Calibri"/>
        <family val="2"/>
      </rPr>
      <t>Montaggio sul posto</t>
    </r>
  </si>
  <si>
    <r>
      <rPr>
        <sz val="11"/>
        <color theme="0"/>
        <rFont val="Calibri"/>
        <family val="2"/>
      </rPr>
      <t>Nome</t>
    </r>
  </si>
  <si>
    <r>
      <rPr>
        <sz val="11"/>
        <color theme="0"/>
        <rFont val="Calibri"/>
        <family val="2"/>
      </rPr>
      <t>Nome del prodotto elettrico</t>
    </r>
  </si>
  <si>
    <r>
      <rPr>
        <sz val="11"/>
        <color theme="0"/>
        <rFont val="Calibri"/>
        <family val="2"/>
      </rPr>
      <t>Naturmade Star Fotovoltaico</t>
    </r>
  </si>
  <si>
    <r>
      <rPr>
        <sz val="11"/>
        <color theme="0"/>
        <rFont val="Calibri"/>
        <family val="2"/>
      </rPr>
      <t>Naturmade Star Energia idraulica</t>
    </r>
  </si>
  <si>
    <r>
      <rPr>
        <sz val="11"/>
        <color theme="0"/>
        <rFont val="Calibri"/>
        <family val="2"/>
      </rPr>
      <t>Naturmade Star Energia eolica</t>
    </r>
  </si>
  <si>
    <r>
      <rPr>
        <sz val="11"/>
        <color theme="0"/>
        <rFont val="Calibri"/>
        <family val="2"/>
      </rPr>
      <t>No</t>
    </r>
  </si>
  <si>
    <r>
      <rPr>
        <sz val="11"/>
        <color theme="0"/>
        <rFont val="Calibri"/>
        <family val="2"/>
      </rPr>
      <t>Temperatura di utilizzo</t>
    </r>
  </si>
  <si>
    <r>
      <rPr>
        <sz val="11"/>
        <color theme="0"/>
        <rFont val="Calibri"/>
        <family val="2"/>
      </rPr>
      <t>Oggetto</t>
    </r>
  </si>
  <si>
    <r>
      <rPr>
        <sz val="11"/>
        <color theme="0"/>
        <rFont val="Calibri"/>
        <family val="2"/>
      </rPr>
      <t>P elettrica</t>
    </r>
  </si>
  <si>
    <r>
      <rPr>
        <sz val="11"/>
        <color theme="0"/>
        <rFont val="Calibri"/>
        <family val="2"/>
      </rPr>
      <t>Pe (corr.)</t>
    </r>
  </si>
  <si>
    <r>
      <rPr>
        <sz val="11"/>
        <color theme="0"/>
        <rFont val="Calibri"/>
        <family val="2"/>
      </rPr>
      <t>Preventivo-manutenzione e materiale</t>
    </r>
  </si>
  <si>
    <r>
      <rPr>
        <sz val="11"/>
        <color theme="0"/>
        <rFont val="Calibri"/>
        <family val="2"/>
      </rPr>
      <t>Preventivo-manutenzione senza materiale</t>
    </r>
  </si>
  <si>
    <r>
      <rPr>
        <sz val="11"/>
        <color theme="0"/>
        <rFont val="Calibri"/>
        <family val="2"/>
      </rPr>
      <t>Prezzo compensazione CO2</t>
    </r>
  </si>
  <si>
    <r>
      <rPr>
        <sz val="11"/>
        <color theme="0"/>
        <rFont val="Calibri"/>
        <family val="2"/>
      </rPr>
      <t>Trimestre</t>
    </r>
  </si>
  <si>
    <r>
      <rPr>
        <sz val="11"/>
        <color theme="0"/>
        <rFont val="Calibri"/>
        <family val="2"/>
      </rPr>
      <t>Verifica fonte</t>
    </r>
  </si>
  <si>
    <r>
      <rPr>
        <sz val="11"/>
        <color theme="0"/>
        <rFont val="Calibri"/>
        <family val="2"/>
      </rPr>
      <t>R1270 (propilene)</t>
    </r>
  </si>
  <si>
    <r>
      <rPr>
        <sz val="11"/>
        <color theme="0"/>
        <rFont val="Calibri"/>
        <family val="2"/>
      </rPr>
      <t>R290 (propano)</t>
    </r>
  </si>
  <si>
    <r>
      <rPr>
        <sz val="11"/>
        <color theme="0"/>
        <rFont val="Calibri"/>
        <family val="2"/>
      </rPr>
      <t>R717 (ammoniaca - NH3)</t>
    </r>
  </si>
  <si>
    <r>
      <rPr>
        <sz val="11"/>
        <color theme="0"/>
        <rFont val="Calibri"/>
        <family val="2"/>
      </rPr>
      <t>R744  (CO2)</t>
    </r>
  </si>
  <si>
    <r>
      <rPr>
        <sz val="11"/>
        <color theme="0"/>
        <rFont val="Calibri"/>
        <family val="2"/>
      </rPr>
      <t>Temperatura aria ambiente</t>
    </r>
  </si>
  <si>
    <r>
      <rPr>
        <sz val="11"/>
        <color theme="0"/>
        <rFont val="Calibri"/>
        <family val="2"/>
      </rPr>
      <t>Fattore di riciclo</t>
    </r>
  </si>
  <si>
    <r>
      <rPr>
        <sz val="11"/>
        <color theme="0"/>
        <rFont val="Calibri"/>
        <family val="2"/>
      </rPr>
      <t>Regolazione</t>
    </r>
  </si>
  <si>
    <r>
      <rPr>
        <sz val="11"/>
        <color theme="0"/>
        <rFont val="Calibri"/>
        <family val="2"/>
      </rPr>
      <t>Tipo di regolazione</t>
    </r>
  </si>
  <si>
    <r>
      <rPr>
        <sz val="11"/>
        <color theme="0"/>
        <rFont val="Calibri"/>
        <family val="2"/>
      </rPr>
      <t>Consumo misto svizzero</t>
    </r>
  </si>
  <si>
    <r>
      <rPr>
        <sz val="11"/>
        <color theme="0"/>
        <rFont val="Calibri"/>
        <family val="2"/>
      </rPr>
      <t>Chilometri che si possono percorrere con una vettura di cilindrata media (7.5litri/100 km) all'anno</t>
    </r>
  </si>
  <si>
    <r>
      <rPr>
        <sz val="11"/>
        <color theme="0"/>
        <rFont val="Calibri"/>
        <family val="2"/>
      </rPr>
      <t>Spese per la compensazione della CO2 all'anno</t>
    </r>
  </si>
  <si>
    <r>
      <rPr>
        <sz val="11"/>
        <color theme="0"/>
        <rFont val="Calibri"/>
        <family val="2"/>
      </rPr>
      <t>Numero di camion con ...</t>
    </r>
  </si>
  <si>
    <r>
      <rPr>
        <sz val="11"/>
        <color theme="0"/>
        <rFont val="Calibri"/>
        <family val="2"/>
      </rPr>
      <t>Estate</t>
    </r>
  </si>
  <si>
    <r>
      <rPr>
        <sz val="11"/>
        <color theme="0"/>
        <rFont val="Calibri"/>
        <family val="2"/>
      </rPr>
      <t>San Gallo</t>
    </r>
  </si>
  <si>
    <r>
      <rPr>
        <sz val="11"/>
        <color theme="0"/>
        <rFont val="Calibri"/>
        <family val="2"/>
      </rPr>
      <t>Profilo standard</t>
    </r>
  </si>
  <si>
    <r>
      <rPr>
        <sz val="11"/>
        <color theme="0"/>
        <rFont val="Calibri"/>
        <family val="2"/>
      </rPr>
      <t>Valori standard</t>
    </r>
  </si>
  <si>
    <r>
      <rPr>
        <sz val="11"/>
        <color theme="0"/>
        <rFont val="Calibri"/>
        <family val="2"/>
      </rPr>
      <t>Valori standard per il calcolo</t>
    </r>
  </si>
  <si>
    <r>
      <rPr>
        <sz val="11"/>
        <color theme="0"/>
        <rFont val="Calibri"/>
        <family val="2"/>
      </rPr>
      <t>Sede (il clima corrisponde circa a...)</t>
    </r>
  </si>
  <si>
    <r>
      <rPr>
        <sz val="11"/>
        <color theme="0"/>
        <rFont val="Calibri"/>
        <family val="2"/>
      </rPr>
      <t>Mix energetico</t>
    </r>
  </si>
  <si>
    <r>
      <rPr>
        <sz val="11"/>
        <color theme="0"/>
        <rFont val="Calibri"/>
        <family val="2"/>
      </rPr>
      <t>Prezzo elettricità</t>
    </r>
  </si>
  <si>
    <r>
      <rPr>
        <sz val="11"/>
        <color theme="0"/>
        <rFont val="Calibri"/>
        <family val="2"/>
      </rPr>
      <t>Prodotti elettrici</t>
    </r>
  </si>
  <si>
    <r>
      <rPr>
        <sz val="11"/>
        <color theme="0"/>
        <rFont val="Calibri"/>
        <family val="2"/>
      </rPr>
      <t>Consumo elettrico macchina</t>
    </r>
  </si>
  <si>
    <r>
      <rPr>
        <sz val="11"/>
        <color theme="0"/>
        <rFont val="Calibri"/>
        <family val="2"/>
      </rPr>
      <t>Consumo elettrico compressore</t>
    </r>
  </si>
  <si>
    <r>
      <rPr>
        <sz val="11"/>
        <color theme="0"/>
        <rFont val="Calibri"/>
        <family val="2"/>
      </rPr>
      <t>Ore per trimestre</t>
    </r>
  </si>
  <si>
    <r>
      <rPr>
        <sz val="11"/>
        <color theme="0"/>
        <rFont val="Calibri"/>
        <family val="2"/>
      </rPr>
      <t>Supermercato</t>
    </r>
  </si>
  <si>
    <r>
      <rPr>
        <sz val="11"/>
        <color theme="0"/>
        <rFont val="Calibri"/>
        <family val="2"/>
      </rPr>
      <t>Giorni per trimestre</t>
    </r>
  </si>
  <si>
    <r>
      <rPr>
        <sz val="11"/>
        <color theme="0"/>
        <rFont val="Calibri"/>
        <family val="2"/>
      </rPr>
      <t>Temperature medie diurne (dalle 5:40 alle17:40)</t>
    </r>
  </si>
  <si>
    <r>
      <rPr>
        <sz val="11"/>
        <color theme="0"/>
        <rFont val="Calibri"/>
        <family val="2"/>
      </rPr>
      <t>Autocisterna</t>
    </r>
  </si>
  <si>
    <r>
      <rPr>
        <sz val="11"/>
        <color theme="0"/>
        <rFont val="Calibri"/>
        <family val="2"/>
      </rPr>
      <t>«Bonus carico parziale»</t>
    </r>
  </si>
  <si>
    <r>
      <rPr>
        <sz val="11"/>
        <color theme="0"/>
        <rFont val="Calibri"/>
        <family val="2"/>
      </rPr>
      <t>Temperature</t>
    </r>
  </si>
  <si>
    <r>
      <rPr>
        <sz val="11"/>
        <color theme="0"/>
        <rFont val="Calibri"/>
        <family val="2"/>
      </rPr>
      <t>TEWI (Total Equivalent Warming Impact = effetto serra)</t>
    </r>
  </si>
  <si>
    <r>
      <rPr>
        <sz val="11"/>
        <color theme="0"/>
        <rFont val="Calibri"/>
        <family val="2"/>
      </rPr>
      <t>Strumento TEWI</t>
    </r>
  </si>
  <si>
    <r>
      <rPr>
        <sz val="11"/>
        <color theme="0"/>
        <rFont val="Calibri"/>
        <family val="2"/>
      </rPr>
      <t>Totale</t>
    </r>
  </si>
  <si>
    <r>
      <rPr>
        <sz val="11"/>
        <color theme="0"/>
        <rFont val="Calibri"/>
        <family val="2"/>
      </rPr>
      <t>Emissioni CO2 totali</t>
    </r>
  </si>
  <si>
    <r>
      <rPr>
        <sz val="11"/>
        <color theme="0"/>
        <rFont val="Calibri"/>
        <family val="2"/>
      </rPr>
      <t>Consumo totale di elettricità</t>
    </r>
  </si>
  <si>
    <r>
      <rPr>
        <sz val="11"/>
        <color theme="0"/>
        <rFont val="Calibri"/>
        <family val="2"/>
      </rPr>
      <t>Panoramica degli strumenti</t>
    </r>
  </si>
  <si>
    <r>
      <rPr>
        <sz val="11"/>
        <color theme="0"/>
        <rFont val="Calibri"/>
        <family val="2"/>
      </rPr>
      <t>inserire i valori sotto</t>
    </r>
  </si>
  <si>
    <r>
      <rPr>
        <sz val="11"/>
        <color theme="0"/>
        <rFont val="Calibri"/>
        <family val="2"/>
      </rPr>
      <t>Spese di manutenzione</t>
    </r>
  </si>
  <si>
    <r>
      <rPr>
        <sz val="11"/>
        <color theme="0"/>
        <rFont val="Calibri"/>
        <family val="2"/>
      </rPr>
      <t>Variante A</t>
    </r>
  </si>
  <si>
    <r>
      <rPr>
        <sz val="11"/>
        <color theme="0"/>
        <rFont val="Calibri"/>
        <family val="2"/>
      </rPr>
      <t>Variante B</t>
    </r>
  </si>
  <si>
    <r>
      <rPr>
        <sz val="11"/>
        <color theme="0"/>
        <rFont val="Calibri"/>
        <family val="2"/>
      </rPr>
      <t>Ventilatori gruppo freddo</t>
    </r>
  </si>
  <si>
    <r>
      <rPr>
        <sz val="11"/>
        <color theme="0"/>
        <rFont val="Calibri"/>
        <family val="2"/>
      </rPr>
      <t>Ventilatori raffreddato /condensatore</t>
    </r>
  </si>
  <si>
    <r>
      <rPr>
        <sz val="11"/>
        <color theme="0"/>
        <rFont val="Calibri"/>
        <family val="2"/>
      </rPr>
      <t>Miglioramenti COP complessivo</t>
    </r>
  </si>
  <si>
    <r>
      <rPr>
        <sz val="11"/>
        <color theme="0"/>
        <rFont val="Calibri"/>
        <family val="2"/>
      </rPr>
      <t>Temperatura d'evaporazione</t>
    </r>
  </si>
  <si>
    <r>
      <rPr>
        <sz val="11"/>
        <color theme="0"/>
        <rFont val="Calibri"/>
        <family val="2"/>
      </rPr>
      <t>Compressore</t>
    </r>
  </si>
  <si>
    <r>
      <rPr>
        <sz val="11"/>
        <color theme="0"/>
        <rFont val="Calibri"/>
        <family val="2"/>
      </rPr>
      <t>Compressore 1</t>
    </r>
  </si>
  <si>
    <r>
      <rPr>
        <sz val="11"/>
        <color theme="0"/>
        <rFont val="Calibri"/>
        <family val="2"/>
      </rPr>
      <t>Compressore 2</t>
    </r>
  </si>
  <si>
    <r>
      <rPr>
        <sz val="11"/>
        <color theme="0"/>
        <rFont val="Calibri"/>
        <family val="2"/>
      </rPr>
      <t>Compressore 3</t>
    </r>
  </si>
  <si>
    <r>
      <rPr>
        <sz val="11"/>
        <color theme="0"/>
        <rFont val="Calibri"/>
        <family val="2"/>
      </rPr>
      <t>Compressore 4</t>
    </r>
  </si>
  <si>
    <r>
      <rPr>
        <sz val="11"/>
        <color theme="0"/>
        <rFont val="Calibri"/>
        <family val="2"/>
      </rPr>
      <t>Compressore con potenza massima</t>
    </r>
  </si>
  <si>
    <r>
      <rPr>
        <sz val="11"/>
        <color theme="0"/>
        <rFont val="Calibri"/>
        <family val="2"/>
      </rPr>
      <t>Spegnimento livello compressore</t>
    </r>
  </si>
  <si>
    <r>
      <rPr>
        <sz val="11"/>
        <color theme="0"/>
        <rFont val="Calibri"/>
        <family val="2"/>
      </rPr>
      <t>Temperatura consensazione</t>
    </r>
  </si>
  <si>
    <r>
      <rPr>
        <sz val="11"/>
        <color theme="0"/>
        <rFont val="Calibri"/>
        <family val="2"/>
      </rPr>
      <t>Versione: 2016/V1</t>
    </r>
  </si>
  <si>
    <r>
      <rPr>
        <sz val="11"/>
        <color theme="0"/>
        <rFont val="Calibri"/>
        <family val="2"/>
      </rPr>
      <t>Ore d'esercizio a pieno regime</t>
    </r>
  </si>
  <si>
    <r>
      <rPr>
        <sz val="11"/>
        <color theme="0"/>
        <rFont val="Calibri"/>
        <family val="2"/>
      </rPr>
      <t>Ore d'esercizio a pieno regime (effettive)</t>
    </r>
  </si>
  <si>
    <r>
      <rPr>
        <sz val="11"/>
        <color theme="0"/>
        <rFont val="Calibri"/>
        <family val="2"/>
      </rPr>
      <t>Ore d'esercizio a pieno regime della macchina</t>
    </r>
  </si>
  <si>
    <r>
      <rPr>
        <sz val="11"/>
        <color theme="0"/>
        <rFont val="Calibri"/>
        <family val="2"/>
      </rPr>
      <t>Ore d'esercizio a pieno regime per trimestre</t>
    </r>
  </si>
  <si>
    <r>
      <rPr>
        <sz val="11"/>
        <color theme="0"/>
        <rFont val="Calibri"/>
        <family val="2"/>
      </rPr>
      <t>Ore d'esercizio a pieno regime al giorno</t>
    </r>
  </si>
  <si>
    <r>
      <rPr>
        <sz val="11"/>
        <color theme="0"/>
        <rFont val="Calibri"/>
        <family val="2"/>
      </rPr>
      <t>Servizio completo</t>
    </r>
  </si>
  <si>
    <r>
      <rPr>
        <sz val="11"/>
        <color theme="0"/>
        <rFont val="Calibri"/>
        <family val="2"/>
      </rPr>
      <t>Servizio completo (materiali inclusi)</t>
    </r>
  </si>
  <si>
    <r>
      <rPr>
        <sz val="11"/>
        <color theme="0"/>
        <rFont val="Calibri"/>
        <family val="2"/>
      </rPr>
      <t>Pompe circolazione caldo</t>
    </r>
  </si>
  <si>
    <r>
      <rPr>
        <sz val="11"/>
        <color theme="0"/>
        <rFont val="Calibri"/>
        <family val="2"/>
      </rPr>
      <t>Cosa si vuole calcolare?</t>
    </r>
  </si>
  <si>
    <r>
      <rPr>
        <sz val="11"/>
        <color theme="0"/>
        <rFont val="Calibri"/>
        <family val="2"/>
      </rPr>
      <t>Pronto di fabbrica</t>
    </r>
  </si>
  <si>
    <r>
      <rPr>
        <sz val="11"/>
        <color theme="0"/>
        <rFont val="Calibri"/>
        <family val="2"/>
      </rPr>
      <t>Pronto di fabbrica, ermetico</t>
    </r>
  </si>
  <si>
    <r>
      <rPr>
        <sz val="11"/>
        <color theme="0"/>
        <rFont val="Calibri"/>
        <family val="2"/>
      </rPr>
      <t>Inserire valore</t>
    </r>
  </si>
  <si>
    <r>
      <rPr>
        <sz val="11"/>
        <color theme="0"/>
        <rFont val="Calibri"/>
        <family val="2"/>
      </rPr>
      <t>Inverno</t>
    </r>
  </si>
  <si>
    <r>
      <rPr>
        <sz val="11"/>
        <color theme="0"/>
        <rFont val="Calibri"/>
        <family val="2"/>
      </rPr>
      <t>Economicità</t>
    </r>
  </si>
  <si>
    <r>
      <rPr>
        <sz val="11"/>
        <color theme="0"/>
        <rFont val="Calibri"/>
        <family val="2"/>
      </rPr>
      <t>Volete stimare il fabbisogno di elettricità?</t>
    </r>
  </si>
  <si>
    <r>
      <rPr>
        <sz val="11"/>
        <color theme="0"/>
        <rFont val="Calibri"/>
        <family val="2"/>
      </rPr>
      <t>Volete confrontare due varianti?</t>
    </r>
  </si>
  <si>
    <r>
      <rPr>
        <sz val="11"/>
        <color theme="0"/>
        <rFont val="Calibri"/>
        <family val="2"/>
      </rPr>
      <t>Assegnazione della perdita al modello</t>
    </r>
  </si>
  <si>
    <r>
      <rPr>
        <sz val="11"/>
        <color theme="0"/>
        <rFont val="Calibri"/>
        <family val="2"/>
      </rPr>
      <t>Zurigo</t>
    </r>
  </si>
  <si>
    <r>
      <rPr>
        <sz val="11"/>
        <color theme="0"/>
        <rFont val="Calibri"/>
        <family val="2"/>
      </rPr>
      <t>Riepilogo</t>
    </r>
  </si>
  <si>
    <r>
      <rPr>
        <sz val="11"/>
        <color theme="0"/>
        <rFont val="Calibri"/>
        <family val="2"/>
      </rPr>
      <t>Composizione dei risultati</t>
    </r>
  </si>
  <si>
    <r>
      <rPr>
        <sz val="11"/>
        <color theme="0"/>
        <rFont val="Calibri"/>
        <family val="2"/>
      </rPr>
      <t>Camion</t>
    </r>
  </si>
  <si>
    <r>
      <rPr>
        <sz val="11"/>
        <color theme="0"/>
        <rFont val="Calibri"/>
        <family val="2"/>
      </rPr>
      <t xml:space="preserve">Il progettista ha calcolato meno ore di esercizio a pieno regime rispetto ai valori standard previsti per questo uso. Quindi il consumo energetico stimato è inferiore. </t>
    </r>
  </si>
  <si>
    <r>
      <rPr>
        <sz val="11"/>
        <color theme="0"/>
        <rFont val="Calibri"/>
        <family val="2"/>
      </rPr>
      <t>Il progettista ha calcolato molte meno ore di esercizio a pieno regime rispetto ai valori standard previsti per questo uso. Quindi il consumo energetico stimato è inferiore.</t>
    </r>
  </si>
  <si>
    <r>
      <rPr>
        <sz val="11"/>
        <color theme="0"/>
        <rFont val="Calibri"/>
        <family val="2"/>
      </rPr>
      <t>Chiarire con il progettista perché ha scelto queste ore a pieno regime.</t>
    </r>
  </si>
  <si>
    <r>
      <rPr>
        <sz val="11"/>
        <color theme="0"/>
        <rFont val="Calibri"/>
        <family val="2"/>
      </rPr>
      <t>al calcolo TEWI (3)</t>
    </r>
  </si>
  <si>
    <r>
      <rPr>
        <sz val="11"/>
        <color theme="0"/>
        <rFont val="Calibri"/>
        <family val="2"/>
      </rPr>
      <t>indietro alla panoramica (1)</t>
    </r>
  </si>
  <si>
    <r>
      <rPr>
        <sz val="11"/>
        <color theme="0"/>
        <rFont val="Calibri"/>
        <family val="2"/>
      </rPr>
      <t>al calcolo dell'economicità (4)</t>
    </r>
  </si>
  <si>
    <r>
      <rPr>
        <sz val="11"/>
        <color theme="0"/>
        <rFont val="Calibri"/>
        <family val="2"/>
      </rPr>
      <t>ai risultati (5)</t>
    </r>
  </si>
  <si>
    <r>
      <rPr>
        <sz val="11"/>
        <color theme="0"/>
        <rFont val="Calibri"/>
        <family val="2"/>
      </rPr>
      <t>indietro alle specifiche dell'impianto (1)</t>
    </r>
  </si>
  <si>
    <r>
      <rPr>
        <sz val="11"/>
        <color theme="0"/>
        <rFont val="Calibri"/>
        <family val="2"/>
      </rPr>
      <t xml:space="preserve">Numero </t>
    </r>
  </si>
  <si>
    <r>
      <rPr>
        <sz val="11"/>
        <color theme="0"/>
        <rFont val="Calibri"/>
        <family val="2"/>
      </rPr>
      <t>Inserimento potenza per la refrigerazione dell'impianto di refrigerazione. (installazione)</t>
    </r>
  </si>
  <si>
    <r>
      <rPr>
        <sz val="11"/>
        <color theme="0"/>
        <rFont val="Calibri"/>
        <family val="2"/>
      </rPr>
      <t>La temperatura ambiente corrisponde alla temperatura dell'aria nel centro della stanza e a 1 m dal pavimento.</t>
    </r>
  </si>
  <si>
    <r>
      <rPr>
        <sz val="11"/>
        <color theme="0"/>
        <rFont val="Calibri"/>
        <family val="2"/>
      </rPr>
      <t>Selezionare dalla lista un luogo dove c'è un clima simile. (L'oggetto si trova a Bienne: la migliore località da scegliere è Berna)</t>
    </r>
  </si>
  <si>
    <r>
      <rPr>
        <sz val="11"/>
        <color theme="0"/>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</si>
  <si>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0"/>
        <rFont val="Calibri"/>
        <family val="2"/>
      </rPr>
      <t>La temperatura dell'acqua fredda è la temperatura di mandata (temperatura di uscita dell'acqua fredda dalla macchina frigorifera) sulla parte fredda.</t>
    </r>
  </si>
  <si>
    <r>
      <rPr>
        <sz val="11"/>
        <color theme="0"/>
        <rFont val="Calibri"/>
        <family val="2"/>
      </rPr>
      <t>La temperatura media di raffreddamento di ritorno è la temperatura d'ingresso del refrigerante di ritorno nella parte calda della macchina frigorifera.</t>
    </r>
  </si>
  <si>
    <r>
      <rPr>
        <sz val="11"/>
        <color theme="0"/>
        <rFont val="Calibri"/>
        <family val="2"/>
      </rPr>
      <t>Vengono inseriti soli i compressori effettivamente necessari. Qui non sono calcolati eventuali compressori (di riserva) per una maggiore sicurezza d'esercizio.</t>
    </r>
  </si>
  <si>
    <r>
      <rPr>
        <sz val="11"/>
        <color theme="0"/>
        <rFont val="Calibri"/>
        <family val="2"/>
      </rPr>
      <t>In presenza di aggregati ausiliari supplementari nella «parte calda» è possibile inserirli qui.</t>
    </r>
  </si>
  <si>
    <r>
      <rPr>
        <sz val="11"/>
        <color theme="0"/>
        <rFont val="Calibri"/>
        <family val="2"/>
      </rPr>
      <t>In presenza di aggregati ausiliari supplementari nella «parte fredda» è possibile inserirli qui.</t>
    </r>
  </si>
  <si>
    <r>
      <rPr>
        <sz val="11"/>
        <color theme="0"/>
        <rFont val="Calibri"/>
        <family val="2"/>
      </rPr>
      <t>La temperatura esterna media della stagione è un indicatore per la determinazione dell'effettiva modalità di esercizio dell'impianto di refrigerazione (temperatura di condensazione).</t>
    </r>
  </si>
  <si>
    <r>
      <rPr>
        <sz val="11"/>
        <color theme="0"/>
        <rFont val="Calibri"/>
        <family val="2"/>
      </rPr>
      <t>Qui il progettista può inserire la temperatura media.</t>
    </r>
  </si>
  <si>
    <r>
      <rPr>
        <sz val="11"/>
        <color theme="0"/>
        <rFont val="Calibri"/>
        <family val="2"/>
      </rPr>
      <t>Inserimento del tempo d'esercizio della macchina calcolato dal progettista.  (Si possono far confluire le esperienze o la situazione effettiva).</t>
    </r>
  </si>
  <si>
    <r>
      <rPr>
        <sz val="11"/>
        <color theme="0"/>
        <rFont val="Calibri"/>
        <family val="2"/>
      </rPr>
      <t xml:space="preserve">Qui viene indicata la differenza percentuale tra i «tempi del progettista» e i «tempi standard». </t>
    </r>
  </si>
  <si>
    <r>
      <rPr>
        <sz val="11"/>
        <color theme="0"/>
        <rFont val="Calibri"/>
        <family val="2"/>
      </rPr>
      <t>Inserimento della potenza (installazione) per la refrigerazione dell'edificio.</t>
    </r>
  </si>
  <si>
    <r>
      <rPr>
        <sz val="11"/>
        <color theme="0"/>
        <rFont val="Calibri"/>
        <family val="2"/>
      </rPr>
      <t>La sede contribuisce alla determinazione dei dati d'esercizio (temperatura esterna).</t>
    </r>
  </si>
  <si>
    <r>
      <rPr>
        <sz val="11"/>
        <color theme="0"/>
        <rFont val="Calibri"/>
        <family val="2"/>
      </rPr>
      <t>La temperatura media dell'acqua di raffreddamento di ritorno è la temperatura d'ingresso del refrigerante di ritorno nella parte calda della macchina frigorifera.</t>
    </r>
  </si>
  <si>
    <r>
      <rPr>
        <sz val="11"/>
        <color theme="0"/>
        <rFont val="Calibri"/>
        <family val="2"/>
      </rPr>
      <t>In presenza di aggregati ausiliari supplementari nella «parte caldo» è possibile inserirli qui.</t>
    </r>
  </si>
  <si>
    <r>
      <rPr>
        <sz val="11"/>
        <color theme="0"/>
        <rFont val="Calibri"/>
        <family val="2"/>
      </rPr>
      <t>In presenza di aggregati ausiliari supplementari nella «parte freddo» non ancora calcolati nell'ESEER, è possibile inserirli qui.</t>
    </r>
  </si>
  <si>
    <r>
      <rPr>
        <sz val="11"/>
        <color theme="0"/>
        <rFont val="Calibri"/>
        <family val="2"/>
      </rPr>
      <t>Inserimento del tempo d'esercizio della macchina calcolato dal progettista. (Si possono far confluire le esperienze o la situazione effettiva).</t>
    </r>
  </si>
  <si>
    <r>
      <rPr>
        <sz val="11"/>
        <color theme="0"/>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</si>
  <si>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0"/>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</si>
  <si>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0"/>
        <rFont val="Calibri"/>
        <family val="2"/>
      </rPr>
      <t xml:space="preserve">In pieno servizio sono inclusi tutti gli interventi e tutto il materiale. </t>
    </r>
  </si>
  <si>
    <r>
      <rPr>
        <sz val="11"/>
        <color theme="0"/>
        <rFont val="Calibri"/>
        <family val="2"/>
      </rPr>
      <t>Si tiene conto della variante più cara delle tre (manutenzione standard o preventivata o pieno servizio).</t>
    </r>
  </si>
  <si>
    <t>Version 5.6 (2021): gültig bis 15. August 2021</t>
  </si>
  <si>
    <t>Version 5.5 (2020): valable jusqu'au 15 août, 2021</t>
  </si>
  <si>
    <t>Versione 5.5 (2020): valida fino al 15 agosto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</si>
</sst>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s>
  <fonts count="110">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b/>
      <sz val="8"/>
      <color theme="0" tint="-0.499984740745262"/>
      <name val="Arial"/>
      <family val="2"/>
    </font>
    <font>
      <sz val="9"/>
      <color rgb="FFC00000"/>
      <name val="Arial"/>
      <family val="2"/>
    </font>
    <font>
      <sz val="12"/>
      <color theme="0"/>
      <name val="Arial"/>
      <family val="2"/>
    </font>
    <font>
      <sz val="10"/>
      <color theme="0"/>
      <name val="Wingdings 3"/>
      <charset val="2"/>
    </font>
    <font>
      <sz val="20"/>
      <color theme="0"/>
      <name val="Arial"/>
      <family val="2"/>
    </font>
    <font>
      <sz val="18"/>
      <color theme="0"/>
      <name val="Arial"/>
      <family val="2"/>
    </font>
    <font>
      <sz val="11"/>
      <color theme="0"/>
      <name val="Calibri"/>
      <family val="2"/>
    </font>
  </fonts>
  <fills count="23">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39997558519241921"/>
        <bgColor indexed="64"/>
      </patternFill>
    </fill>
  </fills>
  <borders count="64">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right/>
      <top/>
      <bottom style="thick">
        <color rgb="FFC00000"/>
      </bottom>
      <diagonal/>
    </border>
    <border>
      <left style="thin">
        <color rgb="FFFF6600"/>
      </left>
      <right/>
      <top/>
      <bottom/>
      <diagonal/>
    </border>
    <border>
      <left/>
      <right/>
      <top style="thick">
        <color rgb="FFC00000"/>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846">
    <xf numFmtId="0" fontId="0" fillId="0" borderId="0" xfId="0"/>
    <xf numFmtId="0" fontId="22" fillId="0" borderId="0" xfId="0" applyFont="1" applyAlignment="1" applyProtection="1">
      <alignment vertical="top" wrapText="1"/>
    </xf>
    <xf numFmtId="0" fontId="22" fillId="0" borderId="0" xfId="0" applyFont="1" applyAlignment="1" applyProtection="1">
      <alignment horizontal="center" vertical="top" wrapText="1"/>
    </xf>
    <xf numFmtId="0" fontId="22" fillId="0" borderId="0" xfId="0" applyFont="1" applyAlignment="1" applyProtection="1">
      <alignment horizontal="right" vertical="top" wrapText="1"/>
    </xf>
    <xf numFmtId="0" fontId="22" fillId="0" borderId="0" xfId="0" applyFont="1" applyBorder="1" applyAlignment="1" applyProtection="1">
      <alignment horizontal="right" vertical="top" wrapText="1"/>
    </xf>
    <xf numFmtId="0" fontId="22" fillId="0" borderId="0" xfId="0" applyFont="1" applyAlignment="1" applyProtection="1">
      <alignment horizontal="left" vertical="top" wrapText="1"/>
    </xf>
    <xf numFmtId="0" fontId="6" fillId="0" borderId="0" xfId="0" applyFont="1" applyAlignment="1" applyProtection="1">
      <alignment horizontal="right" vertical="top"/>
    </xf>
    <xf numFmtId="0" fontId="6" fillId="0" borderId="0" xfId="0" applyFont="1" applyAlignment="1" applyProtection="1">
      <alignment vertical="top"/>
    </xf>
    <xf numFmtId="0" fontId="23" fillId="0" borderId="0" xfId="0" applyFont="1" applyAlignment="1" applyProtection="1">
      <alignment vertical="top"/>
    </xf>
    <xf numFmtId="0" fontId="23" fillId="0" borderId="0" xfId="0" applyFont="1" applyAlignment="1" applyProtection="1">
      <alignment vertical="top" wrapText="1"/>
    </xf>
    <xf numFmtId="0" fontId="6" fillId="0" borderId="0" xfId="0" applyFont="1" applyAlignment="1" applyProtection="1">
      <alignment horizontal="left" vertical="top"/>
    </xf>
    <xf numFmtId="0" fontId="6" fillId="3" borderId="0" xfId="0" applyFont="1" applyFill="1" applyAlignment="1" applyProtection="1">
      <alignment vertical="top"/>
    </xf>
    <xf numFmtId="0" fontId="6" fillId="0" borderId="0" xfId="0" applyFont="1" applyAlignment="1" applyProtection="1">
      <alignment horizontal="center" vertical="top"/>
    </xf>
    <xf numFmtId="167" fontId="22" fillId="0" borderId="0" xfId="0" applyNumberFormat="1" applyFont="1" applyBorder="1" applyAlignment="1" applyProtection="1">
      <alignment horizontal="right" vertical="top" wrapText="1"/>
    </xf>
    <xf numFmtId="167" fontId="6" fillId="0" borderId="0" xfId="0" applyNumberFormat="1" applyFont="1" applyAlignment="1" applyProtection="1">
      <alignment horizontal="right" vertical="top"/>
    </xf>
    <xf numFmtId="0" fontId="6" fillId="3" borderId="0" xfId="0" applyFont="1" applyFill="1" applyAlignment="1" applyProtection="1">
      <alignment vertical="center"/>
    </xf>
    <xf numFmtId="0" fontId="6" fillId="0" borderId="7" xfId="0" applyFont="1" applyBorder="1" applyAlignment="1" applyProtection="1">
      <alignment vertical="center"/>
    </xf>
    <xf numFmtId="0" fontId="23" fillId="0" borderId="0" xfId="0" applyFont="1" applyAlignment="1" applyProtection="1">
      <alignment vertical="center"/>
    </xf>
    <xf numFmtId="0" fontId="6" fillId="0" borderId="0" xfId="0" applyFont="1" applyBorder="1" applyAlignment="1" applyProtection="1">
      <alignment vertical="center"/>
    </xf>
    <xf numFmtId="0" fontId="33" fillId="8" borderId="0" xfId="0" applyFont="1" applyFill="1" applyAlignment="1" applyProtection="1">
      <alignment horizontal="left" vertical="top"/>
    </xf>
    <xf numFmtId="0" fontId="6" fillId="0" borderId="5" xfId="0" applyFont="1" applyBorder="1" applyAlignment="1" applyProtection="1">
      <alignment vertical="top"/>
    </xf>
    <xf numFmtId="0" fontId="6" fillId="0" borderId="5" xfId="0" applyFont="1" applyBorder="1" applyAlignment="1" applyProtection="1">
      <alignment horizontal="left" vertical="top"/>
    </xf>
    <xf numFmtId="0" fontId="6" fillId="0" borderId="30" xfId="0" applyFont="1" applyBorder="1" applyAlignment="1" applyProtection="1">
      <alignment vertical="top"/>
    </xf>
    <xf numFmtId="0" fontId="6" fillId="0" borderId="30" xfId="0" applyFont="1" applyBorder="1" applyAlignment="1" applyProtection="1">
      <alignment horizontal="left" vertical="top"/>
    </xf>
    <xf numFmtId="0" fontId="6" fillId="0" borderId="30" xfId="0" applyFont="1" applyBorder="1" applyAlignment="1" applyProtection="1">
      <alignment horizontal="center" vertical="top"/>
    </xf>
    <xf numFmtId="0" fontId="6" fillId="0" borderId="0" xfId="0" applyFont="1" applyAlignment="1" applyProtection="1">
      <alignment horizontal="right" vertical="center"/>
    </xf>
    <xf numFmtId="0" fontId="6" fillId="0" borderId="31" xfId="0" applyFont="1" applyBorder="1" applyAlignment="1" applyProtection="1">
      <alignment vertical="center"/>
    </xf>
    <xf numFmtId="0" fontId="6" fillId="3" borderId="0" xfId="0" applyFont="1" applyFill="1" applyAlignment="1" applyProtection="1">
      <alignment horizontal="right" vertical="center"/>
    </xf>
    <xf numFmtId="0" fontId="0" fillId="0" borderId="0" xfId="0" applyAlignment="1" applyProtection="1">
      <alignment vertical="center"/>
    </xf>
    <xf numFmtId="0" fontId="4" fillId="0" borderId="0" xfId="0" applyFont="1" applyAlignment="1" applyProtection="1">
      <alignment horizontal="right" vertical="center"/>
    </xf>
    <xf numFmtId="0" fontId="2" fillId="0" borderId="0" xfId="0" applyFont="1" applyProtection="1"/>
    <xf numFmtId="0" fontId="0" fillId="0" borderId="0" xfId="0" applyProtection="1"/>
    <xf numFmtId="0" fontId="38" fillId="0" borderId="0" xfId="0" applyFont="1" applyProtection="1"/>
    <xf numFmtId="0" fontId="38" fillId="0" borderId="0" xfId="0" applyFont="1" applyAlignment="1" applyProtection="1">
      <alignment vertical="center"/>
    </xf>
    <xf numFmtId="0" fontId="16" fillId="0" borderId="0" xfId="0" applyFont="1" applyProtection="1"/>
    <xf numFmtId="0" fontId="2" fillId="0" borderId="1" xfId="0" applyFont="1" applyBorder="1" applyProtection="1"/>
    <xf numFmtId="0" fontId="0" fillId="0" borderId="1" xfId="0" applyBorder="1" applyProtection="1"/>
    <xf numFmtId="0" fontId="41" fillId="0" borderId="0" xfId="0" applyFont="1" applyProtection="1"/>
    <xf numFmtId="0" fontId="42" fillId="0" borderId="0" xfId="0" applyFont="1" applyProtection="1"/>
    <xf numFmtId="0" fontId="42" fillId="0" borderId="0" xfId="0" applyFont="1" applyAlignment="1" applyProtection="1"/>
    <xf numFmtId="0" fontId="41" fillId="0" borderId="1" xfId="0" applyFont="1" applyBorder="1" applyProtection="1"/>
    <xf numFmtId="0" fontId="41" fillId="0" borderId="1" xfId="0" applyFont="1" applyBorder="1" applyAlignment="1" applyProtection="1">
      <alignment horizontal="left"/>
    </xf>
    <xf numFmtId="14" fontId="41" fillId="0" borderId="1" xfId="0" applyNumberFormat="1" applyFont="1" applyBorder="1" applyAlignment="1" applyProtection="1">
      <alignment horizontal="left"/>
    </xf>
    <xf numFmtId="0" fontId="0" fillId="0" borderId="39" xfId="0" applyBorder="1" applyProtection="1"/>
    <xf numFmtId="0" fontId="2" fillId="0" borderId="40" xfId="0" applyFont="1" applyBorder="1" applyProtection="1"/>
    <xf numFmtId="0" fontId="0" fillId="0" borderId="40" xfId="0" applyBorder="1" applyProtection="1"/>
    <xf numFmtId="0" fontId="0" fillId="0" borderId="41" xfId="0" applyBorder="1" applyProtection="1"/>
    <xf numFmtId="0" fontId="0" fillId="0" borderId="42" xfId="0" applyBorder="1" applyProtection="1"/>
    <xf numFmtId="0" fontId="36" fillId="0" borderId="35" xfId="0" applyFont="1" applyBorder="1" applyAlignment="1" applyProtection="1">
      <alignment vertical="center"/>
    </xf>
    <xf numFmtId="0" fontId="8" fillId="0" borderId="35" xfId="0" applyFont="1" applyBorder="1" applyAlignment="1" applyProtection="1">
      <alignment vertical="center"/>
    </xf>
    <xf numFmtId="0" fontId="0" fillId="0" borderId="43" xfId="0" applyBorder="1" applyProtection="1"/>
    <xf numFmtId="0" fontId="2" fillId="0" borderId="0" xfId="0" applyFont="1" applyBorder="1" applyProtection="1"/>
    <xf numFmtId="0" fontId="0" fillId="0" borderId="0" xfId="0" applyBorder="1" applyProtection="1"/>
    <xf numFmtId="0" fontId="0" fillId="0" borderId="42" xfId="0" applyBorder="1" applyAlignment="1" applyProtection="1">
      <alignment vertical="center"/>
    </xf>
    <xf numFmtId="0" fontId="2" fillId="0" borderId="0" xfId="0" applyFont="1" applyBorder="1" applyAlignment="1" applyProtection="1">
      <alignment vertical="center"/>
    </xf>
    <xf numFmtId="0" fontId="0" fillId="0" borderId="0" xfId="0" applyBorder="1" applyAlignment="1" applyProtection="1">
      <alignment vertical="center"/>
    </xf>
    <xf numFmtId="0" fontId="0" fillId="0" borderId="43" xfId="0" applyBorder="1" applyAlignment="1" applyProtection="1">
      <alignment vertical="center"/>
    </xf>
    <xf numFmtId="0" fontId="0" fillId="0" borderId="44" xfId="0" applyBorder="1" applyProtection="1"/>
    <xf numFmtId="0" fontId="2" fillId="0" borderId="35" xfId="0" applyFont="1" applyBorder="1" applyProtection="1"/>
    <xf numFmtId="0" fontId="0" fillId="0" borderId="35" xfId="0" applyBorder="1" applyProtection="1"/>
    <xf numFmtId="0" fontId="0" fillId="0" borderId="45" xfId="0" applyBorder="1" applyProtection="1"/>
    <xf numFmtId="0" fontId="0" fillId="0" borderId="0" xfId="0" applyFont="1" applyBorder="1" applyAlignment="1" applyProtection="1">
      <alignment vertical="center"/>
    </xf>
    <xf numFmtId="0" fontId="0"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0" fillId="0" borderId="0" xfId="0" applyFont="1" applyBorder="1" applyProtection="1"/>
    <xf numFmtId="0" fontId="0" fillId="0" borderId="42" xfId="0" applyBorder="1" applyAlignment="1" applyProtection="1">
      <alignment horizontal="right" vertical="center"/>
    </xf>
    <xf numFmtId="0" fontId="4" fillId="0" borderId="0" xfId="0" applyFont="1" applyBorder="1" applyAlignment="1" applyProtection="1">
      <alignment horizontal="right" vertical="center"/>
    </xf>
    <xf numFmtId="0" fontId="0" fillId="0" borderId="0" xfId="0" applyFont="1" applyBorder="1" applyAlignment="1" applyProtection="1">
      <alignment horizontal="right" vertical="center"/>
    </xf>
    <xf numFmtId="0" fontId="0" fillId="0" borderId="0" xfId="0" applyAlignment="1" applyProtection="1">
      <alignment horizontal="right" vertical="center"/>
    </xf>
    <xf numFmtId="0" fontId="43" fillId="0" borderId="0" xfId="0" applyFont="1" applyBorder="1" applyAlignment="1" applyProtection="1">
      <alignment vertical="center"/>
    </xf>
    <xf numFmtId="0" fontId="43" fillId="0" borderId="0" xfId="2" applyFont="1" applyBorder="1" applyAlignment="1" applyProtection="1">
      <alignment vertical="center"/>
    </xf>
    <xf numFmtId="0" fontId="29" fillId="0" borderId="0" xfId="0" applyFont="1" applyBorder="1" applyProtection="1"/>
    <xf numFmtId="0" fontId="11" fillId="0" borderId="0" xfId="0" applyFont="1" applyProtection="1"/>
    <xf numFmtId="0" fontId="3" fillId="2" borderId="0" xfId="0" applyFont="1" applyFill="1" applyProtection="1"/>
    <xf numFmtId="0" fontId="0" fillId="2" borderId="0" xfId="0" applyFill="1" applyProtection="1"/>
    <xf numFmtId="0" fontId="0" fillId="2" borderId="0" xfId="0" applyFill="1" applyAlignment="1" applyProtection="1"/>
    <xf numFmtId="0" fontId="14" fillId="2" borderId="0" xfId="0" applyFont="1" applyFill="1" applyProtection="1"/>
    <xf numFmtId="0" fontId="0" fillId="0" borderId="1" xfId="0" applyBorder="1" applyAlignment="1" applyProtection="1"/>
    <xf numFmtId="0" fontId="14" fillId="0" borderId="1" xfId="0" applyFont="1" applyBorder="1" applyProtection="1"/>
    <xf numFmtId="0" fontId="0" fillId="0" borderId="33" xfId="0" applyFill="1" applyBorder="1" applyProtection="1"/>
    <xf numFmtId="0" fontId="0" fillId="0" borderId="32" xfId="0" applyFill="1" applyBorder="1" applyProtection="1"/>
    <xf numFmtId="0" fontId="0" fillId="0" borderId="34" xfId="0" applyFill="1" applyBorder="1" applyProtection="1"/>
    <xf numFmtId="0" fontId="0" fillId="0" borderId="5" xfId="0" applyBorder="1" applyProtection="1"/>
    <xf numFmtId="0" fontId="0" fillId="0" borderId="5" xfId="0" applyBorder="1" applyAlignment="1" applyProtection="1"/>
    <xf numFmtId="0" fontId="14" fillId="0" borderId="5" xfId="0" applyFont="1" applyBorder="1" applyProtection="1"/>
    <xf numFmtId="0" fontId="0" fillId="4" borderId="1" xfId="0" applyFill="1" applyBorder="1" applyProtection="1"/>
    <xf numFmtId="0" fontId="0" fillId="0" borderId="0" xfId="0" applyFill="1" applyBorder="1" applyProtection="1"/>
    <xf numFmtId="0" fontId="0" fillId="0" borderId="0" xfId="0" applyFill="1" applyProtection="1"/>
    <xf numFmtId="0" fontId="0" fillId="0" borderId="0" xfId="0" applyFill="1" applyBorder="1" applyAlignment="1" applyProtection="1"/>
    <xf numFmtId="0" fontId="14" fillId="0" borderId="0" xfId="0" applyFont="1" applyFill="1" applyBorder="1" applyProtection="1"/>
    <xf numFmtId="0" fontId="0" fillId="4" borderId="5" xfId="0" applyFill="1" applyBorder="1" applyProtection="1"/>
    <xf numFmtId="0" fontId="0" fillId="0" borderId="0" xfId="0" applyBorder="1" applyAlignment="1" applyProtection="1">
      <alignment horizontal="right"/>
    </xf>
    <xf numFmtId="0" fontId="0" fillId="0" borderId="0" xfId="0" applyBorder="1" applyAlignment="1" applyProtection="1"/>
    <xf numFmtId="0" fontId="14" fillId="0" borderId="0" xfId="0" applyFont="1" applyBorder="1" applyProtection="1"/>
    <xf numFmtId="0" fontId="0" fillId="4" borderId="0" xfId="0" applyFill="1" applyBorder="1" applyAlignment="1" applyProtection="1">
      <alignment horizontal="right"/>
    </xf>
    <xf numFmtId="0" fontId="0" fillId="0" borderId="0" xfId="0" applyAlignment="1" applyProtection="1">
      <alignment horizontal="right"/>
    </xf>
    <xf numFmtId="0" fontId="0" fillId="0" borderId="1" xfId="0" applyBorder="1" applyAlignment="1" applyProtection="1">
      <alignment horizontal="left"/>
    </xf>
    <xf numFmtId="0" fontId="0" fillId="4" borderId="1" xfId="0" applyFill="1" applyBorder="1" applyAlignment="1" applyProtection="1"/>
    <xf numFmtId="0" fontId="10" fillId="0" borderId="0" xfId="0" applyFont="1" applyBorder="1" applyProtection="1"/>
    <xf numFmtId="0" fontId="4" fillId="0" borderId="0" xfId="0" applyFont="1" applyAlignment="1" applyProtection="1">
      <alignment horizontal="right"/>
    </xf>
    <xf numFmtId="0" fontId="39" fillId="0" borderId="0" xfId="0" applyFont="1" applyProtection="1"/>
    <xf numFmtId="0" fontId="41" fillId="0" borderId="0" xfId="0" applyFont="1" applyBorder="1" applyProtection="1"/>
    <xf numFmtId="0" fontId="2" fillId="0" borderId="0" xfId="0" applyFont="1" applyAlignment="1" applyProtection="1">
      <alignment vertical="center"/>
    </xf>
    <xf numFmtId="0" fontId="0" fillId="0" borderId="12" xfId="0" applyBorder="1" applyProtection="1"/>
    <xf numFmtId="0" fontId="0" fillId="0" borderId="13" xfId="0" applyBorder="1" applyProtection="1"/>
    <xf numFmtId="0" fontId="0" fillId="0" borderId="13" xfId="0" applyBorder="1" applyAlignment="1" applyProtection="1">
      <alignment vertical="center"/>
    </xf>
    <xf numFmtId="0" fontId="0" fillId="0" borderId="14" xfId="0" applyBorder="1" applyProtection="1"/>
    <xf numFmtId="0" fontId="35" fillId="0" borderId="15" xfId="0" applyFont="1" applyBorder="1" applyAlignment="1" applyProtection="1">
      <alignment vertical="center"/>
    </xf>
    <xf numFmtId="0" fontId="36" fillId="0" borderId="27" xfId="0" applyFont="1" applyBorder="1" applyAlignment="1" applyProtection="1">
      <alignment vertical="center"/>
    </xf>
    <xf numFmtId="0" fontId="37" fillId="0" borderId="27" xfId="0" applyFont="1" applyBorder="1" applyAlignment="1" applyProtection="1">
      <alignment vertical="center"/>
    </xf>
    <xf numFmtId="0" fontId="28" fillId="0" borderId="27" xfId="0" applyFont="1" applyBorder="1" applyAlignment="1" applyProtection="1">
      <alignment vertical="center"/>
    </xf>
    <xf numFmtId="0" fontId="35" fillId="0" borderId="27" xfId="0" applyFont="1" applyBorder="1" applyAlignment="1" applyProtection="1">
      <alignment vertical="center"/>
    </xf>
    <xf numFmtId="0" fontId="35" fillId="0" borderId="0" xfId="0" applyFont="1" applyBorder="1" applyAlignment="1" applyProtection="1">
      <alignment vertical="center"/>
    </xf>
    <xf numFmtId="0" fontId="37" fillId="0" borderId="0" xfId="0" applyFont="1" applyBorder="1" applyAlignment="1" applyProtection="1">
      <alignment vertical="center"/>
    </xf>
    <xf numFmtId="0" fontId="28" fillId="0" borderId="0" xfId="0" applyFont="1" applyBorder="1" applyAlignment="1" applyProtection="1">
      <alignment vertical="center"/>
    </xf>
    <xf numFmtId="0" fontId="35" fillId="0" borderId="16" xfId="0" applyFont="1" applyBorder="1" applyAlignment="1" applyProtection="1">
      <alignment vertical="center"/>
    </xf>
    <xf numFmtId="0" fontId="35" fillId="0" borderId="0" xfId="0" applyFont="1" applyAlignment="1" applyProtection="1">
      <alignment vertical="center"/>
    </xf>
    <xf numFmtId="0" fontId="0" fillId="0" borderId="15" xfId="0" applyBorder="1" applyAlignment="1" applyProtection="1">
      <alignment vertical="center"/>
    </xf>
    <xf numFmtId="0" fontId="19" fillId="0" borderId="0" xfId="0" applyFont="1" applyBorder="1" applyProtection="1"/>
    <xf numFmtId="0" fontId="19" fillId="0" borderId="0" xfId="0" applyFont="1" applyBorder="1" applyAlignment="1" applyProtection="1">
      <alignment vertical="center"/>
    </xf>
    <xf numFmtId="0" fontId="14" fillId="0" borderId="0" xfId="0" applyFont="1" applyBorder="1" applyAlignment="1" applyProtection="1">
      <alignment vertical="center"/>
    </xf>
    <xf numFmtId="0" fontId="0" fillId="0" borderId="16" xfId="0" applyBorder="1" applyAlignment="1" applyProtection="1">
      <alignment vertical="center"/>
    </xf>
    <xf numFmtId="0" fontId="10" fillId="0" borderId="0" xfId="0" applyFont="1" applyBorder="1" applyAlignment="1" applyProtection="1">
      <alignment vertical="center"/>
    </xf>
    <xf numFmtId="0" fontId="0" fillId="0" borderId="17" xfId="0" applyBorder="1" applyAlignment="1" applyProtection="1">
      <alignment vertical="center"/>
    </xf>
    <xf numFmtId="0" fontId="10" fillId="0" borderId="18" xfId="0" applyFont="1" applyBorder="1" applyProtection="1"/>
    <xf numFmtId="0" fontId="10" fillId="0" borderId="18" xfId="0" applyFont="1" applyBorder="1" applyAlignment="1" applyProtection="1">
      <alignment vertical="center"/>
    </xf>
    <xf numFmtId="0" fontId="0" fillId="0" borderId="18" xfId="0" applyBorder="1" applyAlignment="1" applyProtection="1">
      <alignment vertical="center"/>
    </xf>
    <xf numFmtId="0" fontId="0" fillId="0" borderId="18" xfId="0" applyBorder="1" applyProtection="1"/>
    <xf numFmtId="0" fontId="0" fillId="0" borderId="19" xfId="0" applyBorder="1" applyAlignment="1" applyProtection="1">
      <alignment vertical="center"/>
    </xf>
    <xf numFmtId="0" fontId="10" fillId="0" borderId="0" xfId="0" applyFont="1" applyProtection="1"/>
    <xf numFmtId="0" fontId="10" fillId="0" borderId="0" xfId="0" applyFont="1" applyAlignment="1" applyProtection="1">
      <alignment vertical="center"/>
    </xf>
    <xf numFmtId="0" fontId="0" fillId="0" borderId="12" xfId="0" applyBorder="1" applyAlignment="1" applyProtection="1">
      <alignment vertical="center"/>
    </xf>
    <xf numFmtId="0" fontId="10" fillId="0" borderId="13" xfId="0" applyFont="1" applyBorder="1" applyProtection="1"/>
    <xf numFmtId="0" fontId="10" fillId="0" borderId="13" xfId="0" applyFont="1" applyBorder="1" applyAlignment="1" applyProtection="1">
      <alignment vertical="center"/>
    </xf>
    <xf numFmtId="0" fontId="0" fillId="0" borderId="14" xfId="0" applyBorder="1" applyAlignment="1" applyProtection="1">
      <alignment vertical="center"/>
    </xf>
    <xf numFmtId="0" fontId="10" fillId="0" borderId="0" xfId="0" applyFont="1" applyBorder="1" applyAlignment="1" applyProtection="1">
      <alignment horizontal="right"/>
    </xf>
    <xf numFmtId="3" fontId="2" fillId="0" borderId="0" xfId="0" applyNumberFormat="1" applyFont="1" applyBorder="1" applyAlignment="1" applyProtection="1">
      <alignment vertical="center"/>
    </xf>
    <xf numFmtId="0" fontId="34" fillId="0" borderId="15" xfId="0" applyFont="1" applyBorder="1" applyAlignment="1" applyProtection="1">
      <alignment vertical="center"/>
    </xf>
    <xf numFmtId="0" fontId="26" fillId="0" borderId="0" xfId="0" applyFont="1" applyBorder="1" applyAlignment="1" applyProtection="1">
      <alignment vertical="center"/>
    </xf>
    <xf numFmtId="0" fontId="34" fillId="0" borderId="0" xfId="0" applyFont="1" applyBorder="1" applyAlignment="1" applyProtection="1">
      <alignment vertical="center"/>
    </xf>
    <xf numFmtId="0" fontId="26" fillId="0" borderId="27" xfId="0" applyFont="1" applyFill="1" applyBorder="1" applyAlignment="1" applyProtection="1">
      <alignment vertical="center"/>
    </xf>
    <xf numFmtId="0" fontId="34" fillId="0" borderId="27" xfId="0" applyFont="1" applyFill="1" applyBorder="1" applyAlignment="1" applyProtection="1">
      <alignment vertical="center"/>
    </xf>
    <xf numFmtId="0" fontId="34" fillId="0" borderId="16" xfId="0" applyFont="1" applyBorder="1" applyAlignment="1" applyProtection="1">
      <alignment vertical="center"/>
    </xf>
    <xf numFmtId="0" fontId="27" fillId="0" borderId="0" xfId="0" applyFont="1" applyBorder="1" applyProtection="1"/>
    <xf numFmtId="0" fontId="18" fillId="0" borderId="0" xfId="0" applyFont="1" applyBorder="1" applyProtection="1"/>
    <xf numFmtId="3" fontId="16" fillId="0" borderId="0" xfId="0" applyNumberFormat="1" applyFont="1" applyBorder="1" applyAlignment="1" applyProtection="1">
      <alignment vertical="center"/>
    </xf>
    <xf numFmtId="3" fontId="29" fillId="0" borderId="0" xfId="0" applyNumberFormat="1" applyFont="1" applyBorder="1" applyAlignment="1" applyProtection="1">
      <alignment horizontal="left" vertical="center"/>
    </xf>
    <xf numFmtId="0" fontId="0" fillId="0" borderId="15" xfId="0" applyBorder="1" applyProtection="1"/>
    <xf numFmtId="0" fontId="16" fillId="0" borderId="0" xfId="0" applyFont="1" applyBorder="1" applyProtection="1"/>
    <xf numFmtId="0" fontId="16" fillId="0" borderId="0" xfId="0" applyFont="1" applyBorder="1" applyAlignment="1" applyProtection="1">
      <alignment horizontal="right"/>
    </xf>
    <xf numFmtId="0" fontId="16" fillId="0" borderId="0" xfId="0" applyFont="1" applyBorder="1" applyAlignment="1" applyProtection="1">
      <alignment vertical="center"/>
    </xf>
    <xf numFmtId="3" fontId="16" fillId="0" borderId="0" xfId="0" applyNumberFormat="1" applyFont="1" applyFill="1" applyBorder="1" applyAlignment="1" applyProtection="1">
      <alignment vertical="center"/>
    </xf>
    <xf numFmtId="0" fontId="0" fillId="0" borderId="16" xfId="0" applyBorder="1" applyProtection="1"/>
    <xf numFmtId="3" fontId="0" fillId="0" borderId="0" xfId="0" applyNumberFormat="1" applyBorder="1" applyAlignment="1" applyProtection="1">
      <alignment vertical="center"/>
    </xf>
    <xf numFmtId="0" fontId="3" fillId="0" borderId="15" xfId="0" applyFont="1" applyBorder="1" applyAlignment="1" applyProtection="1">
      <alignment vertical="center"/>
    </xf>
    <xf numFmtId="0" fontId="3" fillId="0" borderId="0" xfId="0" applyFont="1" applyAlignment="1" applyProtection="1">
      <alignment vertical="center"/>
    </xf>
    <xf numFmtId="0" fontId="3" fillId="0" borderId="0" xfId="0" applyFont="1" applyBorder="1" applyAlignment="1" applyProtection="1">
      <alignment vertical="center"/>
    </xf>
    <xf numFmtId="0" fontId="3" fillId="0" borderId="16" xfId="0" applyFont="1" applyBorder="1" applyAlignment="1" applyProtection="1">
      <alignment vertical="center"/>
    </xf>
    <xf numFmtId="167" fontId="10" fillId="0" borderId="0" xfId="0" applyNumberFormat="1" applyFont="1" applyBorder="1" applyAlignment="1" applyProtection="1">
      <alignment horizontal="right"/>
    </xf>
    <xf numFmtId="167" fontId="10" fillId="0" borderId="0" xfId="0" applyNumberFormat="1" applyFont="1" applyBorder="1" applyAlignment="1" applyProtection="1"/>
    <xf numFmtId="0" fontId="10" fillId="0" borderId="0" xfId="0" applyFont="1" applyBorder="1" applyAlignment="1" applyProtection="1"/>
    <xf numFmtId="0" fontId="0" fillId="0" borderId="17" xfId="0" applyBorder="1" applyProtection="1"/>
    <xf numFmtId="0" fontId="0" fillId="0" borderId="19" xfId="0" applyBorder="1" applyProtection="1"/>
    <xf numFmtId="3" fontId="10" fillId="0" borderId="0" xfId="0" applyNumberFormat="1" applyFont="1" applyBorder="1" applyAlignment="1" applyProtection="1">
      <alignment vertical="center"/>
    </xf>
    <xf numFmtId="165" fontId="10" fillId="0" borderId="0" xfId="0" applyNumberFormat="1" applyFont="1" applyBorder="1" applyAlignment="1" applyProtection="1"/>
    <xf numFmtId="165" fontId="10" fillId="0" borderId="0" xfId="0" applyNumberFormat="1" applyFont="1" applyBorder="1" applyAlignment="1" applyProtection="1">
      <alignment horizontal="right"/>
    </xf>
    <xf numFmtId="165" fontId="2" fillId="0" borderId="0" xfId="0" applyNumberFormat="1" applyFont="1" applyBorder="1" applyAlignment="1" applyProtection="1">
      <alignment horizontal="right" vertical="center"/>
    </xf>
    <xf numFmtId="165" fontId="18" fillId="0" borderId="0" xfId="0" applyNumberFormat="1" applyFont="1" applyBorder="1" applyAlignment="1" applyProtection="1"/>
    <xf numFmtId="3" fontId="2" fillId="0" borderId="0" xfId="0" applyNumberFormat="1" applyFont="1" applyBorder="1" applyAlignment="1" applyProtection="1">
      <alignment horizontal="right" vertical="center"/>
    </xf>
    <xf numFmtId="0" fontId="18" fillId="0" borderId="0" xfId="0" applyFont="1" applyBorder="1" applyAlignment="1" applyProtection="1"/>
    <xf numFmtId="0" fontId="10" fillId="0" borderId="0" xfId="0" applyFont="1" applyFill="1" applyBorder="1" applyProtection="1"/>
    <xf numFmtId="0" fontId="10" fillId="0" borderId="0" xfId="0" applyFont="1" applyFill="1" applyBorder="1" applyAlignment="1" applyProtection="1">
      <alignment vertical="center"/>
    </xf>
    <xf numFmtId="165" fontId="18" fillId="0" borderId="0" xfId="0" applyNumberFormat="1" applyFont="1" applyBorder="1" applyAlignment="1" applyProtection="1">
      <alignment horizontal="right"/>
    </xf>
    <xf numFmtId="0" fontId="18" fillId="0" borderId="0" xfId="0" applyFont="1" applyBorder="1" applyAlignment="1" applyProtection="1">
      <alignment horizontal="right"/>
    </xf>
    <xf numFmtId="167" fontId="0" fillId="0" borderId="0" xfId="0" applyNumberFormat="1" applyFont="1" applyBorder="1" applyAlignment="1" applyProtection="1">
      <alignment horizontal="right"/>
    </xf>
    <xf numFmtId="167" fontId="0" fillId="0" borderId="0" xfId="0" applyNumberFormat="1" applyFont="1" applyBorder="1" applyAlignment="1" applyProtection="1">
      <alignment horizontal="right" vertical="center"/>
    </xf>
    <xf numFmtId="167" fontId="0" fillId="0" borderId="0" xfId="0" applyNumberFormat="1" applyBorder="1" applyAlignment="1" applyProtection="1">
      <alignment horizontal="right"/>
    </xf>
    <xf numFmtId="0" fontId="30" fillId="0" borderId="15" xfId="0" applyFont="1" applyBorder="1" applyAlignment="1" applyProtection="1">
      <alignment vertical="center"/>
    </xf>
    <xf numFmtId="0" fontId="30" fillId="0" borderId="0" xfId="0" applyFont="1" applyBorder="1" applyProtection="1"/>
    <xf numFmtId="0" fontId="30" fillId="0" borderId="0" xfId="0" applyFont="1" applyBorder="1" applyAlignment="1" applyProtection="1">
      <alignment vertical="center"/>
    </xf>
    <xf numFmtId="167" fontId="30" fillId="0" borderId="0" xfId="0" applyNumberFormat="1" applyFont="1" applyBorder="1" applyAlignment="1" applyProtection="1">
      <alignment horizontal="right"/>
    </xf>
    <xf numFmtId="0" fontId="30" fillId="0" borderId="0" xfId="0" applyFont="1" applyBorder="1" applyAlignment="1" applyProtection="1">
      <alignment horizontal="right"/>
    </xf>
    <xf numFmtId="0" fontId="30" fillId="0" borderId="16" xfId="0" applyFont="1" applyBorder="1" applyAlignment="1" applyProtection="1">
      <alignment vertical="center"/>
    </xf>
    <xf numFmtId="0" fontId="30" fillId="0" borderId="0" xfId="0" applyFont="1" applyAlignment="1" applyProtection="1">
      <alignment vertical="center"/>
    </xf>
    <xf numFmtId="0" fontId="6" fillId="0" borderId="15" xfId="0" applyFont="1" applyBorder="1" applyAlignment="1" applyProtection="1">
      <alignment vertical="center"/>
    </xf>
    <xf numFmtId="0" fontId="6" fillId="0" borderId="0" xfId="0" applyFont="1" applyBorder="1" applyProtection="1"/>
    <xf numFmtId="167" fontId="6" fillId="0" borderId="0" xfId="0" applyNumberFormat="1" applyFont="1" applyBorder="1" applyAlignment="1" applyProtection="1">
      <alignment horizontal="right"/>
    </xf>
    <xf numFmtId="0" fontId="6" fillId="0" borderId="0" xfId="0" applyFont="1" applyBorder="1" applyAlignment="1" applyProtection="1">
      <alignment horizontal="right"/>
    </xf>
    <xf numFmtId="0" fontId="6" fillId="0" borderId="16" xfId="0" applyFont="1" applyBorder="1" applyAlignment="1" applyProtection="1">
      <alignment vertical="center"/>
    </xf>
    <xf numFmtId="0" fontId="6" fillId="0" borderId="0" xfId="0" applyFont="1" applyAlignment="1" applyProtection="1">
      <alignment vertical="center"/>
    </xf>
    <xf numFmtId="0" fontId="18" fillId="0" borderId="0" xfId="0" applyFont="1" applyBorder="1" applyAlignment="1" applyProtection="1">
      <alignment vertical="center"/>
    </xf>
    <xf numFmtId="167" fontId="18" fillId="0" borderId="0" xfId="0" applyNumberFormat="1" applyFont="1" applyBorder="1" applyAlignment="1" applyProtection="1">
      <alignment horizontal="right"/>
    </xf>
    <xf numFmtId="167" fontId="3" fillId="0" borderId="0" xfId="0" applyNumberFormat="1" applyFont="1" applyBorder="1" applyAlignment="1" applyProtection="1">
      <alignment horizontal="right" vertical="center"/>
    </xf>
    <xf numFmtId="167" fontId="2" fillId="0" borderId="0" xfId="0" applyNumberFormat="1" applyFont="1" applyBorder="1" applyAlignment="1" applyProtection="1">
      <alignment horizontal="right" vertical="center"/>
    </xf>
    <xf numFmtId="0" fontId="18" fillId="0" borderId="1" xfId="0" applyFont="1" applyBorder="1" applyProtection="1"/>
    <xf numFmtId="0" fontId="18" fillId="0" borderId="1" xfId="0" applyFont="1" applyBorder="1" applyAlignment="1" applyProtection="1">
      <alignment vertical="center"/>
    </xf>
    <xf numFmtId="0" fontId="3" fillId="0" borderId="1" xfId="0" applyFont="1" applyBorder="1" applyAlignment="1" applyProtection="1">
      <alignment vertical="center"/>
    </xf>
    <xf numFmtId="165" fontId="18" fillId="0" borderId="1" xfId="0" applyNumberFormat="1" applyFont="1" applyFill="1" applyBorder="1" applyAlignment="1" applyProtection="1">
      <alignment horizontal="right"/>
    </xf>
    <xf numFmtId="165" fontId="3" fillId="0" borderId="1" xfId="0" applyNumberFormat="1" applyFont="1" applyFill="1" applyBorder="1" applyAlignment="1" applyProtection="1">
      <alignment horizontal="right" vertical="center"/>
    </xf>
    <xf numFmtId="0" fontId="18" fillId="0" borderId="1" xfId="0" applyFont="1" applyFill="1" applyBorder="1" applyAlignment="1" applyProtection="1">
      <alignment horizontal="right"/>
    </xf>
    <xf numFmtId="167" fontId="0" fillId="0" borderId="0" xfId="0" applyNumberFormat="1" applyFill="1" applyBorder="1" applyAlignment="1" applyProtection="1">
      <alignment horizontal="right"/>
    </xf>
    <xf numFmtId="0" fontId="18" fillId="0" borderId="1" xfId="0" applyFont="1" applyBorder="1" applyAlignment="1" applyProtection="1">
      <alignment horizontal="right"/>
    </xf>
    <xf numFmtId="0" fontId="0" fillId="0" borderId="0" xfId="0" applyBorder="1" applyAlignment="1" applyProtection="1">
      <alignment horizontal="left"/>
    </xf>
    <xf numFmtId="10" fontId="16" fillId="0" borderId="0" xfId="0" applyNumberFormat="1" applyFont="1" applyBorder="1" applyAlignment="1" applyProtection="1">
      <alignment horizontal="right"/>
    </xf>
    <xf numFmtId="10" fontId="16" fillId="0" borderId="0" xfId="0" applyNumberFormat="1" applyFont="1" applyBorder="1" applyAlignment="1" applyProtection="1">
      <alignment horizontal="right" vertical="center"/>
    </xf>
    <xf numFmtId="0" fontId="0" fillId="0" borderId="15" xfId="0" applyBorder="1" applyAlignment="1" applyProtection="1">
      <alignment vertical="top"/>
    </xf>
    <xf numFmtId="0" fontId="10" fillId="0" borderId="0" xfId="0" applyFont="1" applyBorder="1" applyAlignment="1" applyProtection="1">
      <alignment vertical="top"/>
    </xf>
    <xf numFmtId="0" fontId="16" fillId="0" borderId="0" xfId="0" applyFont="1" applyBorder="1" applyAlignment="1" applyProtection="1">
      <alignment horizontal="right" vertical="top"/>
    </xf>
    <xf numFmtId="0" fontId="0" fillId="0" borderId="16" xfId="0" applyBorder="1" applyAlignment="1" applyProtection="1">
      <alignment vertical="top"/>
    </xf>
    <xf numFmtId="0" fontId="0" fillId="0" borderId="0" xfId="0" applyAlignment="1" applyProtection="1">
      <alignment vertical="top"/>
    </xf>
    <xf numFmtId="3" fontId="10" fillId="0" borderId="0" xfId="0" applyNumberFormat="1" applyFont="1" applyBorder="1" applyAlignment="1" applyProtection="1">
      <alignment horizontal="right" vertical="center"/>
    </xf>
    <xf numFmtId="3" fontId="3" fillId="0" borderId="0" xfId="0" applyNumberFormat="1" applyFont="1" applyBorder="1" applyAlignment="1" applyProtection="1">
      <alignment horizontal="right" vertical="center"/>
    </xf>
    <xf numFmtId="3" fontId="2" fillId="0" borderId="0" xfId="0" applyNumberFormat="1" applyFont="1" applyBorder="1" applyAlignment="1" applyProtection="1">
      <alignment horizontal="left" vertical="center"/>
    </xf>
    <xf numFmtId="0" fontId="7" fillId="0" borderId="0" xfId="0" applyFont="1" applyProtection="1"/>
    <xf numFmtId="0" fontId="32" fillId="0" borderId="0" xfId="0" applyFont="1" applyBorder="1" applyProtection="1"/>
    <xf numFmtId="0" fontId="32" fillId="0" borderId="0" xfId="0" applyFont="1" applyBorder="1" applyAlignment="1" applyProtection="1">
      <alignment vertical="center"/>
    </xf>
    <xf numFmtId="3" fontId="0" fillId="0" borderId="0" xfId="0" applyNumberFormat="1" applyFont="1" applyBorder="1" applyAlignment="1" applyProtection="1">
      <alignment horizontal="right"/>
    </xf>
    <xf numFmtId="3" fontId="0" fillId="0" borderId="0" xfId="0" applyNumberFormat="1" applyFont="1" applyBorder="1" applyAlignment="1" applyProtection="1">
      <alignment horizontal="right" vertical="center"/>
    </xf>
    <xf numFmtId="3" fontId="10" fillId="0" borderId="0" xfId="0" applyNumberFormat="1" applyFont="1" applyBorder="1" applyAlignment="1" applyProtection="1">
      <alignment horizontal="right"/>
    </xf>
    <xf numFmtId="0" fontId="0" fillId="0" borderId="15" xfId="0" applyFill="1" applyBorder="1" applyAlignment="1" applyProtection="1">
      <alignment vertical="center"/>
    </xf>
    <xf numFmtId="0" fontId="0" fillId="0" borderId="0" xfId="0" applyFill="1" applyAlignment="1" applyProtection="1">
      <alignment vertical="center"/>
    </xf>
    <xf numFmtId="0" fontId="10" fillId="0" borderId="0" xfId="0" applyFont="1" applyFill="1" applyBorder="1" applyAlignment="1" applyProtection="1">
      <alignment horizontal="right"/>
    </xf>
    <xf numFmtId="0" fontId="0" fillId="0" borderId="16" xfId="0" applyFill="1" applyBorder="1" applyAlignment="1" applyProtection="1">
      <alignment vertical="center"/>
    </xf>
    <xf numFmtId="0" fontId="3" fillId="0" borderId="0" xfId="0" applyFont="1" applyBorder="1" applyAlignment="1" applyProtection="1">
      <alignment horizontal="right"/>
    </xf>
    <xf numFmtId="0" fontId="3" fillId="0" borderId="0" xfId="0" applyFont="1" applyBorder="1" applyProtection="1"/>
    <xf numFmtId="0" fontId="3" fillId="0" borderId="16" xfId="0" applyFont="1" applyBorder="1" applyProtection="1"/>
    <xf numFmtId="0" fontId="0" fillId="0" borderId="15" xfId="0" applyFont="1" applyBorder="1" applyAlignment="1" applyProtection="1">
      <alignment vertical="center"/>
    </xf>
    <xf numFmtId="0" fontId="0" fillId="0" borderId="0" xfId="0" applyFont="1" applyAlignment="1" applyProtection="1">
      <alignment vertical="center"/>
    </xf>
    <xf numFmtId="0" fontId="0" fillId="0" borderId="0" xfId="0" applyFont="1" applyBorder="1" applyAlignment="1" applyProtection="1">
      <alignment horizontal="right"/>
    </xf>
    <xf numFmtId="0" fontId="0" fillId="0" borderId="16" xfId="0" applyFont="1" applyBorder="1" applyProtection="1"/>
    <xf numFmtId="0" fontId="10" fillId="0" borderId="1" xfId="0" applyFont="1" applyBorder="1" applyProtection="1"/>
    <xf numFmtId="0" fontId="0" fillId="0" borderId="1" xfId="0" applyBorder="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right"/>
    </xf>
    <xf numFmtId="0" fontId="0" fillId="0" borderId="1" xfId="0" applyBorder="1" applyAlignment="1" applyProtection="1">
      <alignment horizontal="right"/>
    </xf>
    <xf numFmtId="0" fontId="18" fillId="0" borderId="1" xfId="0" applyFont="1" applyBorder="1" applyAlignment="1" applyProtection="1"/>
    <xf numFmtId="0" fontId="3" fillId="0" borderId="1" xfId="0" applyFont="1" applyBorder="1" applyAlignment="1" applyProtection="1">
      <alignment horizontal="right"/>
    </xf>
    <xf numFmtId="0" fontId="0" fillId="9" borderId="0" xfId="0" applyFill="1" applyProtection="1"/>
    <xf numFmtId="0" fontId="0" fillId="9" borderId="0" xfId="0" applyFill="1" applyAlignment="1" applyProtection="1">
      <alignment vertical="center"/>
    </xf>
    <xf numFmtId="0" fontId="12" fillId="6" borderId="0" xfId="0" applyFont="1" applyFill="1" applyAlignment="1" applyProtection="1">
      <alignment vertical="center"/>
    </xf>
    <xf numFmtId="0" fontId="3" fillId="0" borderId="5" xfId="0" applyFont="1" applyBorder="1" applyAlignment="1" applyProtection="1">
      <alignment vertical="center"/>
    </xf>
    <xf numFmtId="0" fontId="0" fillId="0" borderId="5" xfId="0" applyBorder="1" applyAlignment="1" applyProtection="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0" fontId="0" fillId="0" borderId="5" xfId="0" applyFont="1" applyBorder="1" applyAlignment="1" applyProtection="1">
      <alignment vertical="center"/>
    </xf>
    <xf numFmtId="167" fontId="0" fillId="0" borderId="0" xfId="0" applyNumberFormat="1" applyFont="1" applyBorder="1" applyAlignment="1" applyProtection="1">
      <alignment vertical="center"/>
    </xf>
    <xf numFmtId="167" fontId="3" fillId="0" borderId="0" xfId="0" applyNumberFormat="1" applyFont="1" applyBorder="1" applyAlignment="1" applyProtection="1">
      <alignment vertical="center"/>
    </xf>
    <xf numFmtId="0" fontId="3" fillId="0" borderId="0" xfId="0" applyFont="1" applyBorder="1" applyAlignment="1" applyProtection="1">
      <alignment horizontal="right" vertical="center"/>
    </xf>
    <xf numFmtId="9" fontId="3" fillId="0" borderId="0" xfId="1" applyFont="1" applyBorder="1" applyAlignment="1" applyProtection="1">
      <alignment horizontal="right" vertical="center"/>
    </xf>
    <xf numFmtId="0" fontId="0" fillId="5" borderId="0" xfId="0" applyFill="1" applyBorder="1" applyAlignment="1" applyProtection="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pplyProtection="1">
      <alignment vertical="center"/>
    </xf>
    <xf numFmtId="165" fontId="10" fillId="0" borderId="0" xfId="0" applyNumberFormat="1" applyFont="1" applyBorder="1" applyAlignment="1" applyProtection="1">
      <alignment horizontal="right" vertical="center"/>
    </xf>
    <xf numFmtId="0" fontId="0" fillId="0" borderId="5" xfId="0" applyBorder="1" applyAlignment="1" applyProtection="1">
      <alignment horizontal="left"/>
    </xf>
    <xf numFmtId="3" fontId="0" fillId="0" borderId="0" xfId="3" applyNumberFormat="1" applyFont="1" applyBorder="1" applyAlignment="1" applyProtection="1"/>
    <xf numFmtId="0" fontId="3" fillId="0" borderId="5" xfId="0" applyFont="1" applyBorder="1" applyProtection="1"/>
    <xf numFmtId="3" fontId="0" fillId="0" borderId="5" xfId="0" applyNumberFormat="1" applyBorder="1" applyProtection="1"/>
    <xf numFmtId="0" fontId="0" fillId="0" borderId="4" xfId="0" applyBorder="1" applyProtection="1"/>
    <xf numFmtId="0" fontId="0" fillId="0" borderId="4" xfId="0" applyBorder="1" applyAlignment="1" applyProtection="1"/>
    <xf numFmtId="3" fontId="0" fillId="0" borderId="4" xfId="3" applyNumberFormat="1" applyFont="1" applyBorder="1" applyAlignment="1" applyProtection="1"/>
    <xf numFmtId="0" fontId="3" fillId="0" borderId="0" xfId="0" applyFont="1" applyAlignment="1" applyProtection="1">
      <alignment horizontal="right"/>
    </xf>
    <xf numFmtId="0" fontId="0" fillId="3" borderId="0" xfId="0" applyFill="1" applyBorder="1" applyAlignment="1" applyProtection="1">
      <alignment horizontal="left"/>
    </xf>
    <xf numFmtId="0" fontId="0" fillId="3" borderId="0" xfId="0" applyFill="1" applyAlignment="1" applyProtection="1">
      <alignment horizontal="left"/>
    </xf>
    <xf numFmtId="0" fontId="0" fillId="3" borderId="0" xfId="0" applyFill="1" applyProtection="1"/>
    <xf numFmtId="0" fontId="10" fillId="0" borderId="0" xfId="0" applyFont="1" applyBorder="1" applyAlignment="1" applyProtection="1">
      <alignment horizontal="left" vertical="center"/>
    </xf>
    <xf numFmtId="0" fontId="3" fillId="0" borderId="0" xfId="0" applyFont="1" applyAlignment="1" applyProtection="1">
      <alignment horizontal="left"/>
    </xf>
    <xf numFmtId="9" fontId="0" fillId="0" borderId="5" xfId="1" applyFont="1" applyBorder="1" applyProtection="1"/>
    <xf numFmtId="0" fontId="0" fillId="0" borderId="4" xfId="0" applyBorder="1" applyAlignment="1" applyProtection="1">
      <alignment vertical="center"/>
    </xf>
    <xf numFmtId="9" fontId="0" fillId="0" borderId="4" xfId="1" applyFont="1" applyBorder="1" applyProtection="1"/>
    <xf numFmtId="0" fontId="3" fillId="2" borderId="0" xfId="0" applyFont="1" applyFill="1" applyBorder="1" applyAlignment="1" applyProtection="1">
      <alignment vertical="center"/>
    </xf>
    <xf numFmtId="9" fontId="3" fillId="2" borderId="0" xfId="1" applyFont="1" applyFill="1" applyBorder="1" applyProtection="1"/>
    <xf numFmtId="0" fontId="3" fillId="2" borderId="0" xfId="0" applyFont="1" applyFill="1" applyBorder="1" applyProtection="1"/>
    <xf numFmtId="0" fontId="0" fillId="0" borderId="0" xfId="0" applyAlignment="1" applyProtection="1"/>
    <xf numFmtId="1" fontId="0" fillId="0" borderId="5" xfId="1" applyNumberFormat="1" applyFont="1" applyBorder="1" applyAlignment="1" applyProtection="1">
      <alignment horizontal="right"/>
    </xf>
    <xf numFmtId="1" fontId="0" fillId="0" borderId="5" xfId="0" applyNumberFormat="1" applyBorder="1" applyAlignment="1" applyProtection="1">
      <alignment horizontal="right"/>
    </xf>
    <xf numFmtId="1" fontId="0" fillId="0" borderId="5" xfId="1" applyNumberFormat="1" applyFont="1" applyBorder="1" applyProtection="1"/>
    <xf numFmtId="1" fontId="0" fillId="0" borderId="5" xfId="0" applyNumberFormat="1" applyBorder="1" applyProtection="1"/>
    <xf numFmtId="0" fontId="3" fillId="0" borderId="5" xfId="0" applyFont="1" applyFill="1" applyBorder="1" applyAlignment="1" applyProtection="1">
      <alignment vertical="center"/>
    </xf>
    <xf numFmtId="0" fontId="3" fillId="0" borderId="5" xfId="0" applyFont="1" applyFill="1" applyBorder="1" applyAlignment="1" applyProtection="1">
      <alignment horizontal="right" vertical="center"/>
    </xf>
    <xf numFmtId="0" fontId="3" fillId="0" borderId="5" xfId="0" applyFont="1" applyFill="1" applyBorder="1" applyAlignment="1" applyProtection="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Fill="1" applyBorder="1" applyAlignment="1" applyProtection="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Fill="1" applyBorder="1" applyProtection="1"/>
    <xf numFmtId="0" fontId="0" fillId="0" borderId="5" xfId="0" applyFont="1" applyFill="1" applyBorder="1" applyAlignment="1" applyProtection="1">
      <alignment vertical="center"/>
    </xf>
    <xf numFmtId="0" fontId="0" fillId="0" borderId="5" xfId="0" applyFont="1" applyFill="1" applyBorder="1" applyAlignment="1" applyProtection="1">
      <alignment horizontal="right" vertical="center"/>
    </xf>
    <xf numFmtId="0" fontId="0" fillId="0" borderId="5" xfId="0" applyFont="1" applyFill="1" applyBorder="1" applyAlignment="1" applyProtection="1">
      <alignment horizontal="left" vertical="center"/>
    </xf>
    <xf numFmtId="1" fontId="1" fillId="0" borderId="5" xfId="1" applyNumberFormat="1" applyFont="1" applyFill="1" applyBorder="1" applyAlignment="1" applyProtection="1">
      <alignment horizontal="right"/>
    </xf>
    <xf numFmtId="1" fontId="0" fillId="0" borderId="5" xfId="0"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Fill="1" applyBorder="1" applyProtection="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Font="1" applyFill="1" applyBorder="1" applyAlignment="1" applyProtection="1">
      <alignment horizontal="right"/>
    </xf>
    <xf numFmtId="9" fontId="6" fillId="0" borderId="5" xfId="1" applyFont="1" applyFill="1" applyBorder="1" applyProtection="1"/>
    <xf numFmtId="0" fontId="6" fillId="0" borderId="5" xfId="0" applyFont="1" applyFill="1" applyBorder="1" applyProtection="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0" fontId="6" fillId="0" borderId="0" xfId="0" applyFont="1" applyProtection="1"/>
    <xf numFmtId="0" fontId="0" fillId="0" borderId="0" xfId="0" applyAlignment="1" applyProtection="1">
      <alignment horizontal="left"/>
    </xf>
    <xf numFmtId="9" fontId="0" fillId="0" borderId="5" xfId="0" applyNumberFormat="1" applyBorder="1" applyAlignment="1" applyProtection="1">
      <alignment horizontal="left" vertical="top"/>
    </xf>
    <xf numFmtId="0" fontId="0" fillId="0" borderId="5" xfId="0" applyBorder="1" applyAlignment="1" applyProtection="1">
      <alignment vertical="top"/>
    </xf>
    <xf numFmtId="9" fontId="10" fillId="0" borderId="0" xfId="1" applyFont="1" applyBorder="1" applyAlignment="1" applyProtection="1">
      <alignment vertical="top" wrapText="1"/>
    </xf>
    <xf numFmtId="0" fontId="0" fillId="0" borderId="21" xfId="0" applyBorder="1" applyProtection="1"/>
    <xf numFmtId="0" fontId="0" fillId="0" borderId="22" xfId="0" applyBorder="1" applyProtection="1"/>
    <xf numFmtId="0" fontId="0" fillId="0" borderId="22" xfId="0" applyBorder="1" applyAlignment="1" applyProtection="1"/>
    <xf numFmtId="0" fontId="14" fillId="0" borderId="22" xfId="0" applyFont="1" applyBorder="1" applyProtection="1"/>
    <xf numFmtId="0" fontId="0" fillId="0" borderId="23" xfId="0" applyBorder="1" applyProtection="1"/>
    <xf numFmtId="0" fontId="0" fillId="0" borderId="24" xfId="0" applyBorder="1" applyProtection="1"/>
    <xf numFmtId="0" fontId="0" fillId="0" borderId="25" xfId="0" applyBorder="1" applyProtection="1"/>
    <xf numFmtId="0" fontId="8" fillId="0" borderId="0" xfId="0" applyFont="1" applyBorder="1" applyAlignment="1" applyProtection="1">
      <alignment vertical="center"/>
    </xf>
    <xf numFmtId="0" fontId="26" fillId="0" borderId="35" xfId="0" applyFont="1" applyFill="1" applyBorder="1" applyAlignment="1" applyProtection="1">
      <alignment vertical="center"/>
    </xf>
    <xf numFmtId="0" fontId="14" fillId="0" borderId="35" xfId="0" applyFont="1" applyBorder="1" applyProtection="1"/>
    <xf numFmtId="0" fontId="0" fillId="0" borderId="24" xfId="0" applyBorder="1" applyAlignment="1" applyProtection="1">
      <alignment vertical="center"/>
    </xf>
    <xf numFmtId="0" fontId="0" fillId="0" borderId="25" xfId="0" applyBorder="1" applyAlignment="1" applyProtection="1">
      <alignment vertical="center"/>
    </xf>
    <xf numFmtId="0" fontId="26" fillId="0" borderId="0" xfId="0" applyFont="1" applyFill="1" applyBorder="1" applyAlignment="1" applyProtection="1">
      <alignment vertical="center"/>
    </xf>
    <xf numFmtId="0" fontId="0" fillId="0" borderId="24" xfId="0" applyBorder="1" applyAlignment="1" applyProtection="1">
      <alignment vertical="top"/>
    </xf>
    <xf numFmtId="0" fontId="0" fillId="0" borderId="0" xfId="0" applyBorder="1" applyAlignment="1" applyProtection="1">
      <alignment vertical="top"/>
    </xf>
    <xf numFmtId="0" fontId="8" fillId="0" borderId="0" xfId="0" applyFont="1" applyBorder="1" applyAlignment="1" applyProtection="1">
      <alignment vertical="top"/>
    </xf>
    <xf numFmtId="0" fontId="0" fillId="0" borderId="25" xfId="0" applyBorder="1" applyAlignment="1" applyProtection="1">
      <alignment vertical="top"/>
    </xf>
    <xf numFmtId="0" fontId="2" fillId="0" borderId="0" xfId="0" applyFont="1" applyBorder="1" applyAlignment="1" applyProtection="1">
      <alignment horizontal="right" vertical="center"/>
    </xf>
    <xf numFmtId="0" fontId="0" fillId="0" borderId="26" xfId="0" applyBorder="1" applyProtection="1"/>
    <xf numFmtId="0" fontId="0" fillId="0" borderId="27" xfId="0" applyBorder="1" applyProtection="1"/>
    <xf numFmtId="0" fontId="0" fillId="0" borderId="27" xfId="0" applyBorder="1" applyAlignment="1" applyProtection="1"/>
    <xf numFmtId="0" fontId="14" fillId="0" borderId="27" xfId="0" applyFont="1" applyBorder="1" applyProtection="1"/>
    <xf numFmtId="0" fontId="0" fillId="0" borderId="28" xfId="0" applyBorder="1" applyProtection="1"/>
    <xf numFmtId="0" fontId="14" fillId="0" borderId="0" xfId="0" applyFont="1" applyProtection="1"/>
    <xf numFmtId="0" fontId="3" fillId="0" borderId="24" xfId="0" applyFont="1" applyBorder="1" applyAlignment="1" applyProtection="1">
      <alignment vertical="center"/>
    </xf>
    <xf numFmtId="0" fontId="21" fillId="0" borderId="0" xfId="0" applyFont="1" applyBorder="1" applyAlignment="1" applyProtection="1">
      <alignment vertical="center"/>
    </xf>
    <xf numFmtId="0" fontId="3" fillId="0" borderId="25" xfId="0" applyFont="1" applyBorder="1" applyAlignment="1" applyProtection="1">
      <alignment vertical="center"/>
    </xf>
    <xf numFmtId="9" fontId="16" fillId="0" borderId="0" xfId="1" applyFont="1" applyBorder="1" applyAlignment="1" applyProtection="1">
      <alignment horizontal="right" vertical="center"/>
    </xf>
    <xf numFmtId="0" fontId="10" fillId="0" borderId="6" xfId="0" applyFont="1" applyBorder="1" applyAlignment="1" applyProtection="1">
      <alignment vertical="center"/>
    </xf>
    <xf numFmtId="9" fontId="17" fillId="0" borderId="0" xfId="1" applyFont="1" applyBorder="1" applyAlignment="1" applyProtection="1">
      <alignment horizontal="right" vertical="center"/>
    </xf>
    <xf numFmtId="0" fontId="15" fillId="0" borderId="0" xfId="0" applyFont="1" applyBorder="1" applyAlignment="1" applyProtection="1">
      <alignment vertical="center"/>
    </xf>
    <xf numFmtId="0" fontId="0" fillId="0" borderId="26" xfId="0" applyBorder="1" applyAlignment="1" applyProtection="1">
      <alignment vertical="center"/>
    </xf>
    <xf numFmtId="0" fontId="3" fillId="0" borderId="27" xfId="0" applyFont="1" applyBorder="1" applyAlignment="1" applyProtection="1">
      <alignment vertical="center"/>
    </xf>
    <xf numFmtId="3" fontId="3" fillId="0" borderId="27" xfId="0" applyNumberFormat="1" applyFont="1" applyBorder="1" applyAlignment="1" applyProtection="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pplyProtection="1">
      <alignment vertical="center"/>
    </xf>
    <xf numFmtId="0" fontId="14" fillId="0" borderId="27" xfId="0" applyFont="1" applyBorder="1" applyAlignment="1" applyProtection="1">
      <alignment vertical="center"/>
    </xf>
    <xf numFmtId="0" fontId="0" fillId="0" borderId="28" xfId="0" applyBorder="1" applyAlignment="1" applyProtection="1">
      <alignment vertical="center"/>
    </xf>
    <xf numFmtId="9" fontId="17" fillId="0" borderId="0" xfId="1" applyFont="1" applyFill="1" applyBorder="1" applyAlignment="1" applyProtection="1">
      <alignment horizontal="right" vertical="center"/>
    </xf>
    <xf numFmtId="0" fontId="14" fillId="0" borderId="5" xfId="0" applyFont="1" applyBorder="1" applyAlignment="1" applyProtection="1">
      <alignment vertical="center"/>
    </xf>
    <xf numFmtId="3" fontId="0" fillId="0" borderId="0" xfId="0" applyNumberFormat="1" applyBorder="1" applyAlignment="1" applyProtection="1">
      <alignment horizontal="right" vertical="center"/>
    </xf>
    <xf numFmtId="0" fontId="3" fillId="0" borderId="22" xfId="0" applyFont="1" applyBorder="1" applyAlignment="1" applyProtection="1">
      <alignment vertical="center"/>
    </xf>
    <xf numFmtId="0" fontId="17" fillId="0" borderId="0" xfId="0" applyFont="1" applyBorder="1" applyProtection="1"/>
    <xf numFmtId="165" fontId="0" fillId="0" borderId="0" xfId="0" applyNumberFormat="1" applyBorder="1" applyProtection="1"/>
    <xf numFmtId="0" fontId="0" fillId="0" borderId="8" xfId="0" applyBorder="1" applyProtection="1"/>
    <xf numFmtId="0" fontId="10" fillId="0" borderId="0" xfId="0" applyFont="1" applyFill="1" applyProtection="1"/>
    <xf numFmtId="0" fontId="12" fillId="0" borderId="0" xfId="0" applyFont="1" applyProtection="1"/>
    <xf numFmtId="0" fontId="12" fillId="0" borderId="0" xfId="0" applyFont="1" applyAlignment="1" applyProtection="1"/>
    <xf numFmtId="0" fontId="12" fillId="0" borderId="0" xfId="0" applyFont="1" applyBorder="1" applyAlignment="1" applyProtection="1">
      <alignment vertical="center"/>
    </xf>
    <xf numFmtId="3" fontId="12" fillId="0" borderId="0" xfId="0" applyNumberFormat="1" applyFont="1" applyBorder="1" applyAlignment="1" applyProtection="1">
      <alignment vertical="center"/>
    </xf>
    <xf numFmtId="9" fontId="12" fillId="0" borderId="0" xfId="1" applyFont="1" applyFill="1" applyBorder="1" applyAlignment="1" applyProtection="1">
      <alignment vertical="center"/>
    </xf>
    <xf numFmtId="0" fontId="0" fillId="2" borderId="0" xfId="0" applyFill="1" applyAlignment="1" applyProtection="1">
      <alignment horizontal="right"/>
    </xf>
    <xf numFmtId="0" fontId="3" fillId="2" borderId="0" xfId="0" applyFont="1" applyFill="1" applyBorder="1" applyAlignment="1" applyProtection="1">
      <alignment horizontal="right"/>
    </xf>
    <xf numFmtId="0" fontId="0" fillId="0" borderId="5" xfId="0" applyBorder="1" applyAlignment="1" applyProtection="1">
      <alignment horizontal="right"/>
    </xf>
    <xf numFmtId="0" fontId="3" fillId="0" borderId="0" xfId="0" applyFont="1" applyProtection="1"/>
    <xf numFmtId="0" fontId="3" fillId="0" borderId="5" xfId="0" applyFont="1" applyBorder="1" applyAlignment="1" applyProtection="1">
      <alignment horizontal="right"/>
    </xf>
    <xf numFmtId="3" fontId="0" fillId="0" borderId="0" xfId="0" applyNumberFormat="1" applyFill="1" applyBorder="1" applyAlignment="1" applyProtection="1">
      <alignment vertical="center"/>
    </xf>
    <xf numFmtId="0" fontId="0" fillId="0" borderId="0" xfId="0" applyBorder="1" applyAlignment="1" applyProtection="1">
      <alignment horizontal="left" vertical="center"/>
    </xf>
    <xf numFmtId="0" fontId="10" fillId="0" borderId="0" xfId="0" applyFont="1" applyBorder="1" applyAlignment="1" applyProtection="1">
      <alignment horizontal="right" vertical="center"/>
    </xf>
    <xf numFmtId="0" fontId="0" fillId="0" borderId="0" xfId="0" applyBorder="1" applyAlignment="1" applyProtection="1">
      <alignment horizontal="right" vertical="center"/>
    </xf>
    <xf numFmtId="0" fontId="6" fillId="0" borderId="0" xfId="0" applyFont="1" applyFill="1" applyBorder="1" applyAlignment="1" applyProtection="1">
      <alignment horizontal="right"/>
    </xf>
    <xf numFmtId="3" fontId="18" fillId="0" borderId="0" xfId="3" applyNumberFormat="1" applyFont="1" applyBorder="1" applyAlignment="1" applyProtection="1">
      <alignment horizontal="right"/>
    </xf>
    <xf numFmtId="9" fontId="0" fillId="0" borderId="1" xfId="1" applyFont="1" applyBorder="1" applyAlignment="1" applyProtection="1">
      <alignment horizontal="right"/>
    </xf>
    <xf numFmtId="0" fontId="8" fillId="0" borderId="27" xfId="0" applyFont="1" applyBorder="1" applyAlignment="1" applyProtection="1">
      <alignment vertical="center"/>
    </xf>
    <xf numFmtId="0" fontId="0" fillId="0" borderId="22" xfId="0" applyBorder="1" applyAlignment="1" applyProtection="1">
      <alignment vertical="center"/>
    </xf>
    <xf numFmtId="0" fontId="2" fillId="0" borderId="22" xfId="0" applyFont="1" applyBorder="1" applyAlignment="1" applyProtection="1">
      <alignment vertical="center"/>
    </xf>
    <xf numFmtId="0" fontId="14" fillId="0" borderId="22" xfId="0" applyFont="1" applyBorder="1" applyAlignment="1" applyProtection="1">
      <alignment vertical="center"/>
    </xf>
    <xf numFmtId="0" fontId="20" fillId="0" borderId="27" xfId="0" applyFont="1" applyBorder="1" applyAlignment="1" applyProtection="1">
      <alignment vertical="center"/>
    </xf>
    <xf numFmtId="0" fontId="3" fillId="0" borderId="0" xfId="0" applyFont="1" applyFill="1" applyBorder="1" applyProtection="1"/>
    <xf numFmtId="0" fontId="15" fillId="0" borderId="0" xfId="0" applyFont="1" applyBorder="1" applyProtection="1"/>
    <xf numFmtId="0" fontId="0" fillId="0" borderId="39" xfId="0" applyBorder="1" applyAlignment="1" applyProtection="1">
      <alignment vertical="center"/>
    </xf>
    <xf numFmtId="0" fontId="0" fillId="0" borderId="40" xfId="0" applyBorder="1" applyAlignment="1" applyProtection="1">
      <alignment vertical="center"/>
    </xf>
    <xf numFmtId="0" fontId="2" fillId="0" borderId="40" xfId="0" applyFont="1" applyBorder="1" applyAlignment="1" applyProtection="1">
      <alignment vertical="center"/>
    </xf>
    <xf numFmtId="0" fontId="14" fillId="0" borderId="40" xfId="0" applyFont="1" applyBorder="1" applyAlignment="1" applyProtection="1">
      <alignment vertical="center"/>
    </xf>
    <xf numFmtId="0" fontId="0" fillId="0" borderId="41" xfId="0" applyBorder="1" applyAlignment="1" applyProtection="1">
      <alignment vertical="center"/>
    </xf>
    <xf numFmtId="0" fontId="35" fillId="0" borderId="42" xfId="0" applyFont="1" applyBorder="1" applyAlignment="1" applyProtection="1">
      <alignment vertical="center"/>
    </xf>
    <xf numFmtId="0" fontId="28" fillId="0" borderId="43" xfId="0" applyFont="1" applyBorder="1" applyAlignment="1" applyProtection="1">
      <alignment vertical="center"/>
    </xf>
    <xf numFmtId="0" fontId="0" fillId="0" borderId="0" xfId="0" applyBorder="1" applyAlignment="1" applyProtection="1">
      <alignment horizontal="center"/>
    </xf>
    <xf numFmtId="0" fontId="0" fillId="0" borderId="42" xfId="0" applyBorder="1" applyAlignment="1" applyProtection="1">
      <alignment vertical="top"/>
    </xf>
    <xf numFmtId="0" fontId="0" fillId="0" borderId="46" xfId="0" applyBorder="1" applyAlignment="1" applyProtection="1">
      <alignment vertical="top"/>
    </xf>
    <xf numFmtId="0" fontId="2" fillId="0" borderId="0" xfId="0" applyFont="1" applyBorder="1" applyAlignment="1" applyProtection="1">
      <alignment horizontal="left" vertical="top"/>
    </xf>
    <xf numFmtId="0" fontId="0" fillId="0" borderId="43" xfId="0" applyBorder="1" applyAlignment="1" applyProtection="1">
      <alignment vertical="top"/>
    </xf>
    <xf numFmtId="0" fontId="3" fillId="0" borderId="42" xfId="0" applyFont="1" applyBorder="1" applyProtection="1"/>
    <xf numFmtId="0" fontId="3" fillId="0" borderId="43" xfId="0" applyFont="1" applyBorder="1" applyProtection="1"/>
    <xf numFmtId="3" fontId="0" fillId="0" borderId="0" xfId="0" applyNumberFormat="1" applyFont="1" applyBorder="1" applyAlignment="1" applyProtection="1">
      <alignment horizontal="right"/>
    </xf>
    <xf numFmtId="168" fontId="3" fillId="0" borderId="0" xfId="0" applyNumberFormat="1" applyFont="1" applyBorder="1" applyAlignment="1" applyProtection="1">
      <alignment horizontal="right" vertical="center"/>
    </xf>
    <xf numFmtId="168" fontId="2" fillId="0" borderId="0" xfId="0" applyNumberFormat="1" applyFont="1" applyBorder="1" applyAlignment="1" applyProtection="1">
      <alignment horizontal="right" vertical="center"/>
    </xf>
    <xf numFmtId="0" fontId="2" fillId="0" borderId="0" xfId="0" applyFont="1" applyBorder="1" applyAlignment="1" applyProtection="1">
      <alignment horizontal="right" vertical="center"/>
    </xf>
    <xf numFmtId="3" fontId="2" fillId="0" borderId="0" xfId="0" applyNumberFormat="1" applyFont="1" applyBorder="1" applyAlignment="1" applyProtection="1">
      <alignment horizontal="right" vertical="center"/>
    </xf>
    <xf numFmtId="0" fontId="0" fillId="0" borderId="0" xfId="0" applyBorder="1" applyAlignment="1" applyProtection="1"/>
    <xf numFmtId="0" fontId="0" fillId="0" borderId="42" xfId="0" applyFont="1" applyBorder="1" applyProtection="1"/>
    <xf numFmtId="0" fontId="0" fillId="0" borderId="43" xfId="0" applyFont="1" applyBorder="1" applyProtection="1"/>
    <xf numFmtId="0" fontId="0" fillId="0" borderId="0" xfId="0" applyFont="1" applyProtection="1"/>
    <xf numFmtId="0" fontId="47" fillId="0" borderId="0" xfId="0" applyFont="1" applyAlignment="1" applyProtection="1">
      <alignment horizontal="right" vertical="center"/>
    </xf>
    <xf numFmtId="0" fontId="49" fillId="0" borderId="0" xfId="0" applyFont="1" applyAlignment="1" applyProtection="1">
      <alignment vertical="center"/>
    </xf>
    <xf numFmtId="0" fontId="51" fillId="0" borderId="0" xfId="0" applyFont="1" applyAlignment="1">
      <alignment horizontal="right" vertical="center"/>
    </xf>
    <xf numFmtId="0" fontId="52" fillId="0" borderId="0" xfId="0" applyFont="1" applyAlignment="1">
      <alignment vertical="center"/>
    </xf>
    <xf numFmtId="0" fontId="34" fillId="0" borderId="0" xfId="0" applyFont="1" applyAlignment="1">
      <alignment vertical="center"/>
    </xf>
    <xf numFmtId="0" fontId="2" fillId="0" borderId="0" xfId="0" applyFont="1" applyBorder="1" applyAlignment="1" applyProtection="1">
      <alignment horizontal="right" vertical="center"/>
    </xf>
    <xf numFmtId="0" fontId="10" fillId="0" borderId="0" xfId="0" applyFont="1" applyBorder="1" applyAlignment="1" applyProtection="1">
      <alignment horizontal="right"/>
    </xf>
    <xf numFmtId="0" fontId="0" fillId="0" borderId="0" xfId="0" applyBorder="1" applyAlignment="1" applyProtection="1">
      <alignment horizontal="right"/>
    </xf>
    <xf numFmtId="0" fontId="18" fillId="3" borderId="0" xfId="0" applyFont="1" applyFill="1" applyBorder="1" applyAlignment="1" applyProtection="1">
      <alignment horizontal="left" vertical="center"/>
    </xf>
    <xf numFmtId="3" fontId="18" fillId="0" borderId="1" xfId="0" applyNumberFormat="1" applyFont="1" applyBorder="1" applyAlignment="1" applyProtection="1">
      <alignment horizontal="right"/>
    </xf>
    <xf numFmtId="0" fontId="10" fillId="0" borderId="0" xfId="0" applyFont="1" applyBorder="1" applyAlignment="1" applyProtection="1">
      <alignment horizontal="left" vertical="center"/>
    </xf>
    <xf numFmtId="0" fontId="18" fillId="2" borderId="0" xfId="0" applyFont="1" applyFill="1" applyBorder="1" applyAlignment="1" applyProtection="1">
      <alignment horizontal="left" vertical="center"/>
    </xf>
    <xf numFmtId="167" fontId="10" fillId="0" borderId="0" xfId="0" applyNumberFormat="1" applyFont="1" applyBorder="1" applyAlignment="1" applyProtection="1">
      <alignment horizontal="right"/>
    </xf>
    <xf numFmtId="167" fontId="18" fillId="0" borderId="0" xfId="0" applyNumberFormat="1" applyFont="1" applyBorder="1" applyAlignment="1" applyProtection="1">
      <alignment horizontal="right"/>
    </xf>
    <xf numFmtId="0" fontId="18" fillId="0" borderId="0" xfId="0" applyFont="1" applyBorder="1" applyAlignment="1" applyProtection="1">
      <alignment horizontal="right"/>
    </xf>
    <xf numFmtId="165" fontId="18" fillId="0" borderId="0" xfId="0" applyNumberFormat="1" applyFont="1" applyBorder="1" applyAlignment="1" applyProtection="1">
      <alignment horizontal="right"/>
    </xf>
    <xf numFmtId="167" fontId="31" fillId="0" borderId="0" xfId="0" applyNumberFormat="1" applyFont="1" applyBorder="1" applyAlignment="1" applyProtection="1">
      <alignment horizontal="right"/>
    </xf>
    <xf numFmtId="3" fontId="18" fillId="0" borderId="0" xfId="0" applyNumberFormat="1" applyFont="1" applyBorder="1" applyAlignment="1" applyProtection="1">
      <alignment horizontal="right"/>
    </xf>
    <xf numFmtId="1" fontId="18" fillId="0" borderId="0" xfId="0" applyNumberFormat="1" applyFont="1" applyBorder="1" applyAlignment="1" applyProtection="1">
      <alignment horizontal="right"/>
    </xf>
    <xf numFmtId="0" fontId="10" fillId="0" borderId="0" xfId="0" applyFont="1" applyFill="1" applyBorder="1" applyAlignment="1" applyProtection="1">
      <alignment horizontal="right"/>
    </xf>
    <xf numFmtId="167" fontId="18" fillId="0" borderId="0" xfId="0" applyNumberFormat="1" applyFont="1" applyFill="1" applyBorder="1" applyAlignment="1" applyProtection="1">
      <alignment horizontal="right"/>
    </xf>
    <xf numFmtId="167" fontId="24" fillId="0" borderId="0" xfId="0" applyNumberFormat="1" applyFont="1" applyBorder="1" applyAlignment="1" applyProtection="1">
      <alignment horizontal="right"/>
    </xf>
    <xf numFmtId="0" fontId="0" fillId="0" borderId="0" xfId="0" applyBorder="1" applyAlignment="1" applyProtection="1">
      <alignment horizontal="right" vertical="center"/>
    </xf>
    <xf numFmtId="9" fontId="40" fillId="0" borderId="0" xfId="1" applyFont="1" applyBorder="1" applyAlignment="1" applyProtection="1">
      <alignment horizontal="right"/>
    </xf>
    <xf numFmtId="3" fontId="50" fillId="0" borderId="0" xfId="0" applyNumberFormat="1" applyFont="1" applyBorder="1" applyAlignment="1" applyProtection="1">
      <alignment horizontal="left" vertical="center"/>
    </xf>
    <xf numFmtId="0" fontId="18" fillId="3" borderId="0" xfId="0" applyFont="1" applyFill="1" applyBorder="1" applyAlignment="1" applyProtection="1">
      <alignment horizontal="right" vertical="center"/>
    </xf>
    <xf numFmtId="9" fontId="10" fillId="0" borderId="0" xfId="1" applyFont="1" applyBorder="1" applyAlignment="1" applyProtection="1">
      <alignment horizontal="left" vertical="top" wrapText="1"/>
    </xf>
    <xf numFmtId="0" fontId="6" fillId="0" borderId="0" xfId="0" applyFont="1" applyBorder="1" applyAlignment="1" applyProtection="1">
      <alignment horizontal="left" vertical="top" wrapText="1"/>
    </xf>
    <xf numFmtId="0" fontId="29" fillId="0" borderId="0" xfId="0" applyFont="1" applyBorder="1" applyAlignment="1" applyProtection="1">
      <alignment horizontal="left" vertical="top" wrapText="1"/>
    </xf>
    <xf numFmtId="0" fontId="3" fillId="0" borderId="8" xfId="0" applyFont="1" applyBorder="1" applyProtection="1"/>
    <xf numFmtId="0" fontId="3" fillId="0" borderId="47" xfId="0" applyFont="1" applyBorder="1" applyProtection="1"/>
    <xf numFmtId="3" fontId="2" fillId="0" borderId="0" xfId="0" applyNumberFormat="1" applyFont="1" applyBorder="1" applyAlignment="1" applyProtection="1">
      <alignment horizontal="left" vertical="center"/>
      <protection locked="0"/>
    </xf>
    <xf numFmtId="0" fontId="34" fillId="0" borderId="0" xfId="0" applyFont="1" applyFill="1" applyBorder="1" applyAlignment="1" applyProtection="1">
      <alignment vertical="center"/>
    </xf>
    <xf numFmtId="164" fontId="0" fillId="0" borderId="0" xfId="3" applyNumberFormat="1" applyFont="1" applyBorder="1" applyAlignment="1" applyProtection="1">
      <alignment horizontal="right"/>
    </xf>
    <xf numFmtId="4" fontId="10" fillId="0" borderId="0" xfId="0" applyNumberFormat="1" applyFont="1" applyBorder="1" applyProtection="1"/>
    <xf numFmtId="165" fontId="0" fillId="0" borderId="0" xfId="3" applyNumberFormat="1" applyFont="1" applyBorder="1" applyAlignment="1" applyProtection="1"/>
    <xf numFmtId="1" fontId="10" fillId="0" borderId="0" xfId="0" applyNumberFormat="1" applyFont="1" applyBorder="1" applyAlignment="1" applyProtection="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Border="1" applyAlignment="1" applyProtection="1">
      <alignment horizontal="center" vertical="center"/>
    </xf>
    <xf numFmtId="0" fontId="10" fillId="0" borderId="0" xfId="0" applyFont="1" applyBorder="1" applyAlignment="1" applyProtection="1">
      <alignment horizontal="right"/>
    </xf>
    <xf numFmtId="0" fontId="0" fillId="0" borderId="0" xfId="0" applyAlignment="1" applyProtection="1">
      <alignment horizontal="right"/>
    </xf>
    <xf numFmtId="165" fontId="10" fillId="0" borderId="0" xfId="0" applyNumberFormat="1" applyFont="1" applyBorder="1" applyAlignment="1" applyProtection="1">
      <alignment horizontal="right" vertical="center"/>
    </xf>
    <xf numFmtId="0" fontId="0" fillId="0" borderId="0" xfId="0" applyAlignment="1" applyProtection="1">
      <alignment horizontal="right" vertical="center"/>
    </xf>
    <xf numFmtId="0" fontId="0" fillId="0" borderId="5" xfId="0" applyBorder="1" applyAlignment="1" applyProtection="1">
      <alignment horizontal="right"/>
    </xf>
    <xf numFmtId="168" fontId="2" fillId="0" borderId="0" xfId="0" applyNumberFormat="1" applyFont="1" applyBorder="1" applyAlignment="1" applyProtection="1">
      <alignment horizontal="right" vertical="center"/>
    </xf>
    <xf numFmtId="0" fontId="53" fillId="0" borderId="0" xfId="0" applyFont="1" applyBorder="1" applyAlignment="1" applyProtection="1">
      <alignment horizontal="center"/>
    </xf>
    <xf numFmtId="9" fontId="3" fillId="4" borderId="0" xfId="1" applyFont="1" applyFill="1" applyBorder="1" applyAlignment="1" applyProtection="1">
      <alignment horizontal="right" vertical="center"/>
    </xf>
    <xf numFmtId="167" fontId="6" fillId="0" borderId="7" xfId="0" applyNumberFormat="1" applyFont="1" applyBorder="1" applyAlignment="1" applyProtection="1">
      <alignment vertical="center"/>
    </xf>
    <xf numFmtId="167" fontId="6" fillId="0" borderId="0" xfId="0" applyNumberFormat="1" applyFont="1" applyAlignment="1" applyProtection="1">
      <alignment vertical="top"/>
    </xf>
    <xf numFmtId="167" fontId="0" fillId="0" borderId="0" xfId="0" applyNumberFormat="1" applyProtection="1"/>
    <xf numFmtId="167" fontId="22" fillId="0" borderId="0" xfId="0" applyNumberFormat="1" applyFont="1" applyAlignment="1" applyProtection="1">
      <alignment vertical="top" wrapText="1"/>
    </xf>
    <xf numFmtId="167" fontId="22" fillId="0" borderId="0" xfId="0" applyNumberFormat="1" applyFont="1" applyAlignment="1" applyProtection="1">
      <alignment horizontal="center" vertical="top" wrapText="1"/>
    </xf>
    <xf numFmtId="167" fontId="22" fillId="0" borderId="0" xfId="0" applyNumberFormat="1" applyFont="1" applyAlignment="1" applyProtection="1">
      <alignment horizontal="right" vertical="top" wrapText="1"/>
    </xf>
    <xf numFmtId="167" fontId="6" fillId="3" borderId="0" xfId="0" applyNumberFormat="1" applyFont="1" applyFill="1" applyAlignment="1" applyProtection="1">
      <alignment horizontal="right" vertical="center"/>
    </xf>
    <xf numFmtId="167" fontId="6" fillId="0" borderId="0" xfId="0" applyNumberFormat="1" applyFont="1" applyAlignment="1" applyProtection="1">
      <alignment horizontal="left" vertical="top"/>
    </xf>
    <xf numFmtId="167" fontId="6" fillId="0" borderId="0" xfId="0" applyNumberFormat="1" applyFont="1" applyAlignment="1" applyProtection="1">
      <alignment horizontal="center" vertical="top"/>
    </xf>
    <xf numFmtId="0" fontId="0" fillId="0" borderId="1" xfId="0" applyBorder="1" applyAlignment="1" applyProtection="1">
      <alignment horizontal="left"/>
    </xf>
    <xf numFmtId="0" fontId="0" fillId="0" borderId="5" xfId="0" applyBorder="1" applyAlignment="1" applyProtection="1">
      <alignment horizontal="left"/>
    </xf>
    <xf numFmtId="0" fontId="10" fillId="0" borderId="0" xfId="0" applyFont="1" applyBorder="1" applyAlignment="1" applyProtection="1">
      <alignment horizontal="right"/>
    </xf>
    <xf numFmtId="0" fontId="0" fillId="0" borderId="0" xfId="0" applyBorder="1" applyAlignment="1" applyProtection="1">
      <alignment horizontal="right"/>
    </xf>
    <xf numFmtId="0" fontId="10" fillId="0" borderId="0" xfId="0" applyFont="1" applyBorder="1" applyAlignment="1" applyProtection="1">
      <alignment horizontal="left" vertical="center"/>
    </xf>
    <xf numFmtId="167" fontId="18" fillId="0" borderId="0" xfId="0" applyNumberFormat="1" applyFont="1" applyBorder="1" applyAlignment="1" applyProtection="1">
      <alignment horizontal="right"/>
    </xf>
    <xf numFmtId="165" fontId="18" fillId="0" borderId="0" xfId="0" applyNumberFormat="1" applyFont="1" applyBorder="1" applyAlignment="1" applyProtection="1">
      <alignment horizontal="right"/>
    </xf>
    <xf numFmtId="165" fontId="10" fillId="0" borderId="0" xfId="0" applyNumberFormat="1" applyFont="1" applyBorder="1" applyAlignment="1" applyProtection="1">
      <alignment horizontal="right"/>
    </xf>
    <xf numFmtId="0" fontId="0" fillId="0" borderId="0" xfId="0" applyAlignment="1" applyProtection="1">
      <alignment horizontal="right"/>
    </xf>
    <xf numFmtId="0" fontId="0" fillId="0" borderId="0" xfId="0" applyBorder="1" applyAlignment="1" applyProtection="1">
      <alignment horizontal="right" vertical="center"/>
    </xf>
    <xf numFmtId="9" fontId="16" fillId="0" borderId="0" xfId="0" applyNumberFormat="1" applyFont="1" applyBorder="1" applyAlignment="1" applyProtection="1">
      <alignment horizontal="right"/>
    </xf>
    <xf numFmtId="9" fontId="10" fillId="0" borderId="0" xfId="1" applyFont="1" applyBorder="1" applyAlignment="1" applyProtection="1">
      <alignment horizontal="left" vertical="top" wrapText="1"/>
    </xf>
    <xf numFmtId="0" fontId="6" fillId="0" borderId="0" xfId="0" applyFont="1" applyBorder="1" applyAlignment="1" applyProtection="1">
      <alignment horizontal="left" vertical="top" wrapText="1"/>
    </xf>
    <xf numFmtId="0" fontId="29" fillId="0" borderId="0" xfId="0" applyFont="1" applyBorder="1" applyAlignment="1" applyProtection="1">
      <alignment horizontal="left" vertical="top" wrapText="1"/>
    </xf>
    <xf numFmtId="167" fontId="18" fillId="0" borderId="0" xfId="0" applyNumberFormat="1" applyFont="1" applyBorder="1" applyAlignment="1" applyProtection="1">
      <alignment horizontal="right" vertical="center"/>
    </xf>
    <xf numFmtId="0" fontId="10" fillId="0" borderId="0" xfId="0" applyFont="1" applyBorder="1" applyAlignment="1" applyProtection="1">
      <alignment horizontal="left"/>
    </xf>
    <xf numFmtId="0" fontId="18" fillId="0" borderId="0" xfId="0" applyFont="1" applyBorder="1" applyAlignment="1" applyProtection="1">
      <alignment horizontal="left"/>
    </xf>
    <xf numFmtId="0" fontId="2" fillId="0" borderId="0" xfId="0" applyFont="1" applyBorder="1" applyAlignment="1" applyProtection="1">
      <alignment horizontal="right" vertical="center"/>
    </xf>
    <xf numFmtId="0" fontId="0" fillId="0" borderId="0" xfId="0" applyBorder="1" applyAlignment="1" applyProtection="1">
      <alignment horizontal="left"/>
    </xf>
    <xf numFmtId="9" fontId="2" fillId="0" borderId="0" xfId="1" applyFont="1" applyBorder="1" applyAlignment="1" applyProtection="1">
      <alignment vertical="center"/>
    </xf>
    <xf numFmtId="0" fontId="3" fillId="0" borderId="24" xfId="0" applyFont="1" applyBorder="1" applyProtection="1"/>
    <xf numFmtId="0" fontId="3" fillId="0" borderId="25" xfId="0" applyFont="1" applyBorder="1" applyProtection="1"/>
    <xf numFmtId="0" fontId="27" fillId="0" borderId="0" xfId="0" applyFont="1" applyBorder="1" applyAlignment="1" applyProtection="1">
      <alignment horizontal="left" vertical="center"/>
    </xf>
    <xf numFmtId="0" fontId="38" fillId="0" borderId="0" xfId="0" applyFont="1" applyAlignment="1" applyProtection="1">
      <alignment horizontal="left"/>
    </xf>
    <xf numFmtId="0" fontId="2" fillId="0" borderId="1" xfId="0" applyFont="1" applyBorder="1" applyAlignment="1" applyProtection="1">
      <alignment horizontal="left"/>
    </xf>
    <xf numFmtId="0" fontId="2" fillId="0" borderId="0" xfId="0" applyFont="1" applyAlignment="1" applyProtection="1">
      <alignment horizontal="left"/>
    </xf>
    <xf numFmtId="0" fontId="0" fillId="0" borderId="22" xfId="0" applyBorder="1" applyAlignment="1" applyProtection="1">
      <alignment horizontal="left"/>
    </xf>
    <xf numFmtId="0" fontId="36" fillId="0" borderId="27" xfId="0" applyFont="1" applyBorder="1" applyAlignment="1" applyProtection="1">
      <alignment horizontal="left" vertical="center"/>
    </xf>
    <xf numFmtId="0" fontId="36" fillId="0" borderId="0" xfId="0" applyFont="1" applyBorder="1" applyAlignment="1" applyProtection="1">
      <alignment horizontal="left" vertical="center"/>
    </xf>
    <xf numFmtId="0" fontId="26" fillId="0" borderId="0" xfId="0" applyFont="1" applyBorder="1" applyAlignment="1" applyProtection="1">
      <alignment horizontal="left" vertical="center"/>
    </xf>
    <xf numFmtId="0" fontId="0" fillId="0" borderId="0" xfId="0" applyAlignment="1" applyProtection="1">
      <alignment horizontal="left" vertical="center"/>
    </xf>
    <xf numFmtId="0" fontId="0" fillId="0" borderId="27" xfId="0" applyBorder="1" applyAlignment="1" applyProtection="1">
      <alignment horizontal="left"/>
    </xf>
    <xf numFmtId="0" fontId="3" fillId="0" borderId="0" xfId="0" applyFont="1" applyAlignment="1" applyProtection="1">
      <alignment horizontal="left" vertical="center"/>
    </xf>
    <xf numFmtId="0" fontId="0" fillId="0" borderId="1" xfId="0" applyBorder="1" applyAlignment="1" applyProtection="1">
      <alignment horizontal="left" vertical="center"/>
    </xf>
    <xf numFmtId="0" fontId="3" fillId="0" borderId="27" xfId="0" applyFont="1" applyBorder="1" applyAlignment="1" applyProtection="1">
      <alignment horizontal="left" vertical="center"/>
    </xf>
    <xf numFmtId="0" fontId="3" fillId="0" borderId="0" xfId="0" applyFont="1" applyBorder="1" applyAlignment="1" applyProtection="1">
      <alignment horizontal="left" vertical="center"/>
    </xf>
    <xf numFmtId="0" fontId="27" fillId="0" borderId="0" xfId="0" applyFont="1" applyBorder="1" applyAlignment="1" applyProtection="1">
      <alignment horizontal="left"/>
    </xf>
    <xf numFmtId="0" fontId="10" fillId="0" borderId="0" xfId="0" applyFont="1" applyAlignment="1" applyProtection="1">
      <alignment horizontal="left"/>
    </xf>
    <xf numFmtId="0" fontId="12" fillId="0" borderId="0" xfId="0" applyFont="1" applyAlignment="1" applyProtection="1">
      <alignment horizontal="left"/>
    </xf>
    <xf numFmtId="0" fontId="12" fillId="0" borderId="0" xfId="0" applyFont="1" applyBorder="1" applyAlignment="1" applyProtection="1">
      <alignment horizontal="left" vertical="center"/>
    </xf>
    <xf numFmtId="0" fontId="3" fillId="2" borderId="0" xfId="0" applyFont="1" applyFill="1" applyAlignment="1" applyProtection="1">
      <alignment horizontal="left"/>
    </xf>
    <xf numFmtId="0" fontId="3" fillId="0" borderId="5" xfId="0" applyFont="1" applyBorder="1" applyAlignment="1" applyProtection="1">
      <alignment horizontal="left"/>
    </xf>
    <xf numFmtId="0" fontId="3" fillId="0" borderId="0" xfId="0" applyFont="1" applyBorder="1" applyAlignment="1" applyProtection="1">
      <alignment horizontal="left"/>
    </xf>
    <xf numFmtId="0" fontId="0" fillId="0" borderId="13" xfId="0" applyBorder="1" applyAlignment="1" applyProtection="1">
      <alignment horizontal="left"/>
    </xf>
    <xf numFmtId="0" fontId="19" fillId="0" borderId="0" xfId="0" applyFont="1" applyBorder="1" applyAlignment="1" applyProtection="1">
      <alignment horizontal="left"/>
    </xf>
    <xf numFmtId="0" fontId="10" fillId="0" borderId="18" xfId="0" applyFont="1" applyBorder="1" applyAlignment="1" applyProtection="1">
      <alignment horizontal="left"/>
    </xf>
    <xf numFmtId="0" fontId="10" fillId="0" borderId="13" xfId="0" applyFont="1" applyBorder="1" applyAlignment="1" applyProtection="1">
      <alignment horizontal="left"/>
    </xf>
    <xf numFmtId="0" fontId="0" fillId="0" borderId="18" xfId="0" applyBorder="1" applyAlignment="1" applyProtection="1">
      <alignment horizontal="left"/>
    </xf>
    <xf numFmtId="0" fontId="10" fillId="0" borderId="0" xfId="0" applyFont="1" applyFill="1" applyBorder="1" applyAlignment="1" applyProtection="1">
      <alignment horizontal="left"/>
    </xf>
    <xf numFmtId="0" fontId="10" fillId="0" borderId="0" xfId="0" applyFont="1" applyFill="1" applyBorder="1" applyAlignment="1" applyProtection="1">
      <alignment horizontal="left" vertical="center"/>
    </xf>
    <xf numFmtId="0" fontId="30" fillId="0" borderId="0" xfId="0" applyFont="1" applyBorder="1" applyAlignment="1" applyProtection="1">
      <alignment horizontal="left"/>
    </xf>
    <xf numFmtId="0" fontId="6" fillId="0" borderId="0" xfId="0" applyFont="1" applyBorder="1" applyAlignment="1" applyProtection="1">
      <alignment horizontal="left"/>
    </xf>
    <xf numFmtId="0" fontId="10" fillId="0" borderId="0" xfId="0" applyFont="1" applyBorder="1" applyAlignment="1" applyProtection="1">
      <alignment horizontal="left" vertical="top"/>
    </xf>
    <xf numFmtId="0" fontId="0" fillId="0" borderId="0" xfId="0" applyFill="1" applyAlignment="1" applyProtection="1">
      <alignment horizontal="left" vertical="center"/>
    </xf>
    <xf numFmtId="0" fontId="0" fillId="0" borderId="0" xfId="0" applyFont="1" applyAlignment="1" applyProtection="1">
      <alignment horizontal="left" vertical="center"/>
    </xf>
    <xf numFmtId="0" fontId="0" fillId="9" borderId="0" xfId="0" applyFill="1" applyAlignment="1" applyProtection="1">
      <alignment horizontal="left"/>
    </xf>
    <xf numFmtId="0" fontId="25" fillId="6" borderId="0" xfId="0" applyFont="1" applyFill="1" applyAlignment="1" applyProtection="1">
      <alignment horizontal="left" vertical="center"/>
    </xf>
    <xf numFmtId="0" fontId="6" fillId="3" borderId="0" xfId="0" applyFont="1" applyFill="1" applyAlignment="1" applyProtection="1">
      <alignment horizontal="left" vertical="center"/>
    </xf>
    <xf numFmtId="0" fontId="6" fillId="0" borderId="9" xfId="0" applyFont="1" applyBorder="1" applyAlignment="1" applyProtection="1">
      <alignment horizontal="left" vertical="center"/>
    </xf>
    <xf numFmtId="0" fontId="3" fillId="0" borderId="5" xfId="0" applyFont="1" applyBorder="1" applyAlignment="1" applyProtection="1">
      <alignment horizontal="left" vertical="center"/>
    </xf>
    <xf numFmtId="0" fontId="3" fillId="2" borderId="0" xfId="0" applyFont="1" applyFill="1" applyAlignment="1" applyProtection="1">
      <alignment horizontal="left" vertical="center"/>
    </xf>
    <xf numFmtId="0" fontId="6" fillId="3" borderId="0" xfId="0" applyFont="1" applyFill="1" applyAlignment="1" applyProtection="1">
      <alignment horizontal="left" vertical="top"/>
    </xf>
    <xf numFmtId="0" fontId="6" fillId="0" borderId="0" xfId="0" applyFont="1" applyBorder="1" applyAlignment="1" applyProtection="1">
      <alignment horizontal="left" vertical="center"/>
    </xf>
    <xf numFmtId="0" fontId="0" fillId="0" borderId="0" xfId="0" applyAlignment="1" applyProtection="1">
      <alignment horizontal="left" vertical="top"/>
    </xf>
    <xf numFmtId="0" fontId="0" fillId="0" borderId="0" xfId="0" applyFill="1" applyBorder="1" applyAlignment="1" applyProtection="1">
      <alignment horizontal="left"/>
    </xf>
    <xf numFmtId="0" fontId="7" fillId="0" borderId="0" xfId="0" applyFont="1" applyAlignment="1" applyProtection="1">
      <alignment horizontal="left"/>
    </xf>
    <xf numFmtId="0" fontId="27" fillId="0" borderId="1" xfId="0" applyFont="1" applyBorder="1" applyAlignment="1" applyProtection="1">
      <alignment horizontal="left"/>
    </xf>
    <xf numFmtId="0" fontId="0" fillId="0" borderId="22" xfId="0" applyBorder="1" applyAlignment="1" applyProtection="1">
      <alignment horizontal="left" vertical="center"/>
    </xf>
    <xf numFmtId="0" fontId="10" fillId="0" borderId="0" xfId="0" applyFont="1" applyBorder="1" applyAlignment="1" applyProtection="1">
      <alignment horizontal="left"/>
    </xf>
    <xf numFmtId="0" fontId="0" fillId="0" borderId="1" xfId="0" applyBorder="1" applyAlignment="1" applyProtection="1">
      <alignment horizontal="left"/>
    </xf>
    <xf numFmtId="0" fontId="10" fillId="0" borderId="0" xfId="0" applyFont="1" applyBorder="1" applyAlignment="1" applyProtection="1">
      <alignment horizontal="left"/>
    </xf>
    <xf numFmtId="0" fontId="55" fillId="0" borderId="0" xfId="0" applyFont="1" applyBorder="1" applyAlignment="1" applyProtection="1">
      <alignment horizontal="right"/>
    </xf>
    <xf numFmtId="0" fontId="0" fillId="0" borderId="0" xfId="0" applyAlignment="1" applyProtection="1">
      <alignment horizontal="right" vertical="center"/>
    </xf>
    <xf numFmtId="0" fontId="16" fillId="0" borderId="0" xfId="0" quotePrefix="1" applyFont="1" applyBorder="1" applyAlignment="1" applyProtection="1">
      <alignment horizontal="right"/>
    </xf>
    <xf numFmtId="0" fontId="16" fillId="0" borderId="0" xfId="0" quotePrefix="1" applyFont="1" applyBorder="1" applyProtection="1"/>
    <xf numFmtId="0" fontId="20" fillId="0" borderId="0" xfId="0" quotePrefix="1" applyFont="1" applyAlignment="1" applyProtection="1">
      <alignment horizontal="right"/>
    </xf>
    <xf numFmtId="0" fontId="10" fillId="0" borderId="0" xfId="0" quotePrefix="1" applyFont="1" applyBorder="1" applyProtection="1"/>
    <xf numFmtId="0" fontId="27" fillId="0" borderId="0" xfId="0" quotePrefix="1" applyFont="1" applyBorder="1" applyAlignment="1" applyProtection="1">
      <alignment horizontal="left"/>
    </xf>
    <xf numFmtId="0" fontId="10" fillId="0" borderId="0" xfId="0" quotePrefix="1" applyFont="1" applyBorder="1" applyAlignment="1" applyProtection="1">
      <alignment vertical="center"/>
    </xf>
    <xf numFmtId="0" fontId="10" fillId="0" borderId="0" xfId="0" quotePrefix="1" applyFont="1" applyBorder="1" applyAlignment="1" applyProtection="1"/>
    <xf numFmtId="0" fontId="36" fillId="0" borderId="27" xfId="0" quotePrefix="1" applyFont="1" applyBorder="1" applyAlignment="1" applyProtection="1">
      <alignment horizontal="left" vertical="center"/>
    </xf>
    <xf numFmtId="0" fontId="18" fillId="0" borderId="0" xfId="0" quotePrefix="1" applyFont="1" applyBorder="1" applyProtection="1"/>
    <xf numFmtId="0" fontId="0" fillId="0" borderId="0" xfId="0" quotePrefix="1" applyBorder="1" applyAlignment="1" applyProtection="1">
      <alignment horizontal="left"/>
    </xf>
    <xf numFmtId="0" fontId="10" fillId="0" borderId="0" xfId="0" quotePrefix="1" applyFont="1" applyBorder="1" applyAlignment="1" applyProtection="1">
      <alignment horizontal="left"/>
    </xf>
    <xf numFmtId="0" fontId="16" fillId="0" borderId="0" xfId="0" quotePrefix="1" applyFont="1" applyBorder="1" applyAlignment="1" applyProtection="1">
      <alignment horizontal="left"/>
    </xf>
    <xf numFmtId="0" fontId="27" fillId="0" borderId="0" xfId="0" quotePrefix="1" applyFont="1" applyBorder="1" applyProtection="1"/>
    <xf numFmtId="0" fontId="48" fillId="0" borderId="0" xfId="0" quotePrefix="1" applyFont="1" applyAlignment="1" applyProtection="1">
      <alignment horizontal="left" vertical="center"/>
    </xf>
    <xf numFmtId="0" fontId="36" fillId="0" borderId="27" xfId="0" quotePrefix="1" applyFont="1" applyBorder="1" applyAlignment="1" applyProtection="1">
      <alignment vertical="center"/>
    </xf>
    <xf numFmtId="0" fontId="10" fillId="0" borderId="0" xfId="0" quotePrefix="1" applyFont="1" applyFill="1" applyBorder="1" applyProtection="1"/>
    <xf numFmtId="0" fontId="18" fillId="0" borderId="0" xfId="0" quotePrefix="1" applyFont="1" applyBorder="1" applyAlignment="1" applyProtection="1"/>
    <xf numFmtId="0" fontId="6" fillId="0" borderId="9" xfId="0" quotePrefix="1" applyFont="1" applyBorder="1" applyAlignment="1" applyProtection="1">
      <alignment horizontal="left" vertical="center"/>
    </xf>
    <xf numFmtId="0" fontId="0" fillId="0" borderId="5" xfId="0" quotePrefix="1" applyBorder="1" applyAlignment="1" applyProtection="1">
      <alignment vertical="center"/>
    </xf>
    <xf numFmtId="0" fontId="6" fillId="3" borderId="0" xfId="0" quotePrefix="1" applyFont="1" applyFill="1" applyAlignment="1" applyProtection="1">
      <alignment horizontal="left" vertical="center"/>
    </xf>
    <xf numFmtId="0" fontId="6" fillId="3" borderId="0" xfId="0" quotePrefix="1" applyFont="1" applyFill="1" applyAlignment="1" applyProtection="1">
      <alignment horizontal="left" vertical="top"/>
    </xf>
    <xf numFmtId="0" fontId="6" fillId="0" borderId="5" xfId="0" quotePrefix="1" applyFont="1" applyBorder="1" applyAlignment="1" applyProtection="1">
      <alignment horizontal="left" vertical="top"/>
    </xf>
    <xf numFmtId="0" fontId="0" fillId="0" borderId="4" xfId="0" quotePrefix="1" applyBorder="1" applyAlignment="1" applyProtection="1">
      <alignment vertical="center"/>
    </xf>
    <xf numFmtId="0" fontId="3" fillId="2" borderId="0" xfId="0" quotePrefix="1" applyFont="1" applyFill="1" applyBorder="1" applyAlignment="1" applyProtection="1">
      <alignment vertical="center"/>
    </xf>
    <xf numFmtId="0" fontId="0" fillId="0" borderId="0" xfId="0" quotePrefix="1" applyFont="1" applyProtection="1"/>
    <xf numFmtId="0" fontId="16" fillId="0" borderId="0" xfId="0" quotePrefix="1" applyFont="1" applyProtection="1"/>
    <xf numFmtId="0" fontId="39" fillId="0" borderId="0" xfId="0" quotePrefix="1" applyFont="1" applyProtection="1"/>
    <xf numFmtId="0" fontId="32" fillId="0" borderId="0" xfId="0" quotePrefix="1" applyFont="1" applyAlignment="1" applyProtection="1">
      <alignment horizontal="left" vertical="center"/>
    </xf>
    <xf numFmtId="0" fontId="10" fillId="0" borderId="0" xfId="0" quotePrefix="1" applyFont="1" applyFill="1" applyBorder="1" applyAlignment="1" applyProtection="1">
      <alignment horizontal="left" vertical="center"/>
    </xf>
    <xf numFmtId="0" fontId="0" fillId="0" borderId="0" xfId="0" quotePrefix="1" applyBorder="1" applyAlignment="1" applyProtection="1">
      <alignment horizontal="left" vertical="center"/>
    </xf>
    <xf numFmtId="0" fontId="10" fillId="0" borderId="0" xfId="0" quotePrefix="1" applyFont="1" applyBorder="1" applyAlignment="1" applyProtection="1">
      <alignment horizontal="left" vertical="center"/>
    </xf>
    <xf numFmtId="0" fontId="10" fillId="0" borderId="0" xfId="0" quotePrefix="1" applyFont="1" applyBorder="1" applyAlignment="1" applyProtection="1">
      <alignment vertical="top"/>
    </xf>
    <xf numFmtId="0" fontId="52" fillId="0" borderId="0" xfId="0" quotePrefix="1" applyFont="1" applyAlignment="1">
      <alignment horizontal="left" vertical="center"/>
    </xf>
    <xf numFmtId="0" fontId="27" fillId="0" borderId="1" xfId="0" quotePrefix="1" applyFont="1" applyBorder="1" applyAlignment="1" applyProtection="1">
      <alignment horizontal="left"/>
    </xf>
    <xf numFmtId="0" fontId="0" fillId="0" borderId="0" xfId="0" quotePrefix="1" applyBorder="1" applyAlignment="1" applyProtection="1">
      <alignment vertical="center"/>
    </xf>
    <xf numFmtId="0" fontId="27" fillId="0" borderId="0" xfId="0" quotePrefix="1" applyFont="1" applyBorder="1" applyAlignment="1" applyProtection="1">
      <alignment horizontal="left" vertical="center"/>
    </xf>
    <xf numFmtId="0" fontId="3" fillId="0" borderId="1" xfId="0" quotePrefix="1" applyFont="1" applyBorder="1" applyAlignment="1" applyProtection="1">
      <alignment vertical="center"/>
    </xf>
    <xf numFmtId="0" fontId="0" fillId="0" borderId="1" xfId="0" quotePrefix="1" applyBorder="1" applyAlignment="1" applyProtection="1">
      <alignment vertical="center"/>
    </xf>
    <xf numFmtId="0" fontId="27" fillId="0" borderId="0" xfId="0" quotePrefix="1" applyFont="1" applyBorder="1" applyAlignment="1" applyProtection="1">
      <alignment vertical="center"/>
    </xf>
    <xf numFmtId="0" fontId="0" fillId="0" borderId="5" xfId="0" quotePrefix="1" applyBorder="1" applyAlignment="1" applyProtection="1">
      <alignment horizontal="left" vertical="center"/>
    </xf>
    <xf numFmtId="0" fontId="0" fillId="0" borderId="1" xfId="0" quotePrefix="1" applyBorder="1" applyAlignment="1" applyProtection="1">
      <alignment horizontal="left" vertical="center"/>
    </xf>
    <xf numFmtId="0" fontId="0" fillId="0" borderId="1" xfId="0" quotePrefix="1" applyBorder="1" applyProtection="1"/>
    <xf numFmtId="0" fontId="0" fillId="0" borderId="5" xfId="0" quotePrefix="1" applyBorder="1" applyProtection="1"/>
    <xf numFmtId="0" fontId="0" fillId="0" borderId="7" xfId="0" quotePrefix="1" applyBorder="1" applyProtection="1"/>
    <xf numFmtId="0" fontId="0" fillId="0" borderId="8" xfId="0" quotePrefix="1" applyBorder="1" applyProtection="1"/>
    <xf numFmtId="0" fontId="0" fillId="0" borderId="5" xfId="0" quotePrefix="1" applyBorder="1" applyAlignment="1" applyProtection="1">
      <alignment horizontal="left"/>
    </xf>
    <xf numFmtId="0" fontId="0" fillId="0" borderId="1" xfId="0" quotePrefix="1" applyBorder="1" applyAlignment="1" applyProtection="1">
      <alignment horizontal="left"/>
    </xf>
    <xf numFmtId="0" fontId="26" fillId="0" borderId="0" xfId="0" quotePrefix="1" applyFont="1" applyBorder="1" applyAlignment="1" applyProtection="1">
      <alignment horizontal="left" vertical="center"/>
    </xf>
    <xf numFmtId="0" fontId="0" fillId="0" borderId="0" xfId="0" quotePrefix="1" applyBorder="1" applyProtection="1"/>
    <xf numFmtId="0" fontId="0" fillId="0" borderId="46" xfId="0" quotePrefix="1" applyBorder="1" applyAlignment="1" applyProtection="1">
      <alignment vertical="top"/>
    </xf>
    <xf numFmtId="0" fontId="3" fillId="0" borderId="47" xfId="0" quotePrefix="1" applyFont="1" applyBorder="1" applyProtection="1"/>
    <xf numFmtId="0" fontId="3" fillId="0" borderId="0" xfId="0" quotePrefix="1" applyFont="1" applyBorder="1" applyProtection="1"/>
    <xf numFmtId="0" fontId="3" fillId="0" borderId="8" xfId="0" quotePrefix="1" applyFont="1" applyBorder="1" applyProtection="1"/>
    <xf numFmtId="3" fontId="41" fillId="0" borderId="0" xfId="0" quotePrefix="1" applyNumberFormat="1" applyFont="1" applyBorder="1" applyAlignment="1" applyProtection="1">
      <alignment horizontal="left" vertical="center"/>
    </xf>
    <xf numFmtId="3" fontId="55" fillId="0" borderId="0" xfId="0" quotePrefix="1" applyNumberFormat="1" applyFont="1" applyBorder="1" applyAlignment="1" applyProtection="1">
      <alignment horizontal="left" vertical="center"/>
    </xf>
    <xf numFmtId="0" fontId="41" fillId="0" borderId="18" xfId="0" applyFont="1" applyBorder="1" applyProtection="1"/>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vertical="center"/>
    </xf>
    <xf numFmtId="0" fontId="54" fillId="0" borderId="0" xfId="0" applyFont="1" applyBorder="1" applyAlignment="1" applyProtection="1">
      <alignment horizontal="center" vertical="center"/>
      <protection locked="0"/>
    </xf>
    <xf numFmtId="0" fontId="0" fillId="0" borderId="0" xfId="0" applyBorder="1" applyAlignment="1" applyProtection="1">
      <alignment horizontal="right"/>
    </xf>
    <xf numFmtId="0" fontId="10" fillId="0" borderId="0" xfId="0" applyFont="1" applyBorder="1" applyAlignment="1" applyProtection="1">
      <alignment horizontal="right"/>
    </xf>
    <xf numFmtId="0" fontId="18" fillId="0" borderId="0" xfId="0" applyFont="1" applyBorder="1" applyAlignment="1" applyProtection="1">
      <alignment horizontal="right"/>
    </xf>
    <xf numFmtId="0" fontId="0" fillId="0" borderId="0" xfId="0" applyBorder="1" applyAlignment="1" applyProtection="1">
      <alignment vertical="center"/>
    </xf>
    <xf numFmtId="0" fontId="10" fillId="0" borderId="0" xfId="0" applyFont="1" applyBorder="1" applyAlignment="1" applyProtection="1">
      <alignment horizontal="right" vertical="center"/>
    </xf>
    <xf numFmtId="3" fontId="18" fillId="0" borderId="0" xfId="0" applyNumberFormat="1" applyFont="1" applyBorder="1" applyAlignment="1" applyProtection="1">
      <alignment horizontal="right"/>
    </xf>
    <xf numFmtId="0" fontId="2" fillId="0" borderId="0" xfId="0" applyFont="1" applyBorder="1" applyAlignment="1" applyProtection="1">
      <alignment vertical="center"/>
    </xf>
    <xf numFmtId="0" fontId="2" fillId="0" borderId="0" xfId="0" applyFont="1" applyBorder="1" applyAlignment="1" applyProtection="1">
      <alignment horizontal="right" vertical="center"/>
    </xf>
    <xf numFmtId="0" fontId="39" fillId="0" borderId="0" xfId="0" applyFont="1"/>
    <xf numFmtId="167" fontId="0" fillId="0" borderId="0" xfId="0" applyNumberFormat="1" applyFont="1" applyBorder="1" applyAlignment="1" applyProtection="1">
      <alignment vertical="top"/>
    </xf>
    <xf numFmtId="0" fontId="0" fillId="0" borderId="0" xfId="0" applyFont="1" applyBorder="1" applyAlignment="1" applyProtection="1">
      <alignment vertical="top"/>
    </xf>
    <xf numFmtId="0" fontId="2" fillId="0" borderId="0" xfId="0" applyFont="1" applyBorder="1" applyAlignment="1" applyProtection="1">
      <alignment vertical="top"/>
    </xf>
    <xf numFmtId="0" fontId="0" fillId="0" borderId="0" xfId="0" applyBorder="1" applyAlignment="1" applyProtection="1">
      <alignment horizontal="center" vertical="top"/>
    </xf>
    <xf numFmtId="0" fontId="56" fillId="12" borderId="0" xfId="0" applyFont="1" applyFill="1" applyAlignment="1" applyProtection="1">
      <alignment horizontal="center"/>
    </xf>
    <xf numFmtId="0" fontId="10" fillId="0" borderId="0" xfId="0" applyFont="1"/>
    <xf numFmtId="0" fontId="26" fillId="0" borderId="0"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0" fillId="0" borderId="0" xfId="0" quotePrefix="1" applyBorder="1" applyAlignment="1" applyProtection="1">
      <alignment vertical="top"/>
    </xf>
    <xf numFmtId="0" fontId="0" fillId="0" borderId="21" xfId="0" applyBorder="1" applyAlignment="1" applyProtection="1">
      <alignment vertical="center"/>
    </xf>
    <xf numFmtId="0" fontId="0" fillId="0" borderId="23" xfId="0" applyBorder="1" applyAlignment="1" applyProtection="1">
      <alignment vertical="center"/>
    </xf>
    <xf numFmtId="0" fontId="54" fillId="0" borderId="0" xfId="0" applyFont="1" applyBorder="1" applyAlignment="1" applyProtection="1">
      <alignment horizontal="center"/>
      <protection locked="0"/>
    </xf>
    <xf numFmtId="0" fontId="18" fillId="0" borderId="0" xfId="0" applyFont="1" applyBorder="1" applyAlignment="1" applyProtection="1">
      <alignment horizontal="right"/>
    </xf>
    <xf numFmtId="0" fontId="10" fillId="0" borderId="0" xfId="0" applyFont="1" applyBorder="1" applyAlignment="1" applyProtection="1">
      <alignment horizontal="right"/>
    </xf>
    <xf numFmtId="0" fontId="0" fillId="0" borderId="1" xfId="0" applyBorder="1" applyAlignment="1" applyProtection="1">
      <alignment horizontal="left"/>
    </xf>
    <xf numFmtId="0" fontId="42" fillId="0" borderId="0" xfId="0" applyFont="1" applyAlignment="1" applyProtection="1">
      <alignment horizontal="left"/>
    </xf>
    <xf numFmtId="0" fontId="0" fillId="0" borderId="0" xfId="0" applyBorder="1" applyAlignment="1" applyProtection="1">
      <alignment horizontal="right"/>
    </xf>
    <xf numFmtId="0" fontId="10" fillId="0" borderId="0" xfId="0" applyFont="1" applyBorder="1" applyAlignment="1" applyProtection="1">
      <alignment horizontal="right"/>
    </xf>
    <xf numFmtId="0" fontId="0" fillId="0" borderId="0" xfId="0" applyBorder="1" applyAlignment="1" applyProtection="1"/>
    <xf numFmtId="167" fontId="18" fillId="0" borderId="0" xfId="0" applyNumberFormat="1" applyFont="1" applyBorder="1" applyAlignment="1" applyProtection="1">
      <alignment horizontal="right"/>
    </xf>
    <xf numFmtId="167" fontId="0" fillId="0" borderId="0" xfId="0" applyNumberFormat="1" applyFont="1" applyBorder="1" applyAlignment="1" applyProtection="1">
      <alignment horizontal="right"/>
    </xf>
    <xf numFmtId="0" fontId="0" fillId="0" borderId="0" xfId="0" quotePrefix="1" applyBorder="1" applyAlignment="1" applyProtection="1">
      <alignment vertical="center"/>
    </xf>
    <xf numFmtId="0" fontId="0" fillId="0" borderId="0" xfId="0" applyBorder="1" applyAlignment="1" applyProtection="1">
      <alignment vertical="center"/>
    </xf>
    <xf numFmtId="0" fontId="10" fillId="0" borderId="0" xfId="0" applyFont="1" applyBorder="1" applyAlignment="1" applyProtection="1">
      <alignment horizontal="left"/>
    </xf>
    <xf numFmtId="0" fontId="2" fillId="0" borderId="0" xfId="0" applyFont="1" applyBorder="1" applyAlignment="1" applyProtection="1">
      <alignment horizontal="left" vertical="center"/>
    </xf>
    <xf numFmtId="0" fontId="0" fillId="0" borderId="0" xfId="0" applyBorder="1" applyAlignment="1" applyProtection="1">
      <alignment horizontal="left"/>
    </xf>
    <xf numFmtId="0" fontId="4" fillId="0" borderId="0" xfId="0" applyFont="1" applyBorder="1" applyProtection="1"/>
    <xf numFmtId="167" fontId="18" fillId="0" borderId="8" xfId="0" applyNumberFormat="1" applyFont="1" applyBorder="1" applyAlignment="1" applyProtection="1">
      <alignment horizontal="right"/>
    </xf>
    <xf numFmtId="167" fontId="3" fillId="0" borderId="8" xfId="0" applyNumberFormat="1" applyFont="1" applyBorder="1" applyAlignment="1" applyProtection="1">
      <alignment horizontal="right" vertical="center"/>
    </xf>
    <xf numFmtId="0" fontId="10" fillId="0" borderId="8" xfId="0" applyFont="1" applyBorder="1" applyAlignment="1" applyProtection="1">
      <alignment horizontal="right"/>
    </xf>
    <xf numFmtId="3" fontId="55" fillId="0" borderId="0" xfId="0" quotePrefix="1" applyNumberFormat="1" applyFont="1" applyBorder="1" applyAlignment="1" applyProtection="1">
      <alignment horizontal="right" vertical="center"/>
    </xf>
    <xf numFmtId="3" fontId="41" fillId="0" borderId="0" xfId="0" quotePrefix="1" applyNumberFormat="1" applyFont="1" applyBorder="1" applyAlignment="1" applyProtection="1">
      <alignment horizontal="right" vertical="center"/>
    </xf>
    <xf numFmtId="167" fontId="10" fillId="0" borderId="0" xfId="0" applyNumberFormat="1" applyFont="1" applyBorder="1" applyAlignment="1" applyProtection="1">
      <alignment horizontal="left"/>
    </xf>
    <xf numFmtId="165" fontId="59" fillId="0" borderId="0" xfId="0" applyNumberFormat="1" applyFont="1" applyBorder="1" applyAlignment="1" applyProtection="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0" fontId="10" fillId="0" borderId="0" xfId="0" applyFont="1" applyBorder="1" applyAlignment="1" applyProtection="1">
      <alignment horizontal="right"/>
    </xf>
    <xf numFmtId="0" fontId="0" fillId="0" borderId="0" xfId="0" applyBorder="1" applyAlignment="1" applyProtection="1">
      <alignment vertical="center"/>
    </xf>
    <xf numFmtId="0" fontId="0" fillId="0" borderId="0" xfId="0" applyAlignment="1" applyProtection="1">
      <alignment horizontal="right" vertical="center"/>
    </xf>
    <xf numFmtId="0" fontId="0" fillId="0" borderId="0" xfId="0" applyAlignment="1" applyProtection="1">
      <alignment horizontal="right" vertical="center"/>
    </xf>
    <xf numFmtId="3" fontId="10" fillId="0" borderId="0" xfId="0" applyNumberFormat="1" applyFont="1" applyBorder="1" applyAlignment="1" applyProtection="1">
      <alignment horizontal="right"/>
    </xf>
    <xf numFmtId="0" fontId="10" fillId="0" borderId="0" xfId="0" applyFont="1" applyBorder="1" applyAlignment="1" applyProtection="1">
      <alignment horizontal="right"/>
    </xf>
    <xf numFmtId="167" fontId="10" fillId="0" borderId="0" xfId="0" applyNumberFormat="1" applyFont="1" applyBorder="1" applyAlignment="1" applyProtection="1">
      <alignment horizontal="right"/>
    </xf>
    <xf numFmtId="167" fontId="18" fillId="0" borderId="0" xfId="0" applyNumberFormat="1" applyFont="1" applyBorder="1" applyAlignment="1" applyProtection="1">
      <alignment horizontal="right"/>
    </xf>
    <xf numFmtId="0" fontId="18" fillId="0" borderId="0" xfId="0" applyFont="1" applyBorder="1" applyAlignment="1" applyProtection="1">
      <alignment horizontal="right"/>
    </xf>
    <xf numFmtId="0" fontId="6" fillId="0" borderId="0" xfId="0" applyFont="1" applyBorder="1" applyAlignment="1" applyProtection="1">
      <alignment horizontal="left" vertical="top" wrapText="1"/>
    </xf>
    <xf numFmtId="9" fontId="0" fillId="0" borderId="5" xfId="0" applyNumberFormat="1" applyBorder="1" applyAlignment="1" applyProtection="1">
      <alignment horizontal="left" vertical="top"/>
    </xf>
    <xf numFmtId="167" fontId="59" fillId="0" borderId="0" xfId="0" applyNumberFormat="1" applyFont="1" applyBorder="1" applyAlignment="1" applyProtection="1">
      <alignment horizontal="right"/>
    </xf>
    <xf numFmtId="9" fontId="10" fillId="0" borderId="0" xfId="1" applyFont="1" applyBorder="1" applyAlignment="1" applyProtection="1">
      <alignment horizontal="left" vertical="top" wrapText="1"/>
    </xf>
    <xf numFmtId="0" fontId="0" fillId="0" borderId="0" xfId="0" applyBorder="1" applyAlignment="1" applyProtection="1">
      <alignment horizontal="right"/>
    </xf>
    <xf numFmtId="167" fontId="0" fillId="0" borderId="0" xfId="0" applyNumberFormat="1" applyFont="1" applyBorder="1" applyAlignment="1" applyProtection="1">
      <alignment horizontal="right"/>
    </xf>
    <xf numFmtId="165" fontId="10" fillId="0" borderId="0" xfId="0" applyNumberFormat="1" applyFont="1" applyBorder="1" applyAlignment="1" applyProtection="1">
      <alignment horizontal="right"/>
    </xf>
    <xf numFmtId="9" fontId="16" fillId="0" borderId="0" xfId="0" applyNumberFormat="1" applyFont="1" applyBorder="1" applyAlignment="1" applyProtection="1">
      <alignment horizontal="right"/>
    </xf>
    <xf numFmtId="9" fontId="40" fillId="0" borderId="0" xfId="1" applyFont="1" applyBorder="1" applyAlignment="1" applyProtection="1">
      <alignment horizontal="right"/>
    </xf>
    <xf numFmtId="0" fontId="0" fillId="0" borderId="0" xfId="0" applyBorder="1" applyAlignment="1" applyProtection="1">
      <alignment horizontal="right" vertical="center"/>
    </xf>
    <xf numFmtId="167" fontId="31" fillId="0" borderId="0" xfId="0" applyNumberFormat="1" applyFont="1" applyBorder="1" applyAlignment="1" applyProtection="1">
      <alignment horizontal="right"/>
    </xf>
    <xf numFmtId="165" fontId="18" fillId="0" borderId="0" xfId="0" applyNumberFormat="1" applyFont="1" applyBorder="1" applyAlignment="1" applyProtection="1">
      <alignment horizontal="right"/>
    </xf>
    <xf numFmtId="167" fontId="18" fillId="0" borderId="0" xfId="0" applyNumberFormat="1" applyFont="1" applyFill="1" applyBorder="1" applyAlignment="1" applyProtection="1">
      <alignment horizontal="right"/>
    </xf>
    <xf numFmtId="1" fontId="0" fillId="0" borderId="0" xfId="0" applyNumberFormat="1" applyFont="1" applyBorder="1" applyAlignment="1" applyProtection="1">
      <alignment horizontal="right"/>
    </xf>
    <xf numFmtId="167" fontId="24" fillId="0" borderId="0" xfId="0" applyNumberFormat="1" applyFont="1" applyBorder="1" applyAlignment="1" applyProtection="1">
      <alignment horizontal="right"/>
    </xf>
    <xf numFmtId="0" fontId="10" fillId="0" borderId="0" xfId="0" applyFont="1" applyBorder="1" applyAlignment="1" applyProtection="1">
      <alignment horizontal="left"/>
    </xf>
    <xf numFmtId="0" fontId="0" fillId="0" borderId="0" xfId="0" applyBorder="1" applyAlignment="1" applyProtection="1">
      <alignment horizontal="left"/>
    </xf>
    <xf numFmtId="0" fontId="2" fillId="0" borderId="0" xfId="0" applyFont="1" applyBorder="1" applyAlignment="1" applyProtection="1">
      <alignment horizontal="left" vertical="center"/>
    </xf>
    <xf numFmtId="0" fontId="18" fillId="0" borderId="1" xfId="0" applyFont="1" applyFill="1" applyBorder="1" applyProtection="1"/>
    <xf numFmtId="0" fontId="0" fillId="0" borderId="0" xfId="0" applyFill="1" applyBorder="1" applyAlignment="1" applyProtection="1">
      <alignment vertical="center"/>
    </xf>
    <xf numFmtId="0" fontId="60" fillId="0" borderId="0" xfId="0" applyFont="1" applyAlignment="1" applyProtection="1"/>
    <xf numFmtId="0" fontId="0" fillId="0" borderId="54" xfId="0" applyBorder="1" applyProtection="1"/>
    <xf numFmtId="0" fontId="0" fillId="0" borderId="0" xfId="0" applyFont="1" applyBorder="1" applyAlignment="1" applyProtection="1">
      <alignment horizontal="left" vertical="top" wrapText="1"/>
    </xf>
    <xf numFmtId="0" fontId="43" fillId="0" borderId="0" xfId="2" applyFont="1" applyBorder="1" applyAlignment="1" applyProtection="1">
      <alignment horizontal="left" vertical="center"/>
    </xf>
    <xf numFmtId="0" fontId="26" fillId="0" borderId="0" xfId="0" applyFont="1" applyBorder="1" applyAlignment="1" applyProtection="1">
      <alignment horizontal="center" vertical="center"/>
    </xf>
    <xf numFmtId="0" fontId="29" fillId="0" borderId="0" xfId="0" applyFont="1" applyBorder="1" applyAlignment="1" applyProtection="1">
      <alignment horizontal="left"/>
    </xf>
    <xf numFmtId="0" fontId="0" fillId="0" borderId="0" xfId="0" applyAlignment="1" applyProtection="1">
      <alignment horizontal="right" vertical="center"/>
    </xf>
    <xf numFmtId="0" fontId="0" fillId="0" borderId="5" xfId="0" applyBorder="1" applyAlignment="1" applyProtection="1">
      <alignment horizontal="right"/>
    </xf>
    <xf numFmtId="0" fontId="0" fillId="0" borderId="0" xfId="0" quotePrefix="1" applyFill="1" applyBorder="1" applyAlignment="1" applyProtection="1">
      <alignment horizontal="left" vertical="center"/>
    </xf>
    <xf numFmtId="0" fontId="0" fillId="0" borderId="5" xfId="0" quotePrefix="1" applyBorder="1" applyAlignment="1" applyProtection="1">
      <alignment horizontal="left" vertical="top"/>
    </xf>
    <xf numFmtId="0" fontId="0" fillId="0" borderId="5" xfId="0" applyBorder="1" applyAlignment="1" applyProtection="1">
      <alignment horizontal="right"/>
    </xf>
    <xf numFmtId="171" fontId="3" fillId="0" borderId="5" xfId="0" applyNumberFormat="1" applyFont="1" applyBorder="1" applyAlignment="1" applyProtection="1">
      <alignment horizontal="right"/>
    </xf>
    <xf numFmtId="171" fontId="3" fillId="0" borderId="5" xfId="0" applyNumberFormat="1" applyFont="1" applyBorder="1" applyProtection="1"/>
    <xf numFmtId="171" fontId="3" fillId="0" borderId="0" xfId="0" applyNumberFormat="1" applyFont="1" applyProtection="1"/>
    <xf numFmtId="0" fontId="2" fillId="0" borderId="0" xfId="0" applyFont="1" applyBorder="1" applyAlignment="1" applyProtection="1">
      <alignment horizontal="right" vertical="center"/>
    </xf>
    <xf numFmtId="0" fontId="54" fillId="0" borderId="0" xfId="0" applyFont="1" applyBorder="1" applyAlignment="1" applyProtection="1">
      <alignment horizontal="center" vertical="top"/>
      <protection locked="0"/>
    </xf>
    <xf numFmtId="0" fontId="0" fillId="0" borderId="0" xfId="0" applyBorder="1" applyAlignment="1" applyProtection="1">
      <alignment horizontal="left" vertical="top"/>
    </xf>
    <xf numFmtId="0" fontId="0" fillId="0" borderId="0" xfId="0" applyAlignment="1" applyProtection="1">
      <alignment horizontal="right" vertical="center"/>
    </xf>
    <xf numFmtId="168" fontId="2" fillId="0" borderId="0" xfId="0" applyNumberFormat="1" applyFont="1" applyBorder="1" applyAlignment="1" applyProtection="1">
      <alignment horizontal="right" vertical="center"/>
    </xf>
    <xf numFmtId="0" fontId="0" fillId="0" borderId="0" xfId="0" quotePrefix="1" applyFill="1" applyBorder="1" applyAlignment="1" applyProtection="1">
      <alignment vertical="center"/>
    </xf>
    <xf numFmtId="0" fontId="3" fillId="0" borderId="0" xfId="0" applyFont="1" applyFill="1" applyBorder="1" applyAlignment="1" applyProtection="1">
      <alignment vertical="center"/>
    </xf>
    <xf numFmtId="0" fontId="3" fillId="0" borderId="0" xfId="0" quotePrefix="1" applyFont="1" applyFill="1" applyBorder="1" applyAlignment="1" applyProtection="1">
      <alignment vertical="center"/>
    </xf>
    <xf numFmtId="0" fontId="10" fillId="0" borderId="0" xfId="0" applyFont="1" applyBorder="1" applyAlignment="1" applyProtection="1">
      <alignment horizontal="left"/>
    </xf>
    <xf numFmtId="0" fontId="0" fillId="0" borderId="0" xfId="0" applyBorder="1" applyAlignment="1" applyProtection="1">
      <alignment horizontal="left"/>
    </xf>
    <xf numFmtId="0" fontId="0" fillId="0" borderId="7" xfId="0" applyBorder="1" applyAlignment="1" applyProtection="1">
      <alignment vertical="center"/>
    </xf>
    <xf numFmtId="0" fontId="0" fillId="0" borderId="31" xfId="0" applyBorder="1" applyAlignment="1" applyProtection="1">
      <alignment vertical="center"/>
    </xf>
    <xf numFmtId="0" fontId="0" fillId="0" borderId="7" xfId="0" applyBorder="1" applyProtection="1"/>
    <xf numFmtId="0" fontId="0" fillId="0" borderId="31" xfId="0" applyBorder="1" applyProtection="1"/>
    <xf numFmtId="3" fontId="18" fillId="0" borderId="0" xfId="0" applyNumberFormat="1" applyFont="1" applyBorder="1" applyAlignment="1" applyProtection="1">
      <alignment horizontal="right"/>
    </xf>
    <xf numFmtId="0" fontId="10" fillId="0" borderId="0" xfId="0" applyFont="1" applyBorder="1" applyAlignment="1" applyProtection="1">
      <alignment horizontal="left"/>
    </xf>
    <xf numFmtId="0" fontId="0" fillId="0" borderId="0" xfId="0" applyFont="1" applyAlignment="1" applyProtection="1">
      <alignment vertical="top"/>
    </xf>
    <xf numFmtId="0" fontId="0" fillId="0" borderId="8" xfId="0" applyFont="1" applyBorder="1"/>
    <xf numFmtId="0" fontId="0" fillId="0" borderId="8" xfId="0" applyFont="1" applyBorder="1" applyAlignment="1">
      <alignment horizontal="right"/>
    </xf>
    <xf numFmtId="0" fontId="0" fillId="0" borderId="7" xfId="0" applyFont="1" applyBorder="1"/>
    <xf numFmtId="0" fontId="0" fillId="0" borderId="7" xfId="0" applyFont="1" applyBorder="1" applyAlignment="1">
      <alignment horizontal="right"/>
    </xf>
    <xf numFmtId="0" fontId="0" fillId="0" borderId="0" xfId="0" applyFont="1"/>
    <xf numFmtId="0" fontId="0" fillId="0" borderId="0" xfId="0" applyFont="1" applyAlignment="1">
      <alignment horizontal="right"/>
    </xf>
    <xf numFmtId="0" fontId="64" fillId="0" borderId="30" xfId="0" applyFont="1" applyBorder="1" applyAlignment="1">
      <alignment horizontal="left"/>
    </xf>
    <xf numFmtId="0" fontId="0" fillId="0" borderId="30" xfId="0" applyFont="1" applyBorder="1" applyAlignment="1">
      <alignment horizontal="left"/>
    </xf>
    <xf numFmtId="0" fontId="64" fillId="0" borderId="30" xfId="0" applyFont="1" applyBorder="1"/>
    <xf numFmtId="9" fontId="0" fillId="0" borderId="30" xfId="0" applyNumberFormat="1" applyFont="1" applyBorder="1" applyAlignment="1">
      <alignment horizontal="left"/>
    </xf>
    <xf numFmtId="0" fontId="0" fillId="0" borderId="0" xfId="0" applyFont="1" applyBorder="1"/>
    <xf numFmtId="0" fontId="0" fillId="0" borderId="0" xfId="0" applyFont="1" applyBorder="1" applyAlignment="1">
      <alignment horizontal="right"/>
    </xf>
    <xf numFmtId="0" fontId="10" fillId="0" borderId="0" xfId="0" applyFont="1" applyBorder="1" applyAlignment="1" applyProtection="1">
      <alignment horizontal="right"/>
    </xf>
    <xf numFmtId="0" fontId="0" fillId="0" borderId="0" xfId="0" applyAlignment="1" applyProtection="1">
      <alignment horizontal="right" vertical="center"/>
    </xf>
    <xf numFmtId="0" fontId="10" fillId="0" borderId="0" xfId="0" applyFont="1" applyBorder="1" applyAlignment="1" applyProtection="1">
      <alignment horizontal="left"/>
    </xf>
    <xf numFmtId="167" fontId="0" fillId="0" borderId="0" xfId="0" applyNumberFormat="1" applyBorder="1" applyAlignment="1" applyProtection="1">
      <alignment horizontal="right"/>
    </xf>
    <xf numFmtId="165" fontId="10" fillId="0" borderId="0" xfId="0" applyNumberFormat="1" applyFont="1" applyBorder="1" applyAlignment="1" applyProtection="1">
      <alignment vertical="center"/>
    </xf>
    <xf numFmtId="0" fontId="66" fillId="0" borderId="0" xfId="0" applyFont="1"/>
    <xf numFmtId="0" fontId="67" fillId="0" borderId="0" xfId="0" applyFont="1"/>
    <xf numFmtId="0" fontId="62" fillId="7" borderId="8" xfId="0" applyFont="1" applyFill="1" applyBorder="1"/>
    <xf numFmtId="0" fontId="0" fillId="0" borderId="8" xfId="0" applyFont="1" applyBorder="1" applyProtection="1"/>
    <xf numFmtId="0" fontId="0" fillId="0" borderId="8" xfId="0" applyFont="1" applyBorder="1" applyAlignment="1" applyProtection="1">
      <alignment vertical="center"/>
    </xf>
    <xf numFmtId="0" fontId="63" fillId="0" borderId="8" xfId="0" applyFont="1" applyBorder="1" applyAlignment="1">
      <alignment horizontal="right"/>
    </xf>
    <xf numFmtId="9" fontId="0" fillId="0" borderId="8" xfId="0" applyNumberFormat="1" applyFont="1" applyBorder="1"/>
    <xf numFmtId="0" fontId="62" fillId="0" borderId="8" xfId="0" applyFont="1" applyFill="1" applyBorder="1"/>
    <xf numFmtId="0" fontId="3" fillId="0" borderId="15" xfId="0" applyFont="1" applyFill="1" applyBorder="1" applyAlignment="1" applyProtection="1">
      <alignment vertical="center"/>
    </xf>
    <xf numFmtId="0" fontId="3" fillId="0" borderId="0" xfId="0" applyFont="1" applyFill="1" applyAlignment="1" applyProtection="1">
      <alignment horizontal="left" vertical="center"/>
    </xf>
    <xf numFmtId="0" fontId="18" fillId="0" borderId="0" xfId="0" quotePrefix="1" applyFont="1" applyFill="1" applyBorder="1" applyProtection="1"/>
    <xf numFmtId="0" fontId="18" fillId="0" borderId="0" xfId="0" applyFont="1" applyFill="1" applyBorder="1" applyProtection="1"/>
    <xf numFmtId="0" fontId="18" fillId="0" borderId="0" xfId="0" applyFont="1" applyFill="1" applyBorder="1" applyAlignment="1" applyProtection="1">
      <alignment vertical="center"/>
    </xf>
    <xf numFmtId="3" fontId="18" fillId="0" borderId="0" xfId="0" applyNumberFormat="1" applyFont="1" applyFill="1" applyBorder="1" applyAlignment="1" applyProtection="1">
      <alignment horizontal="right"/>
    </xf>
    <xf numFmtId="0" fontId="18" fillId="0" borderId="0" xfId="0" applyFont="1" applyFill="1" applyBorder="1" applyAlignment="1" applyProtection="1">
      <alignment horizontal="right"/>
    </xf>
    <xf numFmtId="0" fontId="3" fillId="0" borderId="16" xfId="0" applyFont="1" applyFill="1" applyBorder="1" applyAlignment="1" applyProtection="1">
      <alignment vertical="center"/>
    </xf>
    <xf numFmtId="0" fontId="3" fillId="0" borderId="0" xfId="0" applyFont="1" applyFill="1" applyAlignment="1" applyProtection="1">
      <alignment vertical="center"/>
    </xf>
    <xf numFmtId="0" fontId="3" fillId="0" borderId="15" xfId="0" applyFont="1" applyBorder="1" applyAlignment="1" applyProtection="1"/>
    <xf numFmtId="0" fontId="3" fillId="0" borderId="0" xfId="0" applyFont="1" applyBorder="1" applyAlignment="1" applyProtection="1"/>
    <xf numFmtId="0" fontId="3" fillId="0" borderId="16" xfId="0" applyFont="1" applyBorder="1" applyAlignment="1" applyProtection="1"/>
    <xf numFmtId="0" fontId="3" fillId="0" borderId="0" xfId="0" applyFont="1" applyAlignment="1" applyProtection="1"/>
    <xf numFmtId="0" fontId="6" fillId="0" borderId="9" xfId="0" applyFont="1" applyFill="1" applyBorder="1" applyAlignment="1" applyProtection="1">
      <alignment horizontal="right" vertical="center"/>
    </xf>
    <xf numFmtId="0" fontId="0" fillId="0" borderId="9" xfId="0" applyBorder="1" applyAlignment="1" applyProtection="1">
      <alignment horizontal="right" vertical="center"/>
    </xf>
    <xf numFmtId="0" fontId="0" fillId="0" borderId="9" xfId="0" applyBorder="1" applyAlignment="1" applyProtection="1">
      <alignment horizontal="right"/>
    </xf>
    <xf numFmtId="0" fontId="10" fillId="0" borderId="0" xfId="0" applyFont="1" applyBorder="1" applyAlignment="1" applyProtection="1">
      <alignment horizontal="right"/>
    </xf>
    <xf numFmtId="3" fontId="18" fillId="0" borderId="0" xfId="3" applyNumberFormat="1" applyFont="1" applyBorder="1" applyAlignment="1" applyProtection="1">
      <alignment horizontal="right"/>
    </xf>
    <xf numFmtId="3" fontId="18" fillId="0" borderId="0" xfId="0" applyNumberFormat="1" applyFont="1" applyFill="1" applyBorder="1" applyAlignment="1" applyProtection="1">
      <alignment horizontal="right"/>
    </xf>
    <xf numFmtId="3" fontId="18" fillId="0" borderId="0" xfId="0" applyNumberFormat="1" applyFont="1" applyBorder="1" applyAlignment="1" applyProtection="1">
      <alignment horizontal="right"/>
    </xf>
    <xf numFmtId="167" fontId="18" fillId="0" borderId="0" xfId="0" applyNumberFormat="1" applyFont="1" applyBorder="1" applyAlignment="1" applyProtection="1">
      <alignment horizontal="right"/>
    </xf>
    <xf numFmtId="0" fontId="18" fillId="0" borderId="0" xfId="0" applyFont="1" applyBorder="1" applyAlignment="1" applyProtection="1">
      <alignment horizontal="right"/>
    </xf>
    <xf numFmtId="3" fontId="2" fillId="0" borderId="0" xfId="0" applyNumberFormat="1" applyFont="1" applyBorder="1" applyAlignment="1" applyProtection="1">
      <alignment horizontal="right" vertical="center"/>
    </xf>
    <xf numFmtId="0" fontId="0" fillId="0" borderId="0" xfId="0" applyBorder="1" applyAlignment="1" applyProtection="1">
      <alignment horizontal="left"/>
    </xf>
    <xf numFmtId="14" fontId="70" fillId="0" borderId="0" xfId="0" applyNumberFormat="1" applyFont="1" applyAlignment="1" applyProtection="1">
      <alignment horizontal="left" vertical="center"/>
    </xf>
    <xf numFmtId="0" fontId="0" fillId="14" borderId="0" xfId="0" applyFill="1" applyAlignment="1" applyProtection="1">
      <alignment vertical="top"/>
    </xf>
    <xf numFmtId="0" fontId="0" fillId="15" borderId="0" xfId="0" applyFill="1" applyProtection="1"/>
    <xf numFmtId="0" fontId="40" fillId="0" borderId="15" xfId="0" applyFont="1" applyBorder="1" applyProtection="1"/>
    <xf numFmtId="0" fontId="40" fillId="0" borderId="0" xfId="0" applyFont="1" applyProtection="1"/>
    <xf numFmtId="0" fontId="40" fillId="7" borderId="0" xfId="0" applyFont="1" applyFill="1" applyBorder="1" applyProtection="1"/>
    <xf numFmtId="0" fontId="40" fillId="0" borderId="0" xfId="0" applyFont="1" applyBorder="1" applyProtection="1"/>
    <xf numFmtId="0" fontId="40" fillId="0" borderId="0" xfId="0" applyFont="1" applyBorder="1" applyAlignment="1" applyProtection="1">
      <alignment vertical="center"/>
    </xf>
    <xf numFmtId="0" fontId="40" fillId="0" borderId="0" xfId="0" applyFont="1" applyAlignment="1" applyProtection="1">
      <alignment vertical="center"/>
    </xf>
    <xf numFmtId="165" fontId="74" fillId="0" borderId="0" xfId="0" applyNumberFormat="1" applyFont="1" applyBorder="1" applyAlignment="1" applyProtection="1">
      <alignment horizontal="left"/>
    </xf>
    <xf numFmtId="0" fontId="69" fillId="0" borderId="0" xfId="0" applyFont="1" applyFill="1" applyBorder="1" applyAlignment="1" applyProtection="1">
      <alignment vertical="center"/>
    </xf>
    <xf numFmtId="0" fontId="69" fillId="0" borderId="0" xfId="0" applyFont="1" applyFill="1" applyBorder="1" applyProtection="1"/>
    <xf numFmtId="0" fontId="0" fillId="7" borderId="0" xfId="0" applyFill="1" applyAlignment="1" applyProtection="1">
      <alignment vertical="center"/>
    </xf>
    <xf numFmtId="3" fontId="1" fillId="0" borderId="0" xfId="0" applyNumberFormat="1" applyFont="1" applyBorder="1" applyAlignment="1" applyProtection="1">
      <alignment vertical="center"/>
    </xf>
    <xf numFmtId="0" fontId="10" fillId="7" borderId="0" xfId="0" quotePrefix="1" applyFont="1" applyFill="1" applyBorder="1" applyAlignment="1" applyProtection="1">
      <alignment vertical="top"/>
    </xf>
    <xf numFmtId="0" fontId="0" fillId="0" borderId="0" xfId="0" applyBorder="1" applyAlignment="1" applyProtection="1">
      <alignment wrapText="1"/>
    </xf>
    <xf numFmtId="0" fontId="0" fillId="0" borderId="0" xfId="0" applyAlignment="1" applyProtection="1">
      <alignment horizontal="right" vertical="center"/>
    </xf>
    <xf numFmtId="0" fontId="0" fillId="0" borderId="0" xfId="0" applyBorder="1" applyAlignment="1" applyProtection="1"/>
    <xf numFmtId="0" fontId="0" fillId="0" borderId="5" xfId="0" applyBorder="1" applyAlignment="1" applyProtection="1">
      <alignment horizontal="right"/>
    </xf>
    <xf numFmtId="0" fontId="3" fillId="0" borderId="5" xfId="0" applyFont="1" applyBorder="1" applyAlignment="1" applyProtection="1">
      <alignment horizontal="right"/>
    </xf>
    <xf numFmtId="168" fontId="2" fillId="0" borderId="0" xfId="0" applyNumberFormat="1" applyFont="1" applyBorder="1" applyAlignment="1" applyProtection="1">
      <alignment horizontal="right" vertical="center"/>
    </xf>
    <xf numFmtId="168" fontId="0" fillId="0" borderId="0" xfId="0" applyNumberFormat="1" applyFont="1" applyBorder="1" applyAlignment="1" applyProtection="1">
      <alignment horizontal="right" vertical="center"/>
    </xf>
    <xf numFmtId="0" fontId="0" fillId="0" borderId="0" xfId="0" applyBorder="1" applyAlignment="1" applyProtection="1">
      <alignment horizontal="left"/>
    </xf>
    <xf numFmtId="0" fontId="0" fillId="7" borderId="0" xfId="0" applyFill="1" applyProtection="1"/>
    <xf numFmtId="0" fontId="0" fillId="7" borderId="0" xfId="0" applyFill="1" applyAlignment="1" applyProtection="1">
      <alignment vertical="top"/>
    </xf>
    <xf numFmtId="0" fontId="73" fillId="0" borderId="1" xfId="0" applyFont="1" applyBorder="1" applyProtection="1"/>
    <xf numFmtId="2" fontId="3" fillId="2" borderId="1" xfId="0" applyNumberFormat="1" applyFont="1" applyFill="1" applyBorder="1" applyAlignment="1" applyProtection="1">
      <alignment horizontal="left"/>
    </xf>
    <xf numFmtId="0" fontId="73" fillId="0" borderId="0" xfId="0" applyFont="1" applyFill="1" applyBorder="1" applyAlignment="1" applyProtection="1">
      <alignment vertical="center"/>
    </xf>
    <xf numFmtId="0" fontId="73" fillId="0" borderId="0" xfId="0" quotePrefix="1" applyFont="1" applyFill="1" applyBorder="1" applyAlignment="1" applyProtection="1">
      <alignment vertical="center"/>
    </xf>
    <xf numFmtId="0" fontId="10" fillId="0" borderId="0" xfId="0" applyFont="1" applyBorder="1" applyAlignment="1" applyProtection="1">
      <alignment horizontal="right"/>
    </xf>
    <xf numFmtId="0" fontId="18" fillId="0" borderId="0" xfId="0" applyFont="1" applyBorder="1" applyAlignment="1" applyProtection="1">
      <alignment horizontal="right"/>
    </xf>
    <xf numFmtId="0" fontId="0" fillId="0" borderId="0" xfId="0" applyBorder="1" applyAlignment="1" applyProtection="1">
      <alignment horizontal="right"/>
    </xf>
    <xf numFmtId="3" fontId="10" fillId="0" borderId="0" xfId="0" applyNumberFormat="1" applyFont="1" applyBorder="1" applyAlignment="1" applyProtection="1">
      <alignment horizontal="right"/>
    </xf>
    <xf numFmtId="0" fontId="10" fillId="0" borderId="0" xfId="0" applyFont="1" applyBorder="1" applyAlignment="1" applyProtection="1">
      <alignment horizontal="right"/>
    </xf>
    <xf numFmtId="167" fontId="18" fillId="0" borderId="0" xfId="0" applyNumberFormat="1" applyFont="1" applyBorder="1" applyAlignment="1" applyProtection="1">
      <alignment horizontal="right"/>
    </xf>
    <xf numFmtId="0" fontId="10" fillId="0" borderId="0" xfId="0" applyFont="1" applyBorder="1" applyAlignment="1" applyProtection="1">
      <alignment horizontal="left" vertical="top"/>
    </xf>
    <xf numFmtId="167" fontId="10" fillId="0" borderId="0" xfId="0" applyNumberFormat="1" applyFont="1" applyBorder="1" applyAlignment="1" applyProtection="1">
      <alignment horizontal="right"/>
    </xf>
    <xf numFmtId="0" fontId="0" fillId="0" borderId="0" xfId="0" applyBorder="1" applyAlignment="1" applyProtection="1"/>
    <xf numFmtId="165" fontId="10" fillId="0" borderId="0" xfId="0" applyNumberFormat="1" applyFont="1" applyBorder="1" applyAlignment="1" applyProtection="1">
      <alignment horizontal="right"/>
    </xf>
    <xf numFmtId="0" fontId="6" fillId="0" borderId="0" xfId="0" applyFont="1" applyBorder="1" applyAlignment="1" applyProtection="1">
      <alignment horizontal="left" vertical="top" wrapText="1"/>
    </xf>
    <xf numFmtId="0" fontId="29" fillId="0" borderId="0" xfId="0" applyFont="1" applyBorder="1" applyAlignment="1" applyProtection="1">
      <alignment horizontal="left" vertical="top" wrapText="1"/>
    </xf>
    <xf numFmtId="0" fontId="10" fillId="0" borderId="0" xfId="0" applyFont="1" applyBorder="1" applyAlignment="1" applyProtection="1">
      <alignment horizontal="left"/>
    </xf>
    <xf numFmtId="0" fontId="0" fillId="0" borderId="0" xfId="0" applyBorder="1" applyAlignment="1" applyProtection="1">
      <alignment horizontal="left"/>
    </xf>
    <xf numFmtId="168" fontId="3" fillId="0" borderId="0" xfId="0" applyNumberFormat="1" applyFont="1" applyBorder="1" applyAlignment="1" applyProtection="1">
      <alignment horizontal="right"/>
    </xf>
    <xf numFmtId="0" fontId="10" fillId="0" borderId="8" xfId="0" applyFont="1" applyBorder="1" applyAlignment="1" applyProtection="1">
      <alignment vertical="center"/>
    </xf>
    <xf numFmtId="0" fontId="10" fillId="0" borderId="8" xfId="0" applyFont="1" applyBorder="1" applyProtection="1"/>
    <xf numFmtId="0" fontId="0" fillId="0" borderId="0" xfId="0" applyAlignment="1" applyProtection="1">
      <alignment wrapText="1"/>
    </xf>
    <xf numFmtId="3" fontId="75" fillId="0" borderId="0" xfId="0" applyNumberFormat="1" applyFont="1" applyBorder="1" applyAlignment="1" applyProtection="1">
      <alignment horizontal="left" vertical="center"/>
      <protection locked="0"/>
    </xf>
    <xf numFmtId="0" fontId="0" fillId="0" borderId="0" xfId="0" applyAlignment="1" applyProtection="1">
      <alignment horizontal="left" vertical="center"/>
    </xf>
    <xf numFmtId="0" fontId="73" fillId="0" borderId="15" xfId="0" applyFont="1" applyBorder="1" applyAlignment="1" applyProtection="1">
      <alignment vertical="center"/>
    </xf>
    <xf numFmtId="3" fontId="73" fillId="0" borderId="0" xfId="0" applyNumberFormat="1" applyFont="1" applyBorder="1" applyAlignment="1" applyProtection="1">
      <alignment vertical="center"/>
    </xf>
    <xf numFmtId="0" fontId="73" fillId="0" borderId="0" xfId="0" applyFont="1" applyAlignment="1" applyProtection="1">
      <alignment vertical="center"/>
    </xf>
    <xf numFmtId="3" fontId="18" fillId="0" borderId="0" xfId="0" applyNumberFormat="1" applyFont="1" applyBorder="1" applyAlignment="1" applyProtection="1">
      <alignment vertical="center"/>
    </xf>
    <xf numFmtId="0" fontId="73" fillId="0" borderId="0" xfId="0" applyFont="1" applyBorder="1" applyAlignment="1" applyProtection="1">
      <alignment vertical="center"/>
    </xf>
    <xf numFmtId="0" fontId="73" fillId="0" borderId="16" xfId="0" applyFont="1" applyBorder="1" applyAlignment="1" applyProtection="1">
      <alignment vertical="center"/>
    </xf>
    <xf numFmtId="0" fontId="69" fillId="7" borderId="0" xfId="0" applyFont="1" applyFill="1"/>
    <xf numFmtId="168" fontId="1" fillId="0" borderId="0" xfId="0" applyNumberFormat="1" applyFont="1" applyBorder="1" applyAlignment="1" applyProtection="1">
      <alignment horizontal="right" vertical="center"/>
    </xf>
    <xf numFmtId="168" fontId="1" fillId="0" borderId="0" xfId="0" applyNumberFormat="1" applyFont="1" applyBorder="1" applyAlignment="1" applyProtection="1">
      <alignment vertical="center"/>
    </xf>
    <xf numFmtId="168" fontId="1" fillId="0" borderId="0" xfId="0" applyNumberFormat="1" applyFont="1" applyBorder="1" applyAlignment="1" applyProtection="1">
      <alignment horizontal="left" vertical="center"/>
    </xf>
    <xf numFmtId="2" fontId="3" fillId="2" borderId="1" xfId="0" applyNumberFormat="1" applyFont="1" applyFill="1" applyBorder="1" applyAlignment="1" applyProtection="1"/>
    <xf numFmtId="0" fontId="3" fillId="2" borderId="1" xfId="0" applyFont="1" applyFill="1" applyBorder="1" applyAlignment="1" applyProtection="1"/>
    <xf numFmtId="0" fontId="3" fillId="2" borderId="1" xfId="0" applyFont="1" applyFill="1" applyBorder="1" applyAlignment="1" applyProtection="1">
      <alignment horizontal="left"/>
    </xf>
    <xf numFmtId="1" fontId="0" fillId="0" borderId="0" xfId="0" applyNumberFormat="1" applyBorder="1" applyProtection="1"/>
    <xf numFmtId="0" fontId="73" fillId="0" borderId="1" xfId="0" applyFont="1" applyBorder="1" applyAlignment="1" applyProtection="1">
      <alignment horizontal="center"/>
    </xf>
    <xf numFmtId="0" fontId="1" fillId="0" borderId="0" xfId="0" applyFont="1" applyBorder="1" applyAlignment="1" applyProtection="1">
      <alignment horizontal="right" vertical="center"/>
    </xf>
    <xf numFmtId="0" fontId="0" fillId="0" borderId="0" xfId="0" quotePrefix="1" applyFill="1" applyBorder="1" applyAlignment="1" applyProtection="1">
      <alignment horizontal="left" vertical="top" wrapText="1"/>
    </xf>
    <xf numFmtId="0" fontId="8" fillId="0" borderId="0" xfId="0" applyFont="1" applyFill="1" applyBorder="1" applyAlignment="1" applyProtection="1">
      <alignment vertical="top"/>
    </xf>
    <xf numFmtId="0" fontId="0" fillId="0" borderId="26" xfId="0" applyBorder="1" applyAlignment="1" applyProtection="1">
      <alignment vertical="top"/>
    </xf>
    <xf numFmtId="0" fontId="73" fillId="0" borderId="0" xfId="0" quotePrefix="1" applyFont="1" applyBorder="1" applyAlignment="1" applyProtection="1">
      <alignment horizontal="left" vertical="center"/>
    </xf>
    <xf numFmtId="0" fontId="73" fillId="0" borderId="0" xfId="0" applyFont="1" applyBorder="1" applyAlignment="1" applyProtection="1">
      <alignment horizontal="left" vertical="center"/>
    </xf>
    <xf numFmtId="0" fontId="73" fillId="0" borderId="0" xfId="0" quotePrefix="1" applyFont="1" applyBorder="1" applyAlignment="1" applyProtection="1">
      <alignment vertical="center"/>
    </xf>
    <xf numFmtId="0" fontId="73" fillId="0" borderId="0" xfId="0" quotePrefix="1" applyFont="1" applyBorder="1" applyAlignment="1" applyProtection="1">
      <alignment horizontal="left" vertical="top"/>
    </xf>
    <xf numFmtId="0" fontId="73" fillId="0" borderId="0" xfId="0" applyFont="1" applyBorder="1" applyAlignment="1" applyProtection="1">
      <alignment horizontal="left"/>
    </xf>
    <xf numFmtId="0" fontId="73" fillId="0" borderId="0" xfId="0" quotePrefix="1" applyFont="1" applyBorder="1" applyAlignment="1" applyProtection="1">
      <alignment horizontal="left"/>
    </xf>
    <xf numFmtId="0" fontId="77" fillId="0" borderId="0" xfId="0" applyFont="1" applyBorder="1" applyProtection="1"/>
    <xf numFmtId="0" fontId="0" fillId="18" borderId="1" xfId="0" applyFill="1" applyBorder="1" applyProtection="1"/>
    <xf numFmtId="0" fontId="0" fillId="0" borderId="0" xfId="0" applyFill="1" applyAlignment="1" applyProtection="1">
      <alignment horizontal="center" vertical="top" wrapText="1"/>
    </xf>
    <xf numFmtId="3" fontId="75" fillId="0" borderId="0" xfId="0" applyNumberFormat="1" applyFont="1" applyBorder="1" applyAlignment="1" applyProtection="1">
      <alignment horizontal="left" vertical="center"/>
    </xf>
    <xf numFmtId="0" fontId="63" fillId="7" borderId="0" xfId="0" applyFont="1" applyFill="1" applyAlignment="1" applyProtection="1">
      <alignment vertical="center"/>
    </xf>
    <xf numFmtId="0" fontId="10" fillId="0" borderId="0" xfId="0" applyFont="1" applyBorder="1" applyAlignment="1" applyProtection="1">
      <alignment horizontal="right"/>
    </xf>
    <xf numFmtId="0" fontId="0" fillId="0" borderId="0" xfId="0" applyBorder="1" applyAlignment="1" applyProtection="1">
      <alignment horizontal="right"/>
    </xf>
    <xf numFmtId="167" fontId="18" fillId="0" borderId="0" xfId="0" applyNumberFormat="1" applyFont="1" applyBorder="1" applyAlignment="1" applyProtection="1">
      <alignment horizontal="right"/>
    </xf>
    <xf numFmtId="0" fontId="10" fillId="0" borderId="0" xfId="0" applyFont="1" applyBorder="1" applyAlignment="1" applyProtection="1">
      <alignment horizontal="left"/>
    </xf>
    <xf numFmtId="3" fontId="10" fillId="0" borderId="0" xfId="0" applyNumberFormat="1" applyFont="1" applyBorder="1" applyAlignment="1" applyProtection="1">
      <alignment horizontal="right"/>
      <protection locked="0"/>
    </xf>
    <xf numFmtId="0" fontId="0" fillId="0" borderId="0" xfId="0" applyBorder="1" applyAlignment="1" applyProtection="1">
      <alignment horizontal="right"/>
    </xf>
    <xf numFmtId="0" fontId="40" fillId="0" borderId="0" xfId="0" applyFont="1" applyBorder="1" applyAlignment="1" applyProtection="1">
      <alignment horizontal="right"/>
    </xf>
    <xf numFmtId="9" fontId="40" fillId="0" borderId="0" xfId="1" applyNumberFormat="1" applyFont="1" applyBorder="1" applyAlignment="1" applyProtection="1">
      <alignment horizontal="right"/>
    </xf>
    <xf numFmtId="9" fontId="40" fillId="0" borderId="0" xfId="1" applyNumberFormat="1" applyFont="1" applyBorder="1" applyAlignment="1" applyProtection="1">
      <alignment horizontal="right"/>
    </xf>
    <xf numFmtId="3" fontId="40" fillId="0" borderId="0" xfId="0" applyNumberFormat="1" applyFont="1" applyBorder="1" applyAlignment="1" applyProtection="1">
      <alignment horizontal="right"/>
    </xf>
    <xf numFmtId="0" fontId="40" fillId="0" borderId="0" xfId="0" applyFont="1" applyBorder="1" applyAlignment="1" applyProtection="1">
      <alignment horizontal="right"/>
    </xf>
    <xf numFmtId="0" fontId="0" fillId="0" borderId="0" xfId="0" applyBorder="1" applyAlignment="1" applyProtection="1">
      <alignment horizontal="right"/>
    </xf>
    <xf numFmtId="167" fontId="18" fillId="0" borderId="0" xfId="0" applyNumberFormat="1" applyFont="1" applyBorder="1" applyAlignment="1" applyProtection="1">
      <alignment horizontal="right"/>
    </xf>
    <xf numFmtId="3" fontId="10" fillId="0" borderId="0" xfId="0" applyNumberFormat="1" applyFont="1" applyBorder="1" applyAlignment="1" applyProtection="1">
      <alignment horizontal="right"/>
      <protection locked="0"/>
    </xf>
    <xf numFmtId="0" fontId="10" fillId="0" borderId="0" xfId="0" applyFont="1" applyBorder="1" applyAlignment="1" applyProtection="1">
      <alignment horizontal="right"/>
    </xf>
    <xf numFmtId="0" fontId="10" fillId="0" borderId="0" xfId="0" applyFont="1" applyBorder="1" applyAlignment="1" applyProtection="1">
      <alignment horizontal="left"/>
    </xf>
    <xf numFmtId="9" fontId="40" fillId="0" borderId="0" xfId="1" applyNumberFormat="1" applyFont="1" applyBorder="1" applyAlignment="1" applyProtection="1"/>
    <xf numFmtId="3" fontId="10" fillId="0" borderId="0" xfId="0" applyNumberFormat="1" applyFont="1" applyBorder="1" applyAlignment="1" applyProtection="1">
      <protection locked="0"/>
    </xf>
    <xf numFmtId="3" fontId="40" fillId="0" borderId="0" xfId="0" applyNumberFormat="1" applyFont="1" applyBorder="1" applyAlignment="1" applyProtection="1"/>
    <xf numFmtId="0" fontId="40" fillId="0" borderId="0" xfId="0" applyFont="1" applyBorder="1" applyAlignment="1" applyProtection="1"/>
    <xf numFmtId="167" fontId="18" fillId="0" borderId="0" xfId="0" applyNumberFormat="1" applyFont="1" applyBorder="1" applyAlignment="1" applyProtection="1"/>
    <xf numFmtId="0" fontId="6" fillId="0" borderId="0" xfId="0" applyFont="1" applyFill="1" applyBorder="1" applyProtection="1"/>
    <xf numFmtId="0" fontId="40" fillId="0" borderId="0" xfId="0" applyFont="1" applyFill="1" applyProtection="1"/>
    <xf numFmtId="0" fontId="40" fillId="0" borderId="0" xfId="0" applyFont="1" applyFill="1" applyBorder="1" applyProtection="1"/>
    <xf numFmtId="0" fontId="73" fillId="0" borderId="0" xfId="0" quotePrefix="1" applyFont="1" applyFill="1" applyBorder="1" applyAlignment="1" applyProtection="1">
      <alignment horizontal="left"/>
    </xf>
    <xf numFmtId="0" fontId="0" fillId="0" borderId="0" xfId="0" applyFont="1" applyFill="1" applyBorder="1" applyProtection="1"/>
    <xf numFmtId="0" fontId="0" fillId="0" borderId="0" xfId="0" applyAlignment="1" applyProtection="1">
      <alignment horizontal="left" vertical="center"/>
    </xf>
    <xf numFmtId="0" fontId="0" fillId="0" borderId="0" xfId="0" applyAlignment="1" applyProtection="1">
      <alignment horizontal="right" vertical="center"/>
    </xf>
    <xf numFmtId="0" fontId="0" fillId="0" borderId="0" xfId="0" applyBorder="1" applyAlignment="1" applyProtection="1"/>
    <xf numFmtId="0" fontId="0" fillId="0" borderId="0" xfId="0" applyAlignment="1" applyProtection="1">
      <alignment horizontal="right" vertical="center"/>
    </xf>
    <xf numFmtId="0" fontId="0" fillId="0" borderId="0" xfId="0" applyAlignment="1" applyProtection="1">
      <alignment horizontal="left" vertical="center"/>
    </xf>
    <xf numFmtId="0" fontId="10" fillId="0" borderId="0" xfId="0" applyFont="1" applyBorder="1" applyAlignment="1" applyProtection="1">
      <alignment horizontal="left"/>
    </xf>
    <xf numFmtId="0" fontId="73" fillId="0" borderId="0" xfId="0" applyFont="1" applyAlignment="1" applyProtection="1">
      <alignment horizontal="left" vertical="center"/>
    </xf>
    <xf numFmtId="3" fontId="40" fillId="0" borderId="0" xfId="0" applyNumberFormat="1" applyFont="1" applyBorder="1" applyAlignment="1" applyProtection="1">
      <alignment horizontal="right"/>
    </xf>
    <xf numFmtId="0" fontId="40" fillId="0" borderId="0" xfId="0" applyFont="1" applyBorder="1" applyAlignment="1" applyProtection="1">
      <alignment horizontal="right"/>
    </xf>
    <xf numFmtId="3" fontId="10" fillId="0" borderId="0" xfId="0" applyNumberFormat="1" applyFont="1" applyBorder="1" applyAlignment="1" applyProtection="1">
      <alignment horizontal="right"/>
      <protection locked="0"/>
    </xf>
    <xf numFmtId="3" fontId="0" fillId="0" borderId="0" xfId="0" applyNumberFormat="1" applyFont="1" applyBorder="1" applyAlignment="1" applyProtection="1">
      <alignment horizontal="right"/>
    </xf>
    <xf numFmtId="0" fontId="0" fillId="0" borderId="0" xfId="0" applyBorder="1" applyAlignment="1" applyProtection="1">
      <alignment horizontal="right"/>
    </xf>
    <xf numFmtId="9" fontId="40" fillId="0" borderId="0" xfId="1" applyNumberFormat="1" applyFont="1" applyBorder="1" applyAlignment="1" applyProtection="1">
      <alignment horizontal="right"/>
    </xf>
    <xf numFmtId="0" fontId="10" fillId="0" borderId="0" xfId="0" applyFont="1" applyBorder="1" applyAlignment="1" applyProtection="1">
      <protection locked="0"/>
    </xf>
    <xf numFmtId="0" fontId="10" fillId="0" borderId="0" xfId="0" applyFont="1" applyBorder="1" applyAlignment="1" applyProtection="1">
      <alignment horizontal="right"/>
    </xf>
    <xf numFmtId="0" fontId="18" fillId="0" borderId="0" xfId="0" applyFont="1" applyBorder="1" applyAlignment="1" applyProtection="1">
      <alignment horizontal="right"/>
    </xf>
    <xf numFmtId="3" fontId="2" fillId="0" borderId="0" xfId="0" applyNumberFormat="1" applyFont="1" applyBorder="1" applyAlignment="1" applyProtection="1">
      <alignment horizontal="right" vertical="center"/>
    </xf>
    <xf numFmtId="0" fontId="46" fillId="0" borderId="0" xfId="0" applyFont="1" applyProtection="1"/>
    <xf numFmtId="0" fontId="73" fillId="0" borderId="0" xfId="0" applyFont="1" applyFill="1" applyBorder="1" applyProtection="1"/>
    <xf numFmtId="0" fontId="46" fillId="0" borderId="0" xfId="0" applyFont="1" applyBorder="1" applyProtection="1"/>
    <xf numFmtId="0" fontId="46" fillId="0" borderId="15" xfId="0" applyFont="1" applyBorder="1" applyProtection="1"/>
    <xf numFmtId="0" fontId="46" fillId="0" borderId="0" xfId="0" applyFont="1" applyBorder="1" applyAlignment="1" applyProtection="1">
      <alignment horizontal="right"/>
    </xf>
    <xf numFmtId="9" fontId="46" fillId="0" borderId="0" xfId="1" applyNumberFormat="1" applyFont="1" applyBorder="1" applyAlignment="1" applyProtection="1">
      <alignment horizontal="right"/>
    </xf>
    <xf numFmtId="3" fontId="46" fillId="0" borderId="0" xfId="0" applyNumberFormat="1" applyFont="1" applyBorder="1" applyAlignment="1" applyProtection="1">
      <alignment horizontal="right"/>
    </xf>
    <xf numFmtId="0" fontId="73" fillId="0" borderId="0" xfId="0" applyFont="1" applyBorder="1" applyAlignment="1" applyProtection="1">
      <alignment wrapText="1"/>
    </xf>
    <xf numFmtId="0" fontId="46" fillId="0" borderId="0" xfId="0" applyFont="1" applyAlignment="1" applyProtection="1">
      <alignment vertical="center"/>
    </xf>
    <xf numFmtId="0" fontId="0" fillId="0" borderId="0" xfId="0" applyFont="1" applyBorder="1" applyAlignment="1" applyProtection="1">
      <alignment wrapText="1"/>
    </xf>
    <xf numFmtId="3" fontId="73" fillId="0" borderId="0" xfId="0" applyNumberFormat="1" applyFont="1" applyBorder="1" applyAlignment="1" applyProtection="1">
      <alignment horizontal="right"/>
    </xf>
    <xf numFmtId="0" fontId="73" fillId="0" borderId="0" xfId="0" applyFont="1" applyBorder="1" applyAlignment="1" applyProtection="1">
      <alignment horizontal="right"/>
    </xf>
    <xf numFmtId="0" fontId="73" fillId="0" borderId="0" xfId="0" applyFont="1" applyProtection="1"/>
    <xf numFmtId="0" fontId="73" fillId="0" borderId="0" xfId="0" applyFont="1" applyFill="1" applyProtection="1"/>
    <xf numFmtId="3" fontId="1" fillId="7" borderId="0" xfId="0" applyNumberFormat="1" applyFont="1" applyFill="1" applyBorder="1" applyAlignment="1" applyProtection="1">
      <alignment vertical="center"/>
    </xf>
    <xf numFmtId="0" fontId="0" fillId="17" borderId="0" xfId="0" applyFill="1" applyProtection="1"/>
    <xf numFmtId="0" fontId="0" fillId="17" borderId="0" xfId="0" applyFill="1" applyAlignment="1" applyProtection="1">
      <alignment vertical="center"/>
    </xf>
    <xf numFmtId="0" fontId="0" fillId="0" borderId="0" xfId="0" applyFont="1" applyAlignment="1" applyProtection="1">
      <alignment horizontal="left"/>
    </xf>
    <xf numFmtId="0" fontId="40" fillId="0" borderId="0" xfId="0" applyFont="1" applyBorder="1" applyAlignment="1" applyProtection="1">
      <alignment horizontal="right"/>
    </xf>
    <xf numFmtId="0" fontId="0" fillId="0" borderId="0" xfId="0" applyBorder="1" applyAlignment="1" applyProtection="1">
      <alignment horizontal="right"/>
    </xf>
    <xf numFmtId="167" fontId="18" fillId="0" borderId="0" xfId="0" applyNumberFormat="1" applyFont="1" applyBorder="1" applyAlignment="1" applyProtection="1">
      <alignment horizontal="right"/>
    </xf>
    <xf numFmtId="0" fontId="18" fillId="0" borderId="0" xfId="0" applyFont="1" applyBorder="1" applyAlignment="1" applyProtection="1">
      <alignment horizontal="right"/>
    </xf>
    <xf numFmtId="0" fontId="10" fillId="0" borderId="0" xfId="0" applyFont="1" applyBorder="1" applyAlignment="1" applyProtection="1">
      <alignment horizontal="right"/>
    </xf>
    <xf numFmtId="3" fontId="18" fillId="0" borderId="0" xfId="3" applyNumberFormat="1" applyFont="1" applyBorder="1" applyAlignment="1" applyProtection="1">
      <alignment horizontal="right"/>
    </xf>
    <xf numFmtId="0" fontId="10" fillId="0" borderId="0" xfId="0" applyFont="1" applyBorder="1" applyAlignment="1" applyProtection="1">
      <alignment horizontal="left"/>
    </xf>
    <xf numFmtId="3" fontId="10" fillId="0" borderId="0" xfId="0" applyNumberFormat="1" applyFont="1" applyBorder="1" applyAlignment="1" applyProtection="1"/>
    <xf numFmtId="167" fontId="18" fillId="0" borderId="0" xfId="0" applyNumberFormat="1" applyFont="1" applyBorder="1" applyAlignment="1" applyProtection="1">
      <alignment horizontal="right"/>
    </xf>
    <xf numFmtId="0" fontId="10" fillId="0" borderId="0" xfId="0" applyFont="1" applyBorder="1" applyAlignment="1" applyProtection="1">
      <alignment horizontal="right"/>
    </xf>
    <xf numFmtId="9" fontId="40" fillId="0" borderId="0" xfId="1" applyNumberFormat="1" applyFont="1" applyBorder="1" applyAlignment="1" applyProtection="1">
      <alignment horizontal="right"/>
    </xf>
    <xf numFmtId="3" fontId="40" fillId="0" borderId="0" xfId="0" applyNumberFormat="1" applyFont="1" applyBorder="1" applyAlignment="1" applyProtection="1">
      <alignment horizontal="right"/>
    </xf>
    <xf numFmtId="0" fontId="40" fillId="0" borderId="0" xfId="0" applyFont="1" applyBorder="1" applyAlignment="1" applyProtection="1">
      <alignment horizontal="right"/>
    </xf>
    <xf numFmtId="0" fontId="0" fillId="0" borderId="0" xfId="0" applyBorder="1" applyAlignment="1" applyProtection="1">
      <alignment horizontal="right" vertical="center"/>
    </xf>
    <xf numFmtId="3" fontId="10" fillId="0" borderId="0" xfId="0" applyNumberFormat="1" applyFont="1" applyBorder="1" applyAlignment="1" applyProtection="1">
      <alignment horizontal="right"/>
      <protection locked="0"/>
    </xf>
    <xf numFmtId="3" fontId="0" fillId="0" borderId="0" xfId="0" applyNumberFormat="1" applyFont="1" applyBorder="1" applyAlignment="1" applyProtection="1">
      <alignment horizontal="right"/>
    </xf>
    <xf numFmtId="0" fontId="0" fillId="0" borderId="0" xfId="0" applyAlignment="1" applyProtection="1">
      <alignment horizontal="right"/>
    </xf>
    <xf numFmtId="0" fontId="0" fillId="0" borderId="0" xfId="0" applyBorder="1" applyAlignment="1" applyProtection="1">
      <alignment horizontal="right"/>
    </xf>
    <xf numFmtId="0" fontId="0" fillId="0" borderId="0" xfId="0" quotePrefix="1" applyBorder="1" applyAlignment="1" applyProtection="1">
      <alignment horizontal="right" vertical="center"/>
    </xf>
    <xf numFmtId="165" fontId="10" fillId="0" borderId="0" xfId="0" applyNumberFormat="1" applyFont="1" applyBorder="1" applyAlignment="1" applyProtection="1">
      <alignment horizontal="right"/>
    </xf>
    <xf numFmtId="3" fontId="18" fillId="0" borderId="0" xfId="0" applyNumberFormat="1" applyFont="1" applyBorder="1" applyAlignment="1" applyProtection="1">
      <alignment horizontal="right"/>
    </xf>
    <xf numFmtId="3" fontId="18" fillId="0" borderId="0" xfId="0" applyNumberFormat="1" applyFont="1" applyFill="1" applyBorder="1" applyAlignment="1" applyProtection="1">
      <alignment horizontal="right"/>
    </xf>
    <xf numFmtId="0" fontId="0" fillId="0" borderId="0" xfId="0" applyBorder="1" applyAlignment="1" applyProtection="1"/>
    <xf numFmtId="0" fontId="10" fillId="0" borderId="0" xfId="0" quotePrefix="1" applyFont="1" applyBorder="1" applyAlignment="1" applyProtection="1">
      <alignment horizontal="right" vertical="center"/>
    </xf>
    <xf numFmtId="0" fontId="10" fillId="0" borderId="0" xfId="0" applyFont="1" applyBorder="1" applyAlignment="1" applyProtection="1">
      <alignment horizontal="right" vertical="center"/>
    </xf>
    <xf numFmtId="3" fontId="73" fillId="0" borderId="0" xfId="0" applyNumberFormat="1" applyFont="1" applyBorder="1" applyAlignment="1" applyProtection="1">
      <alignment horizontal="right"/>
    </xf>
    <xf numFmtId="0" fontId="73" fillId="0" borderId="0" xfId="0" applyFont="1" applyBorder="1" applyAlignment="1" applyProtection="1">
      <alignment horizontal="right"/>
    </xf>
    <xf numFmtId="3" fontId="0" fillId="0" borderId="0" xfId="0" applyNumberFormat="1" applyBorder="1" applyAlignment="1" applyProtection="1">
      <alignment horizontal="right"/>
    </xf>
    <xf numFmtId="0" fontId="0" fillId="0" borderId="0" xfId="0" applyFont="1" applyBorder="1" applyAlignment="1" applyProtection="1">
      <alignment horizontal="right"/>
    </xf>
    <xf numFmtId="0" fontId="10" fillId="0" borderId="0" xfId="0" applyFont="1" applyBorder="1" applyAlignment="1" applyProtection="1">
      <alignment horizontal="left"/>
    </xf>
    <xf numFmtId="3" fontId="2" fillId="0" borderId="0" xfId="0" applyNumberFormat="1" applyFont="1" applyBorder="1" applyAlignment="1" applyProtection="1">
      <alignment horizontal="right" vertical="center"/>
    </xf>
    <xf numFmtId="0" fontId="0" fillId="0" borderId="0" xfId="0" applyFont="1" applyFill="1" applyBorder="1" applyAlignment="1" applyProtection="1"/>
    <xf numFmtId="0" fontId="35" fillId="0" borderId="0" xfId="0" applyFont="1" applyAlignment="1" applyProtection="1"/>
    <xf numFmtId="3" fontId="18" fillId="0" borderId="1" xfId="0" applyNumberFormat="1" applyFont="1" applyBorder="1" applyAlignment="1" applyProtection="1">
      <alignment horizontal="right" vertical="center"/>
    </xf>
    <xf numFmtId="3" fontId="18" fillId="0" borderId="0" xfId="0" applyNumberFormat="1" applyFont="1" applyBorder="1" applyAlignment="1" applyProtection="1">
      <alignment horizontal="right" vertical="center"/>
    </xf>
    <xf numFmtId="0" fontId="18" fillId="0" borderId="0" xfId="0" applyFont="1" applyBorder="1" applyAlignment="1" applyProtection="1">
      <alignment horizontal="right" vertical="center"/>
    </xf>
    <xf numFmtId="0" fontId="0" fillId="0" borderId="15" xfId="0" applyFont="1" applyBorder="1" applyAlignment="1" applyProtection="1"/>
    <xf numFmtId="0" fontId="0" fillId="0" borderId="0" xfId="0" applyFont="1" applyAlignment="1" applyProtection="1"/>
    <xf numFmtId="0" fontId="69" fillId="0" borderId="0" xfId="0" applyFont="1" applyBorder="1" applyAlignment="1" applyProtection="1"/>
    <xf numFmtId="167" fontId="69" fillId="0" borderId="0" xfId="0" applyNumberFormat="1" applyFont="1" applyBorder="1" applyAlignment="1" applyProtection="1">
      <alignment horizontal="right"/>
    </xf>
    <xf numFmtId="167" fontId="69" fillId="0" borderId="0" xfId="0" applyNumberFormat="1" applyFont="1" applyBorder="1" applyAlignment="1" applyProtection="1">
      <alignment horizontal="right"/>
    </xf>
    <xf numFmtId="0" fontId="69" fillId="0" borderId="0" xfId="0" applyFont="1" applyBorder="1" applyAlignment="1" applyProtection="1">
      <alignment horizontal="right"/>
    </xf>
    <xf numFmtId="0" fontId="0" fillId="0" borderId="16" xfId="0" applyFont="1" applyBorder="1" applyAlignment="1" applyProtection="1"/>
    <xf numFmtId="0" fontId="69" fillId="0" borderId="0" xfId="0" applyFont="1" applyBorder="1" applyProtection="1"/>
    <xf numFmtId="0" fontId="69" fillId="0" borderId="0" xfId="0" applyFont="1" applyBorder="1" applyAlignment="1" applyProtection="1">
      <alignment vertical="center"/>
    </xf>
    <xf numFmtId="0" fontId="0" fillId="0" borderId="16" xfId="0" applyFont="1" applyBorder="1" applyAlignment="1" applyProtection="1">
      <alignment vertical="center"/>
    </xf>
    <xf numFmtId="3" fontId="69" fillId="0" borderId="0" xfId="0" applyNumberFormat="1" applyFont="1" applyBorder="1" applyAlignment="1" applyProtection="1">
      <alignment horizontal="right"/>
    </xf>
    <xf numFmtId="0" fontId="69" fillId="0" borderId="54" xfId="0" applyFont="1" applyBorder="1" applyProtection="1"/>
    <xf numFmtId="0" fontId="69" fillId="0" borderId="54" xfId="0" applyFont="1" applyBorder="1" applyAlignment="1" applyProtection="1">
      <alignment vertical="center"/>
    </xf>
    <xf numFmtId="0" fontId="73" fillId="0" borderId="8" xfId="0" applyFont="1" applyBorder="1" applyAlignment="1" applyProtection="1">
      <alignment vertical="center"/>
    </xf>
    <xf numFmtId="0" fontId="27" fillId="0" borderId="0" xfId="0" quotePrefix="1" applyFont="1" applyFill="1" applyBorder="1" applyProtection="1"/>
    <xf numFmtId="0" fontId="73" fillId="0" borderId="8" xfId="0" applyFont="1" applyFill="1" applyBorder="1" applyAlignment="1" applyProtection="1">
      <alignment vertical="center"/>
    </xf>
    <xf numFmtId="3" fontId="0" fillId="0" borderId="0" xfId="0" applyNumberFormat="1" applyFont="1" applyBorder="1" applyAlignment="1" applyProtection="1">
      <alignment horizontal="right"/>
    </xf>
    <xf numFmtId="3" fontId="73" fillId="0" borderId="0" xfId="0" applyNumberFormat="1" applyFont="1" applyBorder="1" applyAlignment="1" applyProtection="1">
      <alignment horizontal="right"/>
    </xf>
    <xf numFmtId="0" fontId="73" fillId="0" borderId="0" xfId="0" applyFont="1" applyBorder="1" applyAlignment="1" applyProtection="1">
      <alignment horizontal="right"/>
    </xf>
    <xf numFmtId="0" fontId="0" fillId="0" borderId="0" xfId="0" applyBorder="1" applyAlignment="1" applyProtection="1">
      <alignment horizontal="right"/>
    </xf>
    <xf numFmtId="167" fontId="69" fillId="0" borderId="0" xfId="0" applyNumberFormat="1" applyFont="1" applyBorder="1" applyAlignment="1" applyProtection="1">
      <alignment horizontal="right"/>
    </xf>
    <xf numFmtId="0" fontId="0" fillId="0" borderId="8" xfId="0" applyBorder="1" applyAlignment="1" applyProtection="1">
      <alignment horizontal="right"/>
    </xf>
    <xf numFmtId="0" fontId="0" fillId="0" borderId="0" xfId="0" applyFont="1" applyBorder="1" applyAlignment="1" applyProtection="1">
      <alignment horizontal="right"/>
    </xf>
    <xf numFmtId="167" fontId="18" fillId="0" borderId="0" xfId="0" applyNumberFormat="1" applyFont="1" applyBorder="1" applyAlignment="1" applyProtection="1">
      <alignment horizontal="right"/>
    </xf>
    <xf numFmtId="165" fontId="10" fillId="0" borderId="0" xfId="0" applyNumberFormat="1" applyFont="1" applyBorder="1" applyAlignment="1" applyProtection="1">
      <alignment horizontal="right"/>
    </xf>
    <xf numFmtId="3" fontId="10" fillId="0" borderId="0" xfId="0" applyNumberFormat="1" applyFont="1" applyBorder="1" applyAlignment="1" applyProtection="1">
      <alignment horizontal="right"/>
    </xf>
    <xf numFmtId="0" fontId="10" fillId="0" borderId="0" xfId="0" applyFont="1" applyBorder="1" applyAlignment="1" applyProtection="1">
      <alignment horizontal="right"/>
    </xf>
    <xf numFmtId="0" fontId="10" fillId="0" borderId="0" xfId="0" applyFont="1" applyFill="1" applyBorder="1" applyAlignment="1" applyProtection="1">
      <alignment horizontal="right"/>
    </xf>
    <xf numFmtId="0" fontId="0" fillId="0" borderId="0" xfId="0" applyAlignment="1" applyProtection="1">
      <alignment horizontal="left" vertical="center"/>
    </xf>
    <xf numFmtId="167" fontId="59" fillId="0" borderId="0" xfId="0" applyNumberFormat="1" applyFont="1" applyBorder="1" applyAlignment="1" applyProtection="1">
      <alignment horizontal="right"/>
    </xf>
    <xf numFmtId="0" fontId="18" fillId="0" borderId="8" xfId="0" applyFont="1" applyBorder="1" applyAlignment="1" applyProtection="1">
      <alignment horizontal="right"/>
    </xf>
    <xf numFmtId="0" fontId="10" fillId="0" borderId="8" xfId="0" applyFont="1" applyBorder="1" applyAlignment="1" applyProtection="1">
      <alignment horizontal="right"/>
    </xf>
    <xf numFmtId="0" fontId="10" fillId="0" borderId="0" xfId="0" applyFont="1" applyBorder="1" applyAlignment="1" applyProtection="1">
      <alignment horizontal="left"/>
    </xf>
    <xf numFmtId="0" fontId="18" fillId="0" borderId="0" xfId="0" applyFont="1" applyBorder="1" applyAlignment="1" applyProtection="1">
      <alignment horizontal="left"/>
    </xf>
    <xf numFmtId="0" fontId="0" fillId="0" borderId="0" xfId="0" applyBorder="1" applyAlignment="1" applyProtection="1"/>
    <xf numFmtId="0" fontId="69" fillId="0" borderId="0" xfId="0" quotePrefix="1" applyFont="1" applyFill="1" applyBorder="1" applyProtection="1"/>
    <xf numFmtId="0" fontId="0" fillId="0" borderId="15" xfId="0" applyBorder="1" applyAlignment="1" applyProtection="1"/>
    <xf numFmtId="0" fontId="0" fillId="4" borderId="1" xfId="0" applyFill="1" applyBorder="1" applyAlignment="1" applyProtection="1">
      <alignment horizontal="left"/>
    </xf>
    <xf numFmtId="1" fontId="0" fillId="0" borderId="1" xfId="0" applyNumberFormat="1" applyBorder="1" applyAlignment="1" applyProtection="1">
      <alignment horizontal="left"/>
    </xf>
    <xf numFmtId="0" fontId="0" fillId="0" borderId="1" xfId="0" applyBorder="1" applyAlignment="1" applyProtection="1">
      <alignment horizontal="left"/>
    </xf>
    <xf numFmtId="0" fontId="0" fillId="0" borderId="0" xfId="0" applyBorder="1" applyAlignment="1" applyProtection="1">
      <alignment horizontal="right"/>
    </xf>
    <xf numFmtId="0" fontId="0" fillId="0" borderId="0" xfId="0" applyAlignment="1" applyProtection="1">
      <alignment horizontal="right"/>
    </xf>
    <xf numFmtId="0" fontId="10" fillId="0" borderId="0" xfId="0" applyFont="1" applyBorder="1" applyAlignment="1" applyProtection="1">
      <alignment horizontal="right"/>
    </xf>
    <xf numFmtId="0" fontId="0" fillId="0" borderId="0" xfId="0" applyAlignment="1" applyProtection="1">
      <alignment horizontal="right" vertical="center"/>
    </xf>
    <xf numFmtId="0" fontId="0" fillId="0" borderId="0" xfId="0" applyAlignment="1" applyProtection="1">
      <alignment horizontal="left" vertical="center"/>
    </xf>
    <xf numFmtId="0" fontId="10" fillId="0" borderId="0" xfId="0" applyFont="1" applyBorder="1" applyAlignment="1" applyProtection="1">
      <alignment horizontal="left"/>
    </xf>
    <xf numFmtId="0" fontId="27" fillId="3" borderId="0" xfId="0" applyFont="1" applyFill="1" applyBorder="1" applyAlignment="1" applyProtection="1">
      <alignment horizontal="left"/>
    </xf>
    <xf numFmtId="0" fontId="27" fillId="3" borderId="0" xfId="0" quotePrefix="1" applyFont="1" applyFill="1" applyBorder="1" applyProtection="1"/>
    <xf numFmtId="0" fontId="0" fillId="3" borderId="0" xfId="0" applyFill="1" applyBorder="1" applyProtection="1"/>
    <xf numFmtId="0" fontId="0" fillId="3" borderId="0" xfId="0" applyFill="1" applyBorder="1" applyAlignment="1" applyProtection="1">
      <alignment vertical="center"/>
    </xf>
    <xf numFmtId="0" fontId="0" fillId="3" borderId="0" xfId="0" applyFill="1" applyBorder="1" applyAlignment="1" applyProtection="1"/>
    <xf numFmtId="3" fontId="10" fillId="0" borderId="0" xfId="0" applyNumberFormat="1" applyFont="1" applyFill="1" applyBorder="1" applyAlignment="1" applyProtection="1">
      <alignment vertical="center"/>
    </xf>
    <xf numFmtId="0" fontId="41" fillId="0" borderId="0" xfId="0" applyFont="1" applyFill="1" applyAlignment="1" applyProtection="1">
      <alignment vertical="center"/>
    </xf>
    <xf numFmtId="3" fontId="80" fillId="0" borderId="0" xfId="0" applyNumberFormat="1" applyFont="1" applyFill="1" applyBorder="1" applyAlignment="1" applyProtection="1">
      <alignment vertical="center"/>
    </xf>
    <xf numFmtId="9" fontId="6" fillId="0" borderId="0" xfId="0" applyNumberFormat="1" applyFont="1" applyFill="1" applyBorder="1" applyAlignment="1" applyProtection="1"/>
    <xf numFmtId="0" fontId="6" fillId="0" borderId="0" xfId="0" applyFont="1" applyFill="1" applyBorder="1" applyAlignment="1" applyProtection="1"/>
    <xf numFmtId="3" fontId="3" fillId="0" borderId="8" xfId="0" applyNumberFormat="1" applyFont="1" applyBorder="1" applyAlignment="1" applyProtection="1"/>
    <xf numFmtId="0" fontId="18" fillId="0" borderId="8" xfId="0" applyFont="1" applyBorder="1" applyAlignment="1" applyProtection="1"/>
    <xf numFmtId="0" fontId="18" fillId="0" borderId="8" xfId="0" applyFont="1" applyBorder="1" applyProtection="1"/>
    <xf numFmtId="0" fontId="18" fillId="0" borderId="8" xfId="0" applyFont="1" applyBorder="1" applyAlignment="1" applyProtection="1">
      <alignment vertical="center"/>
    </xf>
    <xf numFmtId="0" fontId="3" fillId="0" borderId="8" xfId="0" applyFont="1" applyBorder="1" applyAlignment="1" applyProtection="1">
      <alignment horizontal="right"/>
    </xf>
    <xf numFmtId="0" fontId="27" fillId="0" borderId="0" xfId="0" quotePrefix="1" applyFont="1" applyFill="1" applyBorder="1" applyAlignment="1" applyProtection="1">
      <alignment horizontal="left"/>
    </xf>
    <xf numFmtId="0" fontId="18" fillId="0" borderId="0" xfId="0" applyFont="1" applyFill="1" applyBorder="1" applyAlignment="1" applyProtection="1">
      <alignment horizontal="left"/>
    </xf>
    <xf numFmtId="0" fontId="73" fillId="0" borderId="0" xfId="0" applyFont="1" applyFill="1" applyAlignment="1" applyProtection="1">
      <alignment vertical="center"/>
    </xf>
    <xf numFmtId="0" fontId="16" fillId="0" borderId="15" xfId="0" applyFont="1" applyBorder="1" applyAlignment="1" applyProtection="1">
      <alignment vertical="center"/>
    </xf>
    <xf numFmtId="0" fontId="16" fillId="0" borderId="0" xfId="0" applyFont="1" applyBorder="1" applyAlignment="1" applyProtection="1">
      <alignment horizontal="left"/>
    </xf>
    <xf numFmtId="0" fontId="16" fillId="0" borderId="0" xfId="0" applyFont="1" applyAlignment="1" applyProtection="1">
      <alignment vertical="center"/>
    </xf>
    <xf numFmtId="165" fontId="16" fillId="0" borderId="0" xfId="0" applyNumberFormat="1" applyFont="1" applyBorder="1" applyAlignment="1" applyProtection="1">
      <alignment horizontal="right"/>
    </xf>
    <xf numFmtId="165" fontId="16" fillId="0" borderId="0" xfId="0" applyNumberFormat="1" applyFont="1" applyBorder="1" applyAlignment="1" applyProtection="1">
      <alignment horizontal="right" vertical="center"/>
    </xf>
    <xf numFmtId="167" fontId="17" fillId="0" borderId="0" xfId="0" applyNumberFormat="1" applyFont="1" applyBorder="1" applyAlignment="1" applyProtection="1">
      <alignment horizontal="right"/>
    </xf>
    <xf numFmtId="0" fontId="8" fillId="0" borderId="0" xfId="0" applyFont="1" applyAlignment="1" applyProtection="1">
      <alignment horizontal="center" vertical="center"/>
      <protection locked="0"/>
    </xf>
    <xf numFmtId="0" fontId="16" fillId="0" borderId="16" xfId="0" applyFont="1" applyBorder="1" applyAlignment="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64" fillId="0" borderId="15" xfId="0" applyFont="1" applyBorder="1" applyProtection="1"/>
    <xf numFmtId="0" fontId="64" fillId="0" borderId="0" xfId="0" applyFont="1" applyBorder="1" applyAlignment="1" applyProtection="1">
      <alignment horizontal="left"/>
    </xf>
    <xf numFmtId="0" fontId="64" fillId="0" borderId="0" xfId="0" quotePrefix="1" applyFont="1" applyBorder="1" applyAlignment="1" applyProtection="1">
      <alignment horizontal="left"/>
    </xf>
    <xf numFmtId="0" fontId="64" fillId="0" borderId="0" xfId="0" applyFont="1" applyBorder="1" applyProtection="1"/>
    <xf numFmtId="0" fontId="64" fillId="0" borderId="0" xfId="0" applyFont="1" applyBorder="1" applyAlignment="1" applyProtection="1">
      <alignment vertical="center"/>
    </xf>
    <xf numFmtId="10" fontId="64" fillId="0" borderId="0" xfId="0" applyNumberFormat="1" applyFont="1" applyBorder="1" applyAlignment="1" applyProtection="1">
      <alignment horizontal="right"/>
    </xf>
    <xf numFmtId="10" fontId="64" fillId="0" borderId="0" xfId="0" applyNumberFormat="1" applyFont="1" applyBorder="1" applyAlignment="1" applyProtection="1">
      <alignment horizontal="right" vertical="center"/>
    </xf>
    <xf numFmtId="9" fontId="64" fillId="0" borderId="0" xfId="0" applyNumberFormat="1" applyFont="1" applyBorder="1" applyAlignment="1" applyProtection="1">
      <alignment horizontal="right"/>
    </xf>
    <xf numFmtId="0" fontId="81" fillId="0" borderId="0" xfId="0" applyFont="1" applyBorder="1" applyAlignment="1" applyProtection="1">
      <alignment horizontal="center"/>
      <protection locked="0"/>
    </xf>
    <xf numFmtId="0" fontId="64" fillId="0" borderId="16" xfId="0" applyFont="1" applyBorder="1" applyProtection="1"/>
    <xf numFmtId="0" fontId="64" fillId="0" borderId="0" xfId="0" applyFont="1" applyProtection="1"/>
    <xf numFmtId="0" fontId="64" fillId="0" borderId="0" xfId="0" applyFont="1" applyAlignment="1" applyProtection="1">
      <alignment vertical="center"/>
    </xf>
    <xf numFmtId="0" fontId="64" fillId="0" borderId="0" xfId="0" applyFont="1" applyAlignment="1" applyProtection="1">
      <alignment horizontal="right" vertical="center"/>
    </xf>
    <xf numFmtId="0" fontId="0" fillId="4" borderId="0" xfId="0" applyFill="1" applyBorder="1" applyProtection="1"/>
    <xf numFmtId="3" fontId="0" fillId="0" borderId="1" xfId="0" applyNumberFormat="1" applyBorder="1" applyAlignment="1" applyProtection="1"/>
    <xf numFmtId="0" fontId="0" fillId="0" borderId="60" xfId="0" applyBorder="1" applyProtection="1"/>
    <xf numFmtId="3" fontId="0" fillId="0" borderId="60" xfId="0" applyNumberFormat="1" applyBorder="1" applyAlignment="1" applyProtection="1"/>
    <xf numFmtId="0" fontId="0" fillId="0" borderId="60" xfId="0" applyBorder="1" applyAlignment="1" applyProtection="1">
      <alignment horizontal="left"/>
    </xf>
    <xf numFmtId="0" fontId="0" fillId="0" borderId="60" xfId="0" applyBorder="1" applyAlignment="1" applyProtection="1"/>
    <xf numFmtId="0" fontId="73" fillId="2" borderId="0" xfId="0" applyFont="1" applyFill="1" applyProtection="1"/>
    <xf numFmtId="0" fontId="73" fillId="2" borderId="0" xfId="0" applyFont="1" applyFill="1" applyBorder="1" applyAlignment="1" applyProtection="1">
      <alignment vertical="center"/>
    </xf>
    <xf numFmtId="0" fontId="73" fillId="2" borderId="0" xfId="0" applyFont="1" applyFill="1" applyAlignment="1" applyProtection="1"/>
    <xf numFmtId="0" fontId="15" fillId="2" borderId="0" xfId="0" applyFont="1" applyFill="1" applyProtection="1"/>
    <xf numFmtId="0" fontId="73" fillId="2" borderId="0" xfId="0" applyFont="1" applyFill="1" applyBorder="1" applyProtection="1"/>
    <xf numFmtId="0" fontId="73" fillId="2" borderId="0" xfId="0" applyFont="1" applyFill="1" applyBorder="1" applyAlignment="1" applyProtection="1"/>
    <xf numFmtId="0" fontId="15" fillId="2" borderId="0" xfId="0" applyFont="1" applyFill="1" applyBorder="1" applyProtection="1"/>
    <xf numFmtId="0" fontId="0" fillId="18" borderId="0" xfId="0" applyFill="1" applyProtection="1"/>
    <xf numFmtId="2" fontId="0" fillId="2" borderId="0" xfId="0" applyNumberFormat="1" applyFill="1" applyProtection="1"/>
    <xf numFmtId="3" fontId="71" fillId="0" borderId="0" xfId="0" applyNumberFormat="1" applyFont="1" applyBorder="1" applyProtection="1"/>
    <xf numFmtId="0" fontId="0" fillId="4" borderId="1" xfId="0" applyFill="1" applyBorder="1" applyAlignment="1" applyProtection="1">
      <alignment horizontal="left"/>
    </xf>
    <xf numFmtId="0" fontId="0" fillId="0" borderId="1" xfId="0" applyBorder="1" applyAlignment="1" applyProtection="1">
      <alignment horizontal="left"/>
    </xf>
    <xf numFmtId="1" fontId="0" fillId="0" borderId="1" xfId="0" applyNumberFormat="1" applyBorder="1" applyAlignment="1" applyProtection="1">
      <alignment horizontal="left"/>
    </xf>
    <xf numFmtId="0" fontId="0" fillId="0" borderId="0" xfId="0" applyAlignment="1" applyProtection="1">
      <alignment horizontal="right" vertical="center"/>
    </xf>
    <xf numFmtId="0" fontId="0" fillId="0" borderId="0" xfId="0" applyAlignment="1" applyProtection="1">
      <alignment horizontal="left" vertical="center"/>
    </xf>
    <xf numFmtId="0" fontId="10" fillId="0" borderId="0" xfId="0" applyFont="1" applyFill="1" applyBorder="1" applyAlignment="1" applyProtection="1"/>
    <xf numFmtId="0" fontId="10" fillId="0" borderId="0" xfId="0" quotePrefix="1" applyFont="1" applyFill="1" applyBorder="1" applyAlignment="1" applyProtection="1"/>
    <xf numFmtId="3" fontId="2" fillId="0" borderId="0" xfId="0" applyNumberFormat="1" applyFont="1" applyFill="1" applyBorder="1" applyAlignment="1" applyProtection="1">
      <alignment horizontal="right" vertical="center"/>
    </xf>
    <xf numFmtId="0" fontId="0" fillId="0" borderId="54" xfId="0" applyFont="1" applyFill="1" applyBorder="1" applyProtection="1"/>
    <xf numFmtId="0" fontId="18" fillId="0" borderId="1" xfId="0" quotePrefix="1" applyFont="1" applyFill="1" applyBorder="1" applyProtection="1"/>
    <xf numFmtId="0" fontId="82" fillId="0" borderId="27" xfId="0" applyFont="1" applyBorder="1" applyAlignment="1" applyProtection="1">
      <alignment horizontal="left" vertical="center"/>
    </xf>
    <xf numFmtId="0" fontId="82" fillId="0" borderId="27" xfId="0" quotePrefix="1" applyFont="1" applyBorder="1" applyAlignment="1" applyProtection="1">
      <alignment horizontal="left" vertical="center"/>
    </xf>
    <xf numFmtId="0" fontId="82" fillId="0" borderId="27" xfId="0" applyFont="1" applyBorder="1" applyAlignment="1" applyProtection="1">
      <alignment vertical="center"/>
    </xf>
    <xf numFmtId="0" fontId="83" fillId="0" borderId="27" xfId="0" applyFont="1" applyBorder="1" applyAlignment="1" applyProtection="1">
      <alignment vertical="center"/>
    </xf>
    <xf numFmtId="0" fontId="84" fillId="0" borderId="27" xfId="0" applyFont="1" applyFill="1" applyBorder="1" applyAlignment="1" applyProtection="1">
      <alignment vertical="center"/>
    </xf>
    <xf numFmtId="0" fontId="85" fillId="0" borderId="27" xfId="0" applyFont="1" applyFill="1" applyBorder="1" applyAlignment="1" applyProtection="1">
      <alignment vertical="center"/>
    </xf>
    <xf numFmtId="0" fontId="85" fillId="0" borderId="0" xfId="0" applyFont="1" applyFill="1" applyBorder="1" applyAlignment="1" applyProtection="1">
      <alignment vertical="center"/>
    </xf>
    <xf numFmtId="0" fontId="85" fillId="0" borderId="0" xfId="0" applyFont="1" applyBorder="1" applyAlignment="1" applyProtection="1">
      <alignment vertical="center"/>
    </xf>
    <xf numFmtId="0" fontId="86" fillId="0" borderId="0" xfId="0" applyFont="1" applyBorder="1" applyAlignment="1" applyProtection="1">
      <alignment horizontal="left"/>
    </xf>
    <xf numFmtId="0" fontId="87" fillId="0" borderId="0" xfId="0" applyFont="1" applyBorder="1" applyProtection="1"/>
    <xf numFmtId="0" fontId="86" fillId="0" borderId="0" xfId="0" applyFont="1" applyFill="1" applyBorder="1" applyAlignment="1" applyProtection="1">
      <alignment horizontal="left"/>
    </xf>
    <xf numFmtId="0" fontId="86" fillId="0" borderId="0" xfId="0" quotePrefix="1" applyFont="1" applyFill="1" applyBorder="1" applyProtection="1"/>
    <xf numFmtId="0" fontId="6" fillId="0" borderId="9" xfId="0" applyFont="1" applyFill="1" applyBorder="1" applyAlignment="1" applyProtection="1">
      <alignment horizontal="left" vertical="center"/>
    </xf>
    <xf numFmtId="0" fontId="6" fillId="0" borderId="9" xfId="0" applyFont="1" applyFill="1" applyBorder="1" applyAlignment="1" applyProtection="1">
      <alignment vertical="center"/>
    </xf>
    <xf numFmtId="0" fontId="0" fillId="0" borderId="9" xfId="0" applyFill="1" applyBorder="1" applyAlignment="1" applyProtection="1">
      <alignment vertical="center"/>
    </xf>
    <xf numFmtId="0" fontId="10" fillId="0" borderId="0" xfId="0" quotePrefix="1" applyFont="1" applyFill="1" applyBorder="1" applyAlignment="1" applyProtection="1">
      <alignment horizontal="left"/>
    </xf>
    <xf numFmtId="0" fontId="48" fillId="0" borderId="0" xfId="0" applyFont="1" applyFill="1" applyAlignment="1" applyProtection="1">
      <alignment vertical="center"/>
    </xf>
    <xf numFmtId="0" fontId="38" fillId="0" borderId="0" xfId="0" applyFont="1" applyFill="1" applyAlignment="1" applyProtection="1">
      <alignment horizontal="left"/>
    </xf>
    <xf numFmtId="0" fontId="38" fillId="0" borderId="0" xfId="0" applyFont="1" applyFill="1" applyProtection="1"/>
    <xf numFmtId="0" fontId="38" fillId="0" borderId="0" xfId="0" applyFont="1" applyFill="1" applyAlignment="1" applyProtection="1">
      <alignment vertical="center"/>
    </xf>
    <xf numFmtId="0" fontId="16" fillId="0" borderId="0" xfId="0" applyFont="1" applyFill="1" applyAlignment="1" applyProtection="1">
      <alignment vertical="center"/>
    </xf>
    <xf numFmtId="0" fontId="48" fillId="0" borderId="0" xfId="0" applyFont="1" applyFill="1" applyAlignment="1" applyProtection="1">
      <alignment horizontal="right" vertical="center"/>
    </xf>
    <xf numFmtId="0" fontId="69" fillId="7" borderId="0" xfId="0" applyFont="1" applyFill="1" applyAlignment="1">
      <alignment vertical="center"/>
    </xf>
    <xf numFmtId="0" fontId="6" fillId="0" borderId="9" xfId="0" quotePrefix="1" applyFont="1" applyFill="1" applyBorder="1" applyAlignment="1" applyProtection="1">
      <alignment horizontal="left" vertical="center"/>
    </xf>
    <xf numFmtId="0" fontId="73" fillId="0" borderId="0" xfId="0" quotePrefix="1" applyFont="1" applyFill="1" applyBorder="1" applyAlignment="1" applyProtection="1">
      <alignment horizontal="left" vertical="top"/>
    </xf>
    <xf numFmtId="0" fontId="0" fillId="0" borderId="1" xfId="0" applyFill="1" applyBorder="1" applyAlignment="1" applyProtection="1">
      <alignment vertical="center"/>
    </xf>
    <xf numFmtId="0" fontId="0" fillId="0" borderId="1" xfId="0" quotePrefix="1" applyFill="1" applyBorder="1" applyAlignment="1" applyProtection="1">
      <alignment horizontal="left" vertical="center"/>
    </xf>
    <xf numFmtId="0" fontId="27" fillId="0" borderId="0" xfId="0" quotePrefix="1" applyFont="1" applyFill="1" applyBorder="1" applyAlignment="1" applyProtection="1">
      <alignment vertical="center"/>
    </xf>
    <xf numFmtId="0" fontId="27" fillId="0" borderId="0" xfId="0" applyFont="1" applyFill="1" applyBorder="1" applyAlignment="1" applyProtection="1">
      <alignment horizontal="left" vertical="center"/>
    </xf>
    <xf numFmtId="0" fontId="0" fillId="0" borderId="1" xfId="0" applyFill="1" applyBorder="1" applyAlignment="1" applyProtection="1">
      <alignment horizontal="left"/>
    </xf>
    <xf numFmtId="0" fontId="0" fillId="4" borderId="1" xfId="0" applyFill="1" applyBorder="1" applyAlignment="1" applyProtection="1">
      <alignment horizontal="left"/>
    </xf>
    <xf numFmtId="0" fontId="0" fillId="0" borderId="1" xfId="0" applyBorder="1" applyAlignment="1" applyProtection="1">
      <alignment horizontal="left"/>
    </xf>
    <xf numFmtId="167" fontId="0" fillId="0" borderId="1" xfId="0" applyNumberFormat="1" applyBorder="1" applyAlignment="1" applyProtection="1">
      <alignment horizontal="left"/>
    </xf>
    <xf numFmtId="1" fontId="0" fillId="0" borderId="1" xfId="0" applyNumberFormat="1" applyBorder="1" applyAlignment="1" applyProtection="1">
      <alignment horizontal="left"/>
    </xf>
    <xf numFmtId="3" fontId="0" fillId="0" borderId="1" xfId="0" applyNumberFormat="1" applyBorder="1" applyAlignment="1" applyProtection="1">
      <alignment horizontal="left"/>
    </xf>
    <xf numFmtId="3" fontId="0" fillId="4" borderId="1" xfId="0" applyNumberFormat="1" applyFill="1" applyBorder="1" applyAlignment="1" applyProtection="1">
      <alignment horizontal="left"/>
    </xf>
    <xf numFmtId="0" fontId="10" fillId="0" borderId="0" xfId="0" applyFont="1" applyBorder="1" applyAlignment="1" applyProtection="1">
      <alignment horizontal="right"/>
    </xf>
    <xf numFmtId="0" fontId="0" fillId="0" borderId="0" xfId="0" applyBorder="1" applyAlignment="1" applyProtection="1">
      <alignment horizontal="right" vertical="center"/>
    </xf>
    <xf numFmtId="3" fontId="0" fillId="0" borderId="0" xfId="0" applyNumberFormat="1" applyBorder="1" applyAlignment="1" applyProtection="1">
      <alignment horizontal="right"/>
    </xf>
    <xf numFmtId="0" fontId="0" fillId="0" borderId="0" xfId="0" applyBorder="1" applyAlignment="1" applyProtection="1">
      <alignment horizontal="right"/>
    </xf>
    <xf numFmtId="0" fontId="0" fillId="0" borderId="0" xfId="0" applyAlignment="1" applyProtection="1">
      <alignment horizontal="left" vertical="center"/>
    </xf>
    <xf numFmtId="0" fontId="0" fillId="0" borderId="5" xfId="0" applyBorder="1" applyAlignment="1" applyProtection="1">
      <alignment horizontal="right"/>
    </xf>
    <xf numFmtId="0" fontId="0" fillId="0" borderId="1" xfId="0" applyBorder="1" applyAlignment="1" applyProtection="1">
      <alignment horizontal="right"/>
    </xf>
    <xf numFmtId="3" fontId="0" fillId="0" borderId="1" xfId="0" applyNumberFormat="1" applyBorder="1" applyAlignment="1" applyProtection="1">
      <alignment horizontal="right" vertical="center"/>
    </xf>
    <xf numFmtId="3" fontId="2" fillId="0" borderId="0" xfId="0" applyNumberFormat="1" applyFont="1" applyBorder="1" applyAlignment="1" applyProtection="1">
      <alignment horizontal="left" vertical="center"/>
    </xf>
    <xf numFmtId="3" fontId="0" fillId="0" borderId="0" xfId="0" applyNumberFormat="1" applyBorder="1" applyAlignment="1" applyProtection="1"/>
    <xf numFmtId="0" fontId="0" fillId="0" borderId="0" xfId="0" applyBorder="1" applyAlignment="1" applyProtection="1"/>
    <xf numFmtId="168" fontId="3" fillId="0" borderId="0" xfId="0" applyNumberFormat="1" applyFont="1" applyBorder="1" applyAlignment="1" applyProtection="1">
      <alignment horizontal="right"/>
    </xf>
    <xf numFmtId="0" fontId="0" fillId="0" borderId="0" xfId="0" applyBorder="1" applyAlignment="1" applyProtection="1">
      <alignment horizontal="left"/>
    </xf>
    <xf numFmtId="0" fontId="0" fillId="0" borderId="0" xfId="0" applyFill="1" applyAlignment="1" applyProtection="1">
      <alignment horizontal="center" vertical="center" wrapText="1"/>
    </xf>
    <xf numFmtId="0" fontId="0" fillId="0" borderId="0" xfId="0" applyFill="1" applyAlignment="1" applyProtection="1">
      <alignment horizontal="center" vertical="center"/>
    </xf>
    <xf numFmtId="0" fontId="0" fillId="0" borderId="0" xfId="0" applyAlignment="1" applyProtection="1">
      <alignment vertical="top" wrapText="1"/>
    </xf>
    <xf numFmtId="0" fontId="0" fillId="0" borderId="0" xfId="0" applyAlignment="1" applyProtection="1">
      <alignment horizontal="center" textRotation="90" wrapText="1"/>
    </xf>
    <xf numFmtId="0" fontId="0" fillId="4" borderId="0" xfId="0" applyFill="1" applyProtection="1"/>
    <xf numFmtId="9" fontId="88" fillId="0" borderId="55" xfId="1" applyFont="1" applyFill="1" applyBorder="1" applyAlignment="1" applyProtection="1">
      <alignment horizontal="center" vertical="center" wrapText="1"/>
    </xf>
    <xf numFmtId="0" fontId="88" fillId="0" borderId="0" xfId="0" applyFont="1" applyAlignment="1" applyProtection="1">
      <alignment vertical="center"/>
    </xf>
    <xf numFmtId="9" fontId="88" fillId="17" borderId="55" xfId="0" applyNumberFormat="1" applyFont="1" applyFill="1" applyBorder="1" applyAlignment="1" applyProtection="1">
      <alignment horizontal="center" vertical="center" wrapText="1"/>
    </xf>
    <xf numFmtId="9" fontId="89" fillId="17" borderId="55" xfId="0" applyNumberFormat="1" applyFont="1" applyFill="1" applyBorder="1" applyAlignment="1" applyProtection="1">
      <alignment horizontal="center" vertical="center" wrapText="1"/>
    </xf>
    <xf numFmtId="9" fontId="88" fillId="18" borderId="55" xfId="0" applyNumberFormat="1" applyFont="1" applyFill="1" applyBorder="1" applyAlignment="1" applyProtection="1">
      <alignment horizontal="center" vertical="center" wrapText="1"/>
    </xf>
    <xf numFmtId="9" fontId="89" fillId="18" borderId="55" xfId="0" applyNumberFormat="1" applyFont="1" applyFill="1" applyBorder="1" applyAlignment="1" applyProtection="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pplyProtection="1">
      <alignment horizontal="center" textRotation="90"/>
    </xf>
    <xf numFmtId="0" fontId="0" fillId="0" borderId="7" xfId="0" applyBorder="1" applyAlignment="1" applyProtection="1">
      <alignment horizontal="center" textRotation="90"/>
    </xf>
    <xf numFmtId="0" fontId="0" fillId="0" borderId="7" xfId="0" applyFill="1" applyBorder="1" applyAlignment="1" applyProtection="1">
      <alignment horizontal="left" vertical="center"/>
    </xf>
    <xf numFmtId="0" fontId="0" fillId="0" borderId="7" xfId="0" applyFill="1" applyBorder="1" applyAlignment="1" applyProtection="1">
      <alignment horizontal="left" vertical="center" wrapText="1"/>
    </xf>
    <xf numFmtId="0" fontId="40" fillId="0" borderId="7" xfId="0" applyFont="1" applyBorder="1" applyAlignment="1" applyProtection="1">
      <alignment vertical="center"/>
    </xf>
    <xf numFmtId="0" fontId="0" fillId="17" borderId="7" xfId="0" quotePrefix="1" applyFill="1" applyBorder="1" applyAlignment="1" applyProtection="1">
      <alignment horizontal="left" vertical="center" wrapText="1"/>
    </xf>
    <xf numFmtId="0" fontId="0" fillId="18" borderId="7" xfId="0" quotePrefix="1" applyFill="1" applyBorder="1" applyAlignment="1" applyProtection="1">
      <alignment horizontal="left" vertical="center" wrapText="1"/>
    </xf>
    <xf numFmtId="0" fontId="0" fillId="18" borderId="7" xfId="0" applyFill="1" applyBorder="1" applyAlignment="1" applyProtection="1">
      <alignment horizontal="left" vertical="center" wrapText="1"/>
    </xf>
    <xf numFmtId="0" fontId="0" fillId="5" borderId="7" xfId="0" quotePrefix="1" applyFill="1" applyBorder="1" applyAlignment="1" applyProtection="1">
      <alignment horizontal="left" vertical="center" wrapText="1"/>
    </xf>
    <xf numFmtId="0" fontId="88" fillId="0" borderId="0" xfId="0" applyFont="1" applyFill="1" applyAlignment="1" applyProtection="1">
      <alignment vertical="center"/>
    </xf>
    <xf numFmtId="0" fontId="0" fillId="4" borderId="0" xfId="0" applyFill="1" applyAlignment="1" applyProtection="1">
      <alignment vertical="center"/>
    </xf>
    <xf numFmtId="0" fontId="0" fillId="0" borderId="7" xfId="0" applyFill="1" applyBorder="1" applyAlignment="1" applyProtection="1">
      <alignment horizontal="center" textRotation="90"/>
    </xf>
    <xf numFmtId="0" fontId="0" fillId="4" borderId="7" xfId="0" applyFill="1" applyBorder="1" applyAlignment="1" applyProtection="1">
      <alignment horizontal="center" textRotation="90"/>
    </xf>
    <xf numFmtId="0" fontId="40" fillId="0" borderId="0" xfId="0" applyFont="1" applyAlignment="1" applyProtection="1">
      <alignment vertical="top"/>
    </xf>
    <xf numFmtId="0" fontId="0" fillId="0" borderId="0" xfId="0" applyFont="1" applyAlignment="1" applyProtection="1">
      <alignment vertical="top" textRotation="90" wrapText="1"/>
    </xf>
    <xf numFmtId="0" fontId="0" fillId="0" borderId="0" xfId="0" applyFont="1" applyAlignment="1" applyProtection="1">
      <alignment horizontal="center" textRotation="90" wrapText="1"/>
    </xf>
    <xf numFmtId="0" fontId="73" fillId="19" borderId="0" xfId="0" applyFont="1" applyFill="1" applyAlignment="1" applyProtection="1">
      <alignment vertical="top"/>
    </xf>
    <xf numFmtId="0" fontId="0" fillId="19" borderId="0" xfId="0" applyFont="1" applyFill="1" applyAlignment="1" applyProtection="1">
      <alignment vertical="top" textRotation="90" wrapText="1"/>
    </xf>
    <xf numFmtId="0" fontId="0" fillId="18" borderId="0" xfId="0" applyFill="1" applyBorder="1" applyAlignment="1" applyProtection="1">
      <alignment horizontal="left" vertical="center"/>
    </xf>
    <xf numFmtId="0" fontId="0" fillId="5" borderId="0" xfId="0" applyFill="1" applyBorder="1" applyAlignment="1" applyProtection="1">
      <alignment horizontal="left" vertical="center"/>
    </xf>
    <xf numFmtId="0" fontId="0" fillId="4" borderId="7" xfId="0" applyFill="1" applyBorder="1" applyAlignment="1" applyProtection="1">
      <alignment horizontal="center" textRotation="90" wrapText="1"/>
    </xf>
    <xf numFmtId="0" fontId="0" fillId="2" borderId="0" xfId="0" applyFont="1" applyFill="1" applyAlignment="1" applyProtection="1">
      <alignment horizontal="left" vertical="top"/>
    </xf>
    <xf numFmtId="0" fontId="76" fillId="2" borderId="0" xfId="0" applyFont="1" applyFill="1" applyAlignment="1" applyProtection="1">
      <alignment horizontal="left" vertical="top" wrapText="1"/>
    </xf>
    <xf numFmtId="0" fontId="0" fillId="2" borderId="0" xfId="0" applyFill="1" applyAlignment="1" applyProtection="1">
      <alignment vertical="top" wrapText="1"/>
    </xf>
    <xf numFmtId="0" fontId="0" fillId="3" borderId="7" xfId="0" applyFill="1" applyBorder="1" applyAlignment="1" applyProtection="1">
      <alignment horizontal="left" vertical="center"/>
    </xf>
    <xf numFmtId="0" fontId="0" fillId="3" borderId="0" xfId="0" applyFill="1" applyBorder="1" applyAlignment="1" applyProtection="1">
      <alignment horizontal="left" vertical="center"/>
    </xf>
    <xf numFmtId="0" fontId="0" fillId="3" borderId="7" xfId="0" quotePrefix="1" applyFill="1" applyBorder="1" applyAlignment="1" applyProtection="1">
      <alignment horizontal="left" vertical="center" wrapText="1"/>
    </xf>
    <xf numFmtId="9" fontId="88" fillId="3" borderId="55" xfId="0" applyNumberFormat="1" applyFont="1" applyFill="1" applyBorder="1" applyAlignment="1" applyProtection="1">
      <alignment horizontal="center" vertical="center" wrapText="1"/>
    </xf>
    <xf numFmtId="9" fontId="89" fillId="3" borderId="55" xfId="0" applyNumberFormat="1" applyFont="1" applyFill="1" applyBorder="1" applyAlignment="1" applyProtection="1">
      <alignment horizontal="center" vertical="center" wrapText="1"/>
    </xf>
    <xf numFmtId="0" fontId="0" fillId="18" borderId="7" xfId="0" quotePrefix="1" applyFill="1" applyBorder="1" applyAlignment="1" applyProtection="1">
      <alignment horizontal="left" vertical="center"/>
    </xf>
    <xf numFmtId="0" fontId="0" fillId="18" borderId="7" xfId="0" applyFill="1" applyBorder="1" applyAlignment="1" applyProtection="1">
      <alignment horizontal="left" vertical="center"/>
    </xf>
    <xf numFmtId="0" fontId="0" fillId="5" borderId="7" xfId="0" quotePrefix="1" applyFill="1" applyBorder="1" applyAlignment="1" applyProtection="1">
      <alignment horizontal="left" vertical="center"/>
    </xf>
    <xf numFmtId="0" fontId="0" fillId="0" borderId="0" xfId="0" applyFill="1" applyAlignment="1" applyProtection="1">
      <alignment horizontal="center" textRotation="90"/>
    </xf>
    <xf numFmtId="0" fontId="0" fillId="0" borderId="7" xfId="0" applyFill="1" applyBorder="1" applyAlignment="1" applyProtection="1">
      <alignment horizontal="center" textRotation="90" wrapText="1"/>
    </xf>
    <xf numFmtId="0" fontId="0" fillId="0" borderId="0" xfId="0" applyFill="1" applyAlignment="1" applyProtection="1">
      <alignment horizontal="center" textRotation="90" wrapText="1"/>
    </xf>
    <xf numFmtId="0" fontId="14" fillId="0" borderId="0" xfId="0" applyFont="1" applyAlignment="1" applyProtection="1"/>
    <xf numFmtId="3" fontId="0" fillId="0" borderId="0" xfId="0" applyNumberFormat="1" applyFill="1" applyProtection="1"/>
    <xf numFmtId="2" fontId="0" fillId="0" borderId="0" xfId="0" applyNumberFormat="1" applyFill="1" applyProtection="1"/>
    <xf numFmtId="3" fontId="34"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0" fontId="0" fillId="0" borderId="0" xfId="0" applyBorder="1" applyAlignment="1" applyProtection="1">
      <alignment horizontal="left"/>
    </xf>
    <xf numFmtId="3" fontId="0" fillId="0" borderId="0" xfId="0" applyNumberFormat="1" applyBorder="1" applyAlignment="1" applyProtection="1"/>
    <xf numFmtId="0" fontId="0" fillId="0" borderId="0" xfId="0" applyBorder="1" applyAlignment="1" applyProtection="1"/>
    <xf numFmtId="0" fontId="73" fillId="4" borderId="1" xfId="0" applyFont="1" applyFill="1" applyBorder="1" applyProtection="1"/>
    <xf numFmtId="0" fontId="91" fillId="0" borderId="0" xfId="0" applyFont="1" applyAlignment="1" applyProtection="1">
      <alignment vertical="center"/>
    </xf>
    <xf numFmtId="0" fontId="91" fillId="0" borderId="24" xfId="0" applyFont="1" applyBorder="1" applyProtection="1"/>
    <xf numFmtId="0" fontId="91" fillId="0" borderId="0" xfId="0" applyFont="1" applyAlignment="1" applyProtection="1">
      <alignment horizontal="left" vertical="center"/>
    </xf>
    <xf numFmtId="0" fontId="91" fillId="0" borderId="0" xfId="0" applyFont="1" applyBorder="1" applyProtection="1"/>
    <xf numFmtId="0" fontId="91" fillId="0" borderId="0" xfId="0" applyFont="1" applyBorder="1" applyAlignment="1" applyProtection="1">
      <alignment vertical="center"/>
    </xf>
    <xf numFmtId="0" fontId="91" fillId="0" borderId="0" xfId="0" applyFont="1" applyBorder="1" applyAlignment="1" applyProtection="1">
      <alignment horizontal="right"/>
    </xf>
    <xf numFmtId="3" fontId="91" fillId="0" borderId="0" xfId="0" applyNumberFormat="1" applyFont="1" applyBorder="1" applyAlignment="1" applyProtection="1">
      <alignment vertical="center"/>
    </xf>
    <xf numFmtId="0" fontId="91" fillId="0" borderId="25" xfId="0" applyFont="1" applyBorder="1" applyProtection="1"/>
    <xf numFmtId="0" fontId="91" fillId="0" borderId="0" xfId="0" applyFont="1" applyProtection="1"/>
    <xf numFmtId="0" fontId="0" fillId="0" borderId="0" xfId="0" applyFont="1" applyFill="1" applyBorder="1" applyAlignment="1" applyProtection="1">
      <alignment vertical="center"/>
    </xf>
    <xf numFmtId="0" fontId="0" fillId="0" borderId="60" xfId="0" applyBorder="1" applyAlignment="1" applyProtection="1">
      <alignment horizontal="right"/>
    </xf>
    <xf numFmtId="0" fontId="0" fillId="0" borderId="24" xfId="0" applyBorder="1" applyAlignment="1" applyProtection="1">
      <alignment horizontal="left" vertical="top"/>
    </xf>
    <xf numFmtId="0" fontId="0" fillId="0" borderId="1" xfId="0" applyBorder="1" applyAlignment="1" applyProtection="1">
      <alignment horizontal="left" vertical="top"/>
    </xf>
    <xf numFmtId="0" fontId="0" fillId="0" borderId="25" xfId="0" applyBorder="1" applyAlignment="1" applyProtection="1">
      <alignment horizontal="left" vertical="top"/>
    </xf>
    <xf numFmtId="0" fontId="0" fillId="0" borderId="1" xfId="0" applyBorder="1" applyAlignment="1" applyProtection="1">
      <alignment vertical="top" wrapText="1"/>
    </xf>
    <xf numFmtId="0" fontId="73" fillId="0" borderId="24" xfId="0" applyFont="1" applyBorder="1" applyAlignment="1" applyProtection="1">
      <alignment vertical="center"/>
    </xf>
    <xf numFmtId="0" fontId="73" fillId="0" borderId="1" xfId="0" applyFont="1" applyBorder="1" applyAlignment="1" applyProtection="1">
      <alignment vertical="center"/>
    </xf>
    <xf numFmtId="0" fontId="18" fillId="0" borderId="6" xfId="0" applyFont="1" applyBorder="1" applyAlignment="1" applyProtection="1">
      <alignment vertical="center"/>
    </xf>
    <xf numFmtId="0" fontId="73" fillId="0" borderId="25" xfId="0" applyFont="1" applyBorder="1" applyAlignment="1" applyProtection="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Border="1" applyAlignment="1" applyProtection="1">
      <alignment vertical="center"/>
    </xf>
    <xf numFmtId="0" fontId="28" fillId="0" borderId="0" xfId="0" applyFont="1" applyBorder="1" applyAlignment="1" applyProtection="1">
      <alignment horizontal="left" vertical="center"/>
    </xf>
    <xf numFmtId="0" fontId="35" fillId="0" borderId="0" xfId="0" applyFont="1" applyAlignment="1" applyProtection="1">
      <alignment horizontal="left" vertical="center"/>
    </xf>
    <xf numFmtId="0" fontId="35" fillId="0" borderId="42" xfId="0" applyFont="1" applyBorder="1" applyAlignment="1" applyProtection="1">
      <alignment horizontal="left" vertical="center"/>
    </xf>
    <xf numFmtId="0" fontId="37" fillId="0" borderId="0" xfId="0" applyFont="1" applyBorder="1" applyAlignment="1" applyProtection="1">
      <alignment horizontal="left" vertical="center"/>
    </xf>
    <xf numFmtId="0" fontId="35" fillId="0" borderId="0" xfId="0" applyFont="1" applyBorder="1" applyAlignment="1" applyProtection="1">
      <alignment horizontal="left" vertical="center"/>
    </xf>
    <xf numFmtId="0" fontId="27" fillId="0" borderId="0" xfId="0" applyFont="1" applyBorder="1" applyAlignment="1" applyProtection="1">
      <alignment vertical="center"/>
    </xf>
    <xf numFmtId="0" fontId="17" fillId="0" borderId="0" xfId="0" applyFont="1" applyBorder="1" applyAlignment="1" applyProtection="1">
      <alignment vertical="center"/>
    </xf>
    <xf numFmtId="0" fontId="0" fillId="0" borderId="24" xfId="0" applyFont="1" applyBorder="1" applyProtection="1"/>
    <xf numFmtId="0" fontId="0" fillId="0" borderId="25" xfId="0" applyFont="1" applyBorder="1" applyProtection="1"/>
    <xf numFmtId="0" fontId="63" fillId="0" borderId="0" xfId="0" applyFont="1" applyProtection="1"/>
    <xf numFmtId="0" fontId="92" fillId="0" borderId="0" xfId="0" applyFont="1" applyAlignment="1" applyProtection="1">
      <alignment horizontal="right"/>
    </xf>
    <xf numFmtId="0" fontId="0" fillId="0" borderId="61" xfId="0" applyBorder="1" applyProtection="1"/>
    <xf numFmtId="0" fontId="0" fillId="0" borderId="61" xfId="0" applyBorder="1" applyAlignment="1" applyProtection="1">
      <alignment vertical="center"/>
    </xf>
    <xf numFmtId="0" fontId="0" fillId="0" borderId="42" xfId="0" applyFont="1" applyBorder="1" applyAlignment="1" applyProtection="1"/>
    <xf numFmtId="0" fontId="0" fillId="0" borderId="0" xfId="0" applyFont="1" applyBorder="1" applyAlignment="1" applyProtection="1"/>
    <xf numFmtId="0" fontId="0" fillId="0" borderId="0" xfId="0" quotePrefix="1" applyFont="1" applyBorder="1" applyAlignment="1" applyProtection="1"/>
    <xf numFmtId="0" fontId="0" fillId="0" borderId="43" xfId="0" applyFont="1" applyBorder="1" applyAlignment="1" applyProtection="1"/>
    <xf numFmtId="0" fontId="73" fillId="2" borderId="0" xfId="0" applyFont="1" applyFill="1" applyAlignment="1" applyProtection="1">
      <alignment horizontal="left"/>
    </xf>
    <xf numFmtId="0" fontId="73" fillId="2" borderId="0" xfId="0" applyFont="1" applyFill="1" applyBorder="1" applyAlignment="1" applyProtection="1">
      <alignment horizontal="left" vertical="center"/>
    </xf>
    <xf numFmtId="0" fontId="73" fillId="2" borderId="0" xfId="0" applyFont="1" applyFill="1" applyBorder="1" applyAlignment="1" applyProtection="1">
      <alignment horizontal="left"/>
    </xf>
    <xf numFmtId="0" fontId="18" fillId="2" borderId="0" xfId="0" applyFont="1" applyFill="1" applyBorder="1" applyAlignment="1" applyProtection="1">
      <alignment horizontal="left"/>
    </xf>
    <xf numFmtId="0" fontId="0" fillId="0" borderId="42" xfId="0" applyBorder="1" applyAlignment="1" applyProtection="1"/>
    <xf numFmtId="0" fontId="0" fillId="0" borderId="0" xfId="0" quotePrefix="1" applyBorder="1" applyAlignment="1" applyProtection="1"/>
    <xf numFmtId="0" fontId="0" fillId="0" borderId="43" xfId="0" applyBorder="1" applyAlignment="1" applyProtection="1"/>
    <xf numFmtId="1" fontId="0" fillId="0" borderId="0" xfId="0" applyNumberFormat="1" applyBorder="1" applyAlignment="1" applyProtection="1">
      <alignment horizontal="left" wrapText="1"/>
    </xf>
    <xf numFmtId="0" fontId="10" fillId="0" borderId="0" xfId="0" applyFont="1" applyBorder="1" applyAlignment="1" applyProtection="1">
      <alignment horizontal="right"/>
    </xf>
    <xf numFmtId="0" fontId="0" fillId="0" borderId="0" xfId="0" applyAlignment="1" applyProtection="1">
      <alignment horizontal="left" vertical="center"/>
    </xf>
    <xf numFmtId="0" fontId="0" fillId="0" borderId="42" xfId="0" applyBorder="1" applyAlignment="1" applyProtection="1">
      <alignment horizontal="left" vertical="top"/>
    </xf>
    <xf numFmtId="0" fontId="0" fillId="0" borderId="0" xfId="0" quotePrefix="1" applyBorder="1" applyAlignment="1" applyProtection="1">
      <alignment horizontal="left" vertical="top"/>
    </xf>
    <xf numFmtId="0" fontId="0" fillId="0" borderId="43" xfId="0" applyBorder="1" applyAlignment="1" applyProtection="1">
      <alignment horizontal="left" vertical="top"/>
    </xf>
    <xf numFmtId="0" fontId="2" fillId="0" borderId="0" xfId="0" applyFont="1" applyBorder="1" applyAlignment="1" applyProtection="1">
      <alignment vertical="top" wrapText="1"/>
    </xf>
    <xf numFmtId="3" fontId="2" fillId="0" borderId="0" xfId="0" applyNumberFormat="1" applyFont="1" applyBorder="1" applyAlignment="1" applyProtection="1">
      <alignment horizontal="left"/>
    </xf>
    <xf numFmtId="0" fontId="0" fillId="0" borderId="0" xfId="0" applyBorder="1" applyAlignment="1" applyProtection="1">
      <alignment vertical="top" wrapText="1"/>
    </xf>
    <xf numFmtId="0" fontId="0" fillId="0" borderId="62" xfId="0" applyBorder="1" applyAlignment="1" applyProtection="1">
      <alignment vertical="top" wrapText="1"/>
      <protection locked="0"/>
    </xf>
    <xf numFmtId="0" fontId="0" fillId="0" borderId="63" xfId="0" applyBorder="1" applyProtection="1"/>
    <xf numFmtId="0" fontId="0" fillId="0" borderId="63" xfId="0" applyBorder="1" applyAlignment="1" applyProtection="1">
      <alignment horizontal="left"/>
    </xf>
    <xf numFmtId="0" fontId="0" fillId="0" borderId="63" xfId="0" applyBorder="1" applyAlignment="1" applyProtection="1">
      <alignment vertical="center"/>
    </xf>
    <xf numFmtId="0" fontId="10" fillId="0" borderId="0" xfId="0" applyFont="1" applyBorder="1" applyAlignment="1" applyProtection="1">
      <alignment horizontal="right"/>
    </xf>
    <xf numFmtId="167" fontId="0" fillId="0" borderId="0" xfId="0" applyNumberFormat="1" applyFont="1" applyBorder="1" applyAlignment="1" applyProtection="1">
      <alignment horizontal="right"/>
    </xf>
    <xf numFmtId="0" fontId="0" fillId="0" borderId="55" xfId="0" applyBorder="1" applyAlignment="1" applyProtection="1">
      <alignment horizontal="center" vertical="center"/>
    </xf>
    <xf numFmtId="0" fontId="92" fillId="0" borderId="0" xfId="0" applyFont="1" applyAlignment="1" applyProtection="1">
      <alignment horizontal="left"/>
    </xf>
    <xf numFmtId="0" fontId="94" fillId="0" borderId="0" xfId="0" applyFont="1" applyProtection="1">
      <protection locked="0"/>
    </xf>
    <xf numFmtId="0" fontId="95" fillId="0" borderId="0" xfId="0" applyFont="1" applyProtection="1"/>
    <xf numFmtId="0" fontId="95" fillId="0" borderId="0" xfId="0" quotePrefix="1" applyFont="1" applyProtection="1"/>
    <xf numFmtId="0" fontId="95" fillId="0" borderId="0" xfId="0" applyFont="1" applyAlignment="1" applyProtection="1">
      <alignment horizontal="left"/>
    </xf>
    <xf numFmtId="0" fontId="95" fillId="0" borderId="0" xfId="0" applyFont="1" applyAlignment="1" applyProtection="1">
      <alignment vertical="center"/>
    </xf>
    <xf numFmtId="0" fontId="94" fillId="0" borderId="0" xfId="0" applyFont="1" applyProtection="1"/>
    <xf numFmtId="0" fontId="95" fillId="0" borderId="0" xfId="0" applyFont="1"/>
    <xf numFmtId="0" fontId="63" fillId="0" borderId="0" xfId="0" applyFont="1" applyAlignment="1" applyProtection="1">
      <alignment horizontal="left" vertical="top" wrapText="1"/>
    </xf>
    <xf numFmtId="167" fontId="0" fillId="0" borderId="0" xfId="0" applyNumberFormat="1" applyFont="1" applyBorder="1" applyAlignment="1" applyProtection="1">
      <alignment horizontal="right"/>
    </xf>
    <xf numFmtId="168" fontId="2" fillId="0" borderId="0" xfId="0" applyNumberFormat="1" applyFont="1" applyBorder="1" applyAlignment="1" applyProtection="1">
      <alignment horizontal="right" vertical="center"/>
    </xf>
    <xf numFmtId="0" fontId="63" fillId="0" borderId="0" xfId="0" applyFont="1" applyAlignment="1" applyProtection="1">
      <alignment horizontal="left" vertical="top" wrapText="1"/>
    </xf>
    <xf numFmtId="168" fontId="3" fillId="0" borderId="0" xfId="0" applyNumberFormat="1" applyFont="1" applyBorder="1" applyAlignment="1" applyProtection="1">
      <alignment horizontal="right"/>
    </xf>
    <xf numFmtId="0" fontId="10" fillId="0" borderId="0" xfId="0" quotePrefix="1" applyFont="1" applyFill="1" applyBorder="1" applyAlignment="1" applyProtection="1">
      <alignment vertical="center"/>
    </xf>
    <xf numFmtId="0" fontId="10" fillId="0" borderId="0" xfId="0" quotePrefix="1" applyFont="1" applyFill="1" applyBorder="1" applyAlignment="1" applyProtection="1">
      <alignment vertical="top"/>
    </xf>
    <xf numFmtId="0" fontId="0" fillId="0" borderId="0" xfId="0" applyFill="1" applyAlignment="1" applyProtection="1">
      <alignment vertical="top"/>
    </xf>
    <xf numFmtId="0" fontId="0" fillId="0" borderId="1" xfId="0" applyFont="1" applyFill="1" applyBorder="1" applyAlignment="1" applyProtection="1">
      <alignment vertical="center"/>
    </xf>
    <xf numFmtId="0" fontId="63" fillId="0" borderId="0" xfId="0" applyFont="1" applyAlignment="1" applyProtection="1">
      <alignment vertical="top" wrapText="1"/>
    </xf>
    <xf numFmtId="0" fontId="92" fillId="0" borderId="0" xfId="0" applyFont="1" applyBorder="1" applyAlignment="1" applyProtection="1">
      <alignment horizontal="right" vertical="center"/>
    </xf>
    <xf numFmtId="0" fontId="63" fillId="0" borderId="0" xfId="0" applyFont="1" applyBorder="1" applyAlignment="1" applyProtection="1">
      <alignment vertical="center"/>
    </xf>
    <xf numFmtId="0" fontId="93" fillId="0" borderId="0" xfId="0" applyFont="1" applyBorder="1" applyAlignment="1" applyProtection="1">
      <alignment vertical="center"/>
    </xf>
    <xf numFmtId="0" fontId="93" fillId="0" borderId="0" xfId="2" applyFont="1" applyBorder="1" applyAlignment="1" applyProtection="1">
      <alignment vertical="center"/>
    </xf>
    <xf numFmtId="0" fontId="94" fillId="0" borderId="0" xfId="0" applyFont="1" applyBorder="1" applyProtection="1"/>
    <xf numFmtId="0" fontId="72" fillId="21" borderId="55" xfId="0" applyFont="1" applyFill="1" applyBorder="1" applyAlignment="1" applyProtection="1">
      <alignment horizontal="center" vertical="center"/>
    </xf>
    <xf numFmtId="0" fontId="3" fillId="0" borderId="0" xfId="0" quotePrefix="1" applyFont="1" applyBorder="1" applyAlignment="1" applyProtection="1">
      <alignment vertical="center"/>
    </xf>
    <xf numFmtId="0" fontId="63" fillId="0" borderId="63" xfId="0" applyFont="1" applyBorder="1" applyAlignment="1" applyProtection="1">
      <alignment horizontal="left" vertical="top" wrapText="1"/>
    </xf>
    <xf numFmtId="0" fontId="10" fillId="0" borderId="0" xfId="0" applyFont="1" applyBorder="1" applyAlignment="1" applyProtection="1">
      <alignment horizontal="right"/>
    </xf>
    <xf numFmtId="0" fontId="0" fillId="0" borderId="0" xfId="0" applyAlignment="1" applyProtection="1">
      <alignment horizontal="right" vertical="center"/>
    </xf>
    <xf numFmtId="0" fontId="0" fillId="0" borderId="0" xfId="0" applyAlignment="1" applyProtection="1">
      <alignment horizontal="left" vertical="center"/>
    </xf>
    <xf numFmtId="2" fontId="3" fillId="2" borderId="1" xfId="0" applyNumberFormat="1" applyFont="1" applyFill="1" applyBorder="1" applyAlignment="1" applyProtection="1"/>
    <xf numFmtId="0" fontId="3" fillId="2" borderId="1" xfId="0" applyFont="1" applyFill="1" applyBorder="1" applyAlignment="1" applyProtection="1"/>
    <xf numFmtId="168" fontId="2" fillId="0" borderId="0" xfId="0" applyNumberFormat="1" applyFont="1" applyBorder="1" applyAlignment="1" applyProtection="1">
      <alignment horizontal="right" vertical="center"/>
    </xf>
    <xf numFmtId="168" fontId="2" fillId="0" borderId="0" xfId="0" applyNumberFormat="1" applyFont="1" applyBorder="1" applyAlignment="1" applyProtection="1">
      <alignment vertical="center"/>
    </xf>
    <xf numFmtId="168" fontId="0" fillId="0" borderId="0" xfId="0" applyNumberFormat="1" applyFont="1" applyBorder="1" applyAlignment="1" applyProtection="1">
      <alignment horizontal="right" vertical="center"/>
    </xf>
    <xf numFmtId="0" fontId="0" fillId="0" borderId="0" xfId="0" applyBorder="1" applyAlignment="1" applyProtection="1">
      <alignment horizontal="left"/>
    </xf>
    <xf numFmtId="3" fontId="0" fillId="0" borderId="0" xfId="0" applyNumberFormat="1" applyBorder="1" applyAlignment="1" applyProtection="1"/>
    <xf numFmtId="0" fontId="77" fillId="0" borderId="0" xfId="0" applyFont="1" applyBorder="1" applyAlignment="1" applyProtection="1">
      <alignment horizontal="left"/>
    </xf>
    <xf numFmtId="0" fontId="97" fillId="0" borderId="1" xfId="0" applyFont="1" applyBorder="1" applyAlignment="1" applyProtection="1">
      <alignment horizontal="center"/>
    </xf>
    <xf numFmtId="0" fontId="72" fillId="0" borderId="0" xfId="0" applyFont="1" applyProtection="1"/>
    <xf numFmtId="0" fontId="97" fillId="2" borderId="0" xfId="0" applyFont="1" applyFill="1" applyAlignment="1" applyProtection="1">
      <alignment horizontal="center"/>
    </xf>
    <xf numFmtId="168" fontId="2" fillId="0" borderId="0" xfId="0" applyNumberFormat="1" applyFont="1" applyBorder="1" applyAlignment="1" applyProtection="1">
      <alignment vertical="center"/>
    </xf>
    <xf numFmtId="167" fontId="18" fillId="0" borderId="0" xfId="0" applyNumberFormat="1" applyFont="1" applyBorder="1" applyAlignment="1" applyProtection="1">
      <alignment horizontal="right"/>
    </xf>
    <xf numFmtId="0" fontId="10" fillId="0" borderId="0" xfId="0" applyFont="1" applyBorder="1" applyAlignment="1" applyProtection="1">
      <alignment horizontal="right"/>
    </xf>
    <xf numFmtId="167" fontId="10" fillId="0" borderId="0" xfId="0" applyNumberFormat="1" applyFont="1" applyBorder="1" applyAlignment="1" applyProtection="1">
      <alignment horizontal="right"/>
    </xf>
    <xf numFmtId="167" fontId="0" fillId="0" borderId="0" xfId="0" applyNumberFormat="1" applyFont="1" applyBorder="1" applyAlignment="1" applyProtection="1">
      <alignment horizontal="right"/>
    </xf>
    <xf numFmtId="165" fontId="10" fillId="0" borderId="0" xfId="0" applyNumberFormat="1" applyFont="1" applyBorder="1" applyAlignment="1" applyProtection="1">
      <alignment horizontal="right"/>
    </xf>
    <xf numFmtId="0" fontId="10" fillId="0" borderId="0" xfId="0" applyFont="1" applyBorder="1" applyAlignment="1" applyProtection="1">
      <alignment horizontal="left"/>
    </xf>
    <xf numFmtId="0" fontId="0" fillId="0" borderId="0" xfId="0" applyBorder="1" applyAlignment="1" applyProtection="1"/>
    <xf numFmtId="168" fontId="0" fillId="0" borderId="0" xfId="0" applyNumberFormat="1" applyBorder="1" applyAlignment="1" applyProtection="1"/>
    <xf numFmtId="0" fontId="71" fillId="0" borderId="0" xfId="0" applyFont="1" applyProtection="1"/>
    <xf numFmtId="0" fontId="98" fillId="0" borderId="15" xfId="0" applyFont="1" applyBorder="1" applyAlignment="1" applyProtection="1">
      <alignment vertical="center"/>
    </xf>
    <xf numFmtId="0" fontId="98" fillId="0" borderId="0" xfId="0" applyFont="1" applyAlignment="1" applyProtection="1">
      <alignment horizontal="left" vertical="center"/>
    </xf>
    <xf numFmtId="0" fontId="99" fillId="0" borderId="0" xfId="0" quotePrefix="1" applyFont="1" applyFill="1" applyBorder="1" applyProtection="1"/>
    <xf numFmtId="0" fontId="99" fillId="0" borderId="0" xfId="0" applyFont="1" applyBorder="1" applyProtection="1"/>
    <xf numFmtId="0" fontId="99" fillId="0" borderId="0" xfId="0" applyFont="1" applyBorder="1" applyAlignment="1" applyProtection="1">
      <alignment vertical="center"/>
    </xf>
    <xf numFmtId="167" fontId="98" fillId="0" borderId="0" xfId="0" applyNumberFormat="1" applyFont="1" applyBorder="1" applyAlignment="1" applyProtection="1">
      <alignment horizontal="right"/>
    </xf>
    <xf numFmtId="167" fontId="98" fillId="0" borderId="0" xfId="0" applyNumberFormat="1" applyFont="1" applyBorder="1" applyAlignment="1" applyProtection="1">
      <alignment horizontal="right" vertical="center"/>
    </xf>
    <xf numFmtId="167" fontId="99" fillId="0" borderId="0" xfId="0" applyNumberFormat="1" applyFont="1" applyBorder="1" applyAlignment="1" applyProtection="1">
      <alignment horizontal="right"/>
    </xf>
    <xf numFmtId="1" fontId="100" fillId="0" borderId="0" xfId="0" applyNumberFormat="1" applyFont="1" applyBorder="1" applyAlignment="1" applyProtection="1">
      <alignment horizontal="right"/>
    </xf>
    <xf numFmtId="0" fontId="99" fillId="0" borderId="0" xfId="0" applyFont="1" applyBorder="1" applyAlignment="1" applyProtection="1">
      <alignment horizontal="right"/>
    </xf>
    <xf numFmtId="0" fontId="98" fillId="0" borderId="16" xfId="0" applyFont="1" applyBorder="1" applyAlignment="1" applyProtection="1">
      <alignment vertical="center"/>
    </xf>
    <xf numFmtId="0" fontId="98" fillId="0" borderId="0" xfId="0" applyFont="1" applyAlignment="1" applyProtection="1">
      <alignment vertical="center"/>
    </xf>
    <xf numFmtId="0" fontId="98" fillId="7" borderId="0" xfId="0" applyFont="1" applyFill="1" applyAlignment="1" applyProtection="1">
      <alignment vertical="center"/>
    </xf>
    <xf numFmtId="0" fontId="99" fillId="0" borderId="0" xfId="0" applyFont="1" applyFill="1" applyBorder="1" applyProtection="1"/>
    <xf numFmtId="0" fontId="98" fillId="0" borderId="0" xfId="0" applyFont="1" applyAlignment="1" applyProtection="1">
      <alignment vertical="top"/>
    </xf>
    <xf numFmtId="0" fontId="101" fillId="0" borderId="0" xfId="0" applyFont="1" applyBorder="1" applyProtection="1"/>
    <xf numFmtId="0" fontId="63" fillId="0" borderId="0" xfId="0" quotePrefix="1" applyFont="1" applyBorder="1" applyAlignment="1" applyProtection="1">
      <alignment horizontal="left" vertical="center"/>
    </xf>
    <xf numFmtId="0" fontId="0" fillId="0" borderId="1" xfId="0" applyBorder="1" applyAlignment="1" applyProtection="1">
      <alignment horizontal="left"/>
    </xf>
    <xf numFmtId="3" fontId="0" fillId="0" borderId="1" xfId="0" applyNumberFormat="1" applyBorder="1" applyAlignment="1" applyProtection="1">
      <alignment horizontal="left"/>
    </xf>
    <xf numFmtId="167" fontId="0" fillId="0" borderId="1" xfId="0" applyNumberFormat="1" applyBorder="1" applyAlignment="1" applyProtection="1">
      <alignment horizontal="left"/>
    </xf>
    <xf numFmtId="0" fontId="0" fillId="4" borderId="1" xfId="0" applyFill="1" applyBorder="1" applyAlignment="1" applyProtection="1">
      <alignment horizontal="left"/>
    </xf>
    <xf numFmtId="3" fontId="0" fillId="4" borderId="1" xfId="0" applyNumberFormat="1" applyFill="1" applyBorder="1" applyAlignment="1" applyProtection="1">
      <alignment horizontal="left"/>
    </xf>
    <xf numFmtId="0" fontId="10" fillId="0" borderId="0" xfId="0" applyFont="1" applyBorder="1" applyAlignment="1" applyProtection="1">
      <alignment horizontal="right"/>
    </xf>
    <xf numFmtId="0" fontId="10" fillId="0" borderId="0" xfId="0" applyFont="1" applyBorder="1" applyAlignment="1" applyProtection="1">
      <alignment horizontal="left"/>
    </xf>
    <xf numFmtId="0" fontId="0" fillId="0" borderId="0" xfId="0" applyBorder="1" applyAlignment="1" applyProtection="1">
      <alignment horizontal="right" vertical="center"/>
    </xf>
    <xf numFmtId="0" fontId="0" fillId="0" borderId="0" xfId="0" applyBorder="1" applyAlignment="1" applyProtection="1">
      <alignment horizontal="right"/>
    </xf>
    <xf numFmtId="0" fontId="0" fillId="0" borderId="0" xfId="0" applyAlignment="1" applyProtection="1">
      <alignment horizontal="left" vertical="center"/>
    </xf>
    <xf numFmtId="0" fontId="0" fillId="0" borderId="0" xfId="0" applyAlignment="1" applyProtection="1">
      <alignment horizontal="right" vertical="center"/>
    </xf>
    <xf numFmtId="0" fontId="10" fillId="0" borderId="0" xfId="0" applyFont="1" applyBorder="1" applyAlignment="1" applyProtection="1">
      <alignment horizontal="center"/>
    </xf>
    <xf numFmtId="9" fontId="2" fillId="0" borderId="0" xfId="1" applyFont="1" applyBorder="1" applyAlignment="1" applyProtection="1">
      <alignment horizontal="right" vertical="center"/>
    </xf>
    <xf numFmtId="0" fontId="2" fillId="0" borderId="0" xfId="0" applyFont="1" applyBorder="1" applyAlignment="1" applyProtection="1">
      <alignment vertical="center"/>
    </xf>
    <xf numFmtId="9" fontId="14" fillId="0" borderId="0" xfId="1" applyFont="1" applyBorder="1" applyAlignment="1" applyProtection="1">
      <alignment horizontal="right"/>
    </xf>
    <xf numFmtId="2" fontId="3" fillId="2" borderId="1" xfId="0" applyNumberFormat="1" applyFont="1" applyFill="1" applyBorder="1" applyAlignment="1" applyProtection="1"/>
    <xf numFmtId="0" fontId="3" fillId="2" borderId="1" xfId="0" applyFont="1" applyFill="1" applyBorder="1" applyAlignment="1" applyProtection="1"/>
    <xf numFmtId="0" fontId="59" fillId="0" borderId="0" xfId="0" applyFont="1" applyAlignment="1" applyProtection="1">
      <alignment vertical="center"/>
    </xf>
    <xf numFmtId="0" fontId="6" fillId="0" borderId="9" xfId="0" applyFont="1" applyBorder="1" applyAlignment="1" applyProtection="1">
      <alignment horizontal="left" vertical="top"/>
    </xf>
    <xf numFmtId="0" fontId="6" fillId="0" borderId="7" xfId="0" applyFont="1" applyBorder="1" applyAlignment="1" applyProtection="1">
      <alignment vertical="top"/>
    </xf>
    <xf numFmtId="0" fontId="6" fillId="0" borderId="31" xfId="0" applyFont="1" applyBorder="1" applyAlignment="1" applyProtection="1">
      <alignment vertical="top"/>
    </xf>
    <xf numFmtId="0" fontId="0" fillId="7" borderId="0" xfId="0" applyFont="1" applyFill="1" applyAlignment="1" applyProtection="1">
      <alignment vertical="center"/>
    </xf>
    <xf numFmtId="0" fontId="3" fillId="7" borderId="0" xfId="0" applyFont="1" applyFill="1" applyAlignment="1" applyProtection="1">
      <alignment vertical="center"/>
    </xf>
    <xf numFmtId="0" fontId="0" fillId="0" borderId="0" xfId="0" applyAlignment="1" applyProtection="1">
      <alignment horizontal="right"/>
    </xf>
    <xf numFmtId="0" fontId="0" fillId="0" borderId="0" xfId="0" applyBorder="1" applyAlignment="1" applyProtection="1"/>
    <xf numFmtId="0" fontId="10" fillId="0" borderId="0" xfId="0" applyFont="1" applyBorder="1" applyAlignment="1" applyProtection="1">
      <alignment horizontal="right"/>
    </xf>
    <xf numFmtId="0" fontId="0" fillId="0" borderId="0" xfId="0" applyAlignment="1" applyProtection="1">
      <alignment horizontal="left" vertical="center"/>
    </xf>
    <xf numFmtId="0" fontId="0" fillId="0" borderId="1" xfId="0" applyBorder="1" applyAlignment="1" applyProtection="1">
      <alignment horizontal="left"/>
    </xf>
    <xf numFmtId="0" fontId="0" fillId="0" borderId="0" xfId="0" applyBorder="1" applyAlignment="1" applyProtection="1">
      <alignment horizontal="right" vertical="center"/>
    </xf>
    <xf numFmtId="0" fontId="2" fillId="0" borderId="0" xfId="0" applyFont="1" applyBorder="1" applyAlignment="1" applyProtection="1">
      <alignment vertical="center"/>
    </xf>
    <xf numFmtId="2" fontId="0" fillId="0" borderId="0" xfId="0" applyNumberFormat="1" applyFill="1" applyBorder="1" applyAlignment="1" applyProtection="1">
      <alignment vertical="center"/>
    </xf>
    <xf numFmtId="0" fontId="0" fillId="7" borderId="5" xfId="0" applyFill="1" applyBorder="1" applyAlignment="1" applyProtection="1">
      <alignment horizontal="right"/>
    </xf>
    <xf numFmtId="0" fontId="74" fillId="0" borderId="0" xfId="0" applyFont="1" applyAlignment="1" applyProtection="1">
      <alignment horizontal="left"/>
    </xf>
    <xf numFmtId="0" fontId="63" fillId="0" borderId="0" xfId="0" applyFont="1" applyAlignment="1" applyProtection="1">
      <alignment horizontal="left"/>
    </xf>
    <xf numFmtId="0" fontId="71" fillId="0" borderId="0" xfId="0" applyFont="1" applyAlignment="1" applyProtection="1">
      <alignment horizontal="center"/>
    </xf>
    <xf numFmtId="0" fontId="106" fillId="0" borderId="0" xfId="0" applyFont="1" applyAlignment="1" applyProtection="1">
      <alignment horizontal="right"/>
    </xf>
    <xf numFmtId="0" fontId="12" fillId="0" borderId="0" xfId="2" applyFont="1" applyProtection="1"/>
    <xf numFmtId="0" fontId="107" fillId="0" borderId="0" xfId="0" applyFont="1" applyProtection="1"/>
    <xf numFmtId="0" fontId="105" fillId="0" borderId="0" xfId="0" applyFont="1" applyProtection="1"/>
    <xf numFmtId="0" fontId="44" fillId="0" borderId="0" xfId="0" applyFont="1" applyProtection="1"/>
    <xf numFmtId="0" fontId="71" fillId="0" borderId="0" xfId="0" applyFont="1" applyBorder="1" applyAlignment="1" applyProtection="1">
      <alignment horizontal="center"/>
    </xf>
    <xf numFmtId="0" fontId="12" fillId="0" borderId="0" xfId="0" applyFont="1" applyBorder="1" applyProtection="1"/>
    <xf numFmtId="0" fontId="12" fillId="0" borderId="20" xfId="0" applyFont="1" applyBorder="1" applyProtection="1"/>
    <xf numFmtId="0" fontId="12" fillId="5" borderId="0" xfId="0" applyFont="1" applyFill="1" applyProtection="1"/>
    <xf numFmtId="0" fontId="12" fillId="4" borderId="1" xfId="0" applyFont="1" applyFill="1" applyBorder="1" applyProtection="1"/>
    <xf numFmtId="0" fontId="12" fillId="3" borderId="1" xfId="0" applyFont="1" applyFill="1" applyBorder="1" applyProtection="1"/>
    <xf numFmtId="0" fontId="71" fillId="0" borderId="0" xfId="0" applyFont="1" applyAlignment="1" applyProtection="1">
      <alignment horizontal="center" vertical="center"/>
    </xf>
    <xf numFmtId="0" fontId="108" fillId="0" borderId="0" xfId="0" applyFont="1" applyAlignment="1" applyProtection="1">
      <alignment vertical="center"/>
    </xf>
    <xf numFmtId="0" fontId="12" fillId="0" borderId="48" xfId="0" applyFont="1" applyBorder="1" applyAlignment="1" applyProtection="1">
      <alignment horizontal="left" vertical="center" wrapText="1"/>
    </xf>
    <xf numFmtId="0" fontId="12" fillId="0" borderId="48" xfId="0" applyFont="1" applyBorder="1" applyAlignment="1" applyProtection="1">
      <alignment vertical="center" wrapText="1"/>
    </xf>
    <xf numFmtId="0" fontId="12" fillId="5" borderId="48" xfId="0" applyFont="1" applyFill="1" applyBorder="1" applyAlignment="1" applyProtection="1">
      <alignment vertical="center" wrapText="1"/>
    </xf>
    <xf numFmtId="0" fontId="12" fillId="4" borderId="50" xfId="0" applyFont="1" applyFill="1" applyBorder="1" applyAlignment="1" applyProtection="1">
      <alignment vertical="center" wrapText="1"/>
    </xf>
    <xf numFmtId="0" fontId="12" fillId="3" borderId="51" xfId="0" applyFont="1" applyFill="1" applyBorder="1" applyAlignment="1" applyProtection="1">
      <alignment vertical="center" wrapText="1"/>
    </xf>
    <xf numFmtId="0" fontId="12" fillId="0" borderId="49" xfId="0" applyFont="1" applyBorder="1" applyAlignment="1" applyProtection="1">
      <alignment vertical="top" wrapText="1"/>
    </xf>
    <xf numFmtId="0" fontId="12" fillId="5" borderId="49" xfId="0" applyFont="1" applyFill="1" applyBorder="1" applyAlignment="1" applyProtection="1">
      <alignment vertical="top" wrapText="1"/>
    </xf>
    <xf numFmtId="0" fontId="12" fillId="4" borderId="50" xfId="0" applyFont="1" applyFill="1" applyBorder="1" applyAlignment="1" applyProtection="1">
      <alignment vertical="top" wrapText="1"/>
    </xf>
    <xf numFmtId="0" fontId="12" fillId="10" borderId="49" xfId="0" applyFont="1" applyFill="1" applyBorder="1" applyAlignment="1" applyProtection="1">
      <alignment vertical="top" wrapText="1"/>
    </xf>
    <xf numFmtId="0" fontId="12" fillId="0" borderId="0" xfId="0" applyFont="1" applyAlignment="1" applyProtection="1">
      <alignment vertical="top"/>
    </xf>
    <xf numFmtId="0" fontId="71" fillId="7" borderId="0" xfId="0" applyFont="1" applyFill="1" applyAlignment="1" applyProtection="1">
      <alignment horizontal="center" vertical="center"/>
    </xf>
    <xf numFmtId="0" fontId="12" fillId="7" borderId="49" xfId="0" applyFont="1" applyFill="1" applyBorder="1" applyAlignment="1" applyProtection="1">
      <alignment vertical="top" wrapText="1"/>
    </xf>
    <xf numFmtId="0" fontId="109" fillId="10" borderId="49" xfId="0" applyFont="1" applyFill="1" applyBorder="1" applyAlignment="1" applyProtection="1">
      <alignment vertical="top" wrapText="1"/>
    </xf>
    <xf numFmtId="0" fontId="12" fillId="10" borderId="51" xfId="0" applyFont="1" applyFill="1" applyBorder="1" applyAlignment="1" applyProtection="1">
      <alignment vertical="top" wrapText="1"/>
    </xf>
    <xf numFmtId="0" fontId="12" fillId="7" borderId="48" xfId="0" applyFont="1" applyFill="1" applyBorder="1" applyAlignment="1" applyProtection="1">
      <alignment horizontal="left" vertical="center" wrapText="1"/>
    </xf>
    <xf numFmtId="0" fontId="12" fillId="0" borderId="0" xfId="0" applyFont="1" applyAlignment="1" applyProtection="1">
      <alignment vertical="top" wrapText="1"/>
    </xf>
    <xf numFmtId="0" fontId="12" fillId="5" borderId="0" xfId="0" applyFont="1" applyFill="1" applyAlignment="1" applyProtection="1">
      <alignment vertical="top" wrapText="1"/>
    </xf>
    <xf numFmtId="0" fontId="12" fillId="10" borderId="0" xfId="0" applyFont="1" applyFill="1" applyAlignment="1" applyProtection="1">
      <alignment vertical="top" wrapText="1"/>
    </xf>
    <xf numFmtId="0" fontId="12" fillId="5" borderId="0" xfId="0" applyFont="1" applyFill="1" applyAlignment="1" applyProtection="1">
      <alignment vertical="center"/>
    </xf>
    <xf numFmtId="0" fontId="12" fillId="10" borderId="0" xfId="0" applyFont="1" applyFill="1" applyAlignment="1" applyProtection="1">
      <alignment vertical="center"/>
    </xf>
    <xf numFmtId="0" fontId="12" fillId="5" borderId="0" xfId="0" applyFont="1" applyFill="1" applyAlignment="1" applyProtection="1">
      <alignment vertical="center" wrapText="1"/>
    </xf>
    <xf numFmtId="0" fontId="12" fillId="10" borderId="0" xfId="0" applyFont="1" applyFill="1" applyAlignment="1" applyProtection="1">
      <alignment vertical="center" wrapText="1"/>
    </xf>
    <xf numFmtId="0" fontId="12" fillId="11" borderId="0" xfId="0" applyFont="1" applyFill="1" applyAlignment="1" applyProtection="1">
      <alignment vertical="top" wrapText="1"/>
    </xf>
    <xf numFmtId="0" fontId="12" fillId="16" borderId="48" xfId="0" applyFont="1" applyFill="1" applyBorder="1" applyAlignment="1" applyProtection="1">
      <alignment horizontal="left" vertical="center" wrapText="1"/>
    </xf>
    <xf numFmtId="0" fontId="71" fillId="20" borderId="0" xfId="0" applyFont="1" applyFill="1" applyAlignment="1" applyProtection="1">
      <alignment horizontal="center" vertical="center"/>
    </xf>
    <xf numFmtId="0" fontId="108" fillId="20" borderId="0" xfId="0" applyFont="1" applyFill="1" applyAlignment="1" applyProtection="1">
      <alignment vertical="center"/>
    </xf>
    <xf numFmtId="0" fontId="12" fillId="20" borderId="48" xfId="0" applyFont="1" applyFill="1" applyBorder="1" applyAlignment="1" applyProtection="1">
      <alignment horizontal="left" vertical="center" wrapText="1"/>
    </xf>
    <xf numFmtId="0" fontId="12" fillId="20" borderId="0" xfId="0" applyFont="1" applyFill="1" applyAlignment="1" applyProtection="1">
      <alignment vertical="top" wrapText="1"/>
    </xf>
    <xf numFmtId="0" fontId="12" fillId="20" borderId="49" xfId="0" applyFont="1" applyFill="1" applyBorder="1" applyAlignment="1" applyProtection="1">
      <alignment vertical="top" wrapText="1"/>
    </xf>
    <xf numFmtId="0" fontId="12" fillId="20" borderId="50" xfId="0" applyFont="1" applyFill="1" applyBorder="1" applyAlignment="1" applyProtection="1">
      <alignment vertical="top" wrapText="1"/>
    </xf>
    <xf numFmtId="0" fontId="71" fillId="7" borderId="0" xfId="0" applyFont="1" applyFill="1" applyAlignment="1" applyProtection="1">
      <alignment horizontal="center" vertical="top"/>
    </xf>
    <xf numFmtId="0" fontId="108" fillId="0" borderId="0" xfId="0" applyFont="1" applyAlignment="1" applyProtection="1">
      <alignment horizontal="left" vertical="top"/>
    </xf>
    <xf numFmtId="0" fontId="12" fillId="0" borderId="48" xfId="0" applyFont="1" applyBorder="1" applyAlignment="1" applyProtection="1">
      <alignment horizontal="left" vertical="top" wrapText="1"/>
    </xf>
    <xf numFmtId="0" fontId="12" fillId="0" borderId="0" xfId="0" applyFont="1" applyAlignment="1" applyProtection="1">
      <alignment horizontal="left" vertical="top" wrapText="1"/>
    </xf>
    <xf numFmtId="0" fontId="12" fillId="5" borderId="49" xfId="0" applyFont="1" applyFill="1" applyBorder="1" applyAlignment="1" applyProtection="1">
      <alignment horizontal="left" vertical="top" wrapText="1"/>
    </xf>
    <xf numFmtId="0" fontId="12" fillId="4" borderId="50" xfId="0" applyFont="1" applyFill="1" applyBorder="1" applyAlignment="1" applyProtection="1">
      <alignment horizontal="left" vertical="top" wrapText="1"/>
    </xf>
    <xf numFmtId="0" fontId="12" fillId="10" borderId="49" xfId="0" applyFont="1" applyFill="1" applyBorder="1" applyAlignment="1" applyProtection="1">
      <alignment horizontal="left" vertical="top" wrapText="1"/>
    </xf>
    <xf numFmtId="0" fontId="12" fillId="0" borderId="0" xfId="0" applyFont="1" applyAlignment="1" applyProtection="1">
      <alignment horizontal="left" vertical="top"/>
    </xf>
    <xf numFmtId="0" fontId="12" fillId="5" borderId="49" xfId="0" quotePrefix="1" applyFont="1" applyFill="1" applyBorder="1" applyAlignment="1" applyProtection="1">
      <alignment vertical="top" wrapText="1"/>
    </xf>
    <xf numFmtId="0" fontId="12" fillId="0" borderId="48" xfId="0" applyFont="1" applyBorder="1" applyAlignment="1" applyProtection="1">
      <alignment vertical="top" wrapText="1"/>
    </xf>
    <xf numFmtId="0" fontId="12" fillId="0" borderId="0" xfId="0" applyFont="1" applyBorder="1" applyAlignment="1" applyProtection="1">
      <alignment horizontal="left" vertical="center" wrapText="1"/>
    </xf>
    <xf numFmtId="0" fontId="71" fillId="9" borderId="0" xfId="0" applyFont="1" applyFill="1" applyAlignment="1" applyProtection="1">
      <alignment horizontal="center" vertical="center"/>
    </xf>
    <xf numFmtId="0" fontId="12" fillId="9" borderId="0" xfId="0" applyFont="1" applyFill="1" applyAlignment="1" applyProtection="1">
      <alignment vertical="center"/>
    </xf>
    <xf numFmtId="0" fontId="71" fillId="0" borderId="0" xfId="0" applyFont="1" applyAlignment="1" applyProtection="1">
      <alignment horizontal="center" vertical="top"/>
    </xf>
    <xf numFmtId="0" fontId="12" fillId="4" borderId="46" xfId="0" applyFont="1" applyFill="1" applyBorder="1" applyAlignment="1" applyProtection="1">
      <alignment vertical="top" wrapText="1"/>
    </xf>
    <xf numFmtId="0" fontId="109" fillId="10" borderId="0" xfId="0" applyFont="1" applyFill="1" applyAlignment="1" applyProtection="1">
      <alignment vertical="top" wrapText="1"/>
    </xf>
    <xf numFmtId="0" fontId="12" fillId="10" borderId="46" xfId="0" applyFont="1" applyFill="1" applyBorder="1" applyAlignment="1" applyProtection="1">
      <alignment vertical="top" wrapText="1"/>
    </xf>
    <xf numFmtId="0" fontId="12" fillId="7" borderId="0" xfId="0" applyFont="1" applyFill="1" applyAlignment="1" applyProtection="1">
      <alignment horizontal="left" vertical="top"/>
    </xf>
    <xf numFmtId="0" fontId="12" fillId="4" borderId="0" xfId="0" applyFont="1" applyFill="1" applyBorder="1" applyAlignment="1" applyProtection="1">
      <alignment vertical="top" wrapText="1"/>
    </xf>
    <xf numFmtId="0" fontId="12" fillId="5" borderId="0" xfId="0" applyFont="1" applyFill="1" applyBorder="1" applyAlignment="1" applyProtection="1">
      <alignment vertical="top" wrapText="1"/>
    </xf>
    <xf numFmtId="0" fontId="12" fillId="10" borderId="0" xfId="0" applyFont="1" applyFill="1" applyBorder="1" applyAlignment="1" applyProtection="1">
      <alignment vertical="top" wrapText="1"/>
    </xf>
    <xf numFmtId="0" fontId="71" fillId="13" borderId="0" xfId="0" applyFont="1" applyFill="1" applyAlignment="1" applyProtection="1">
      <alignment horizontal="center" vertical="center"/>
    </xf>
    <xf numFmtId="0" fontId="12" fillId="13" borderId="0" xfId="0" applyFont="1" applyFill="1" applyAlignment="1" applyProtection="1">
      <alignment vertical="center"/>
    </xf>
    <xf numFmtId="0" fontId="12" fillId="13" borderId="0" xfId="0" applyFont="1" applyFill="1" applyAlignment="1" applyProtection="1">
      <alignment horizontal="left" vertical="center"/>
    </xf>
    <xf numFmtId="0" fontId="71" fillId="0" borderId="0" xfId="0" applyFont="1" applyFill="1" applyAlignment="1" applyProtection="1">
      <alignment horizontal="center"/>
    </xf>
    <xf numFmtId="0" fontId="12" fillId="0" borderId="0" xfId="0" applyFont="1" applyFill="1" applyProtection="1"/>
    <xf numFmtId="14" fontId="12" fillId="0" borderId="0" xfId="0" applyNumberFormat="1" applyFont="1" applyFill="1" applyAlignment="1" applyProtection="1">
      <alignment horizontal="left"/>
    </xf>
    <xf numFmtId="14" fontId="12" fillId="15" borderId="0" xfId="0" applyNumberFormat="1" applyFont="1" applyFill="1" applyAlignment="1" applyProtection="1">
      <alignment horizontal="left"/>
    </xf>
    <xf numFmtId="0" fontId="12" fillId="0" borderId="0" xfId="0" applyFont="1" applyAlignment="1">
      <alignment vertical="center"/>
    </xf>
    <xf numFmtId="0" fontId="18" fillId="0" borderId="54" xfId="0" applyFont="1" applyBorder="1" applyAlignment="1" applyProtection="1">
      <alignment vertical="center"/>
    </xf>
    <xf numFmtId="0" fontId="18" fillId="0" borderId="54" xfId="0" applyFont="1" applyBorder="1" applyProtection="1"/>
    <xf numFmtId="0" fontId="1" fillId="0" borderId="0" xfId="0" applyFont="1" applyProtection="1"/>
    <xf numFmtId="0" fontId="35" fillId="0" borderId="0" xfId="0" applyFont="1" applyProtection="1"/>
    <xf numFmtId="0" fontId="1" fillId="0" borderId="0" xfId="0" applyFont="1" applyBorder="1" applyProtection="1"/>
    <xf numFmtId="0" fontId="1" fillId="0" borderId="20" xfId="0" applyFont="1" applyBorder="1" applyProtection="1"/>
    <xf numFmtId="0" fontId="1" fillId="3" borderId="0" xfId="0" applyFont="1" applyFill="1" applyProtection="1"/>
    <xf numFmtId="0" fontId="1" fillId="0" borderId="48" xfId="0" applyFont="1" applyBorder="1" applyAlignment="1" applyProtection="1">
      <alignment vertical="center" wrapText="1"/>
    </xf>
    <xf numFmtId="0" fontId="1" fillId="0" borderId="49" xfId="0" applyFont="1" applyBorder="1" applyAlignment="1" applyProtection="1">
      <alignment vertical="top" wrapText="1"/>
    </xf>
    <xf numFmtId="0" fontId="1" fillId="10" borderId="49" xfId="0" applyFont="1" applyFill="1" applyBorder="1" applyAlignment="1" applyProtection="1">
      <alignment vertical="top" wrapText="1"/>
    </xf>
    <xf numFmtId="0" fontId="1" fillId="0" borderId="0" xfId="0" applyFont="1" applyAlignment="1" applyProtection="1">
      <alignment vertical="top"/>
    </xf>
    <xf numFmtId="0" fontId="1" fillId="7" borderId="49" xfId="0" applyFont="1" applyFill="1" applyBorder="1" applyAlignment="1" applyProtection="1">
      <alignment vertical="top" wrapText="1"/>
    </xf>
    <xf numFmtId="0" fontId="1" fillId="0" borderId="0" xfId="0" applyFont="1" applyAlignment="1" applyProtection="1">
      <alignment vertical="top" wrapText="1"/>
    </xf>
    <xf numFmtId="0" fontId="1" fillId="0" borderId="0" xfId="0" applyFont="1" applyAlignment="1" applyProtection="1">
      <alignment vertical="center"/>
    </xf>
    <xf numFmtId="0" fontId="1" fillId="0" borderId="0" xfId="0" applyFont="1" applyAlignment="1" applyProtection="1">
      <alignment vertical="center" wrapText="1"/>
    </xf>
    <xf numFmtId="0" fontId="1" fillId="20" borderId="0" xfId="0" applyFont="1" applyFill="1" applyAlignment="1" applyProtection="1">
      <alignment vertical="top" wrapText="1"/>
    </xf>
    <xf numFmtId="0" fontId="1" fillId="20" borderId="0" xfId="0" applyFont="1" applyFill="1" applyAlignment="1" applyProtection="1">
      <alignment vertical="top"/>
    </xf>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1" fillId="9" borderId="0" xfId="0" applyFont="1" applyFill="1" applyAlignment="1" applyProtection="1">
      <alignment vertical="center"/>
    </xf>
    <xf numFmtId="0" fontId="1" fillId="13" borderId="0" xfId="0" applyFont="1" applyFill="1" applyAlignment="1" applyProtection="1">
      <alignment vertical="center"/>
    </xf>
    <xf numFmtId="0" fontId="1" fillId="0" borderId="0" xfId="0" applyFont="1" applyFill="1" applyProtection="1"/>
    <xf numFmtId="0" fontId="0" fillId="4" borderId="1" xfId="0" applyFill="1" applyBorder="1" applyAlignment="1" applyProtection="1">
      <alignment horizontal="left"/>
    </xf>
    <xf numFmtId="3" fontId="0" fillId="4" borderId="1" xfId="0" applyNumberFormat="1" applyFill="1" applyBorder="1" applyAlignment="1" applyProtection="1">
      <alignment horizontal="left"/>
    </xf>
    <xf numFmtId="167" fontId="0" fillId="4" borderId="1" xfId="0" applyNumberFormat="1" applyFill="1" applyBorder="1" applyAlignment="1" applyProtection="1">
      <alignment horizontal="left"/>
    </xf>
    <xf numFmtId="3" fontId="0" fillId="0" borderId="1" xfId="0" applyNumberFormat="1" applyBorder="1" applyAlignment="1" applyProtection="1">
      <alignment horizontal="left"/>
    </xf>
    <xf numFmtId="167" fontId="0" fillId="0" borderId="1" xfId="0" applyNumberFormat="1" applyBorder="1" applyAlignment="1" applyProtection="1">
      <alignment horizontal="left"/>
    </xf>
    <xf numFmtId="0" fontId="0" fillId="0" borderId="1" xfId="0" applyBorder="1" applyAlignment="1" applyProtection="1">
      <alignment horizontal="left"/>
    </xf>
    <xf numFmtId="167" fontId="0" fillId="4" borderId="5" xfId="0" applyNumberFormat="1" applyFill="1" applyBorder="1" applyAlignment="1" applyProtection="1">
      <alignment horizontal="left"/>
    </xf>
    <xf numFmtId="167" fontId="0" fillId="0" borderId="5" xfId="0" applyNumberFormat="1" applyBorder="1" applyAlignment="1" applyProtection="1">
      <alignment horizontal="left"/>
    </xf>
    <xf numFmtId="3" fontId="0" fillId="0" borderId="1" xfId="0" applyNumberFormat="1" applyBorder="1" applyAlignment="1" applyProtection="1">
      <alignment horizontal="right"/>
    </xf>
    <xf numFmtId="0" fontId="0" fillId="0" borderId="5" xfId="0" applyBorder="1" applyAlignment="1" applyProtection="1">
      <alignment horizontal="left"/>
    </xf>
    <xf numFmtId="3" fontId="0" fillId="4" borderId="1" xfId="0" applyNumberFormat="1" applyFill="1" applyBorder="1" applyAlignment="1" applyProtection="1">
      <alignment horizontal="right"/>
    </xf>
    <xf numFmtId="0" fontId="0" fillId="0" borderId="2"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0" fillId="0" borderId="2" xfId="0" applyFont="1" applyBorder="1" applyAlignment="1" applyProtection="1">
      <alignment horizontal="left" vertical="center"/>
      <protection locked="0"/>
    </xf>
    <xf numFmtId="0" fontId="0" fillId="0" borderId="3"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93" fillId="0" borderId="0" xfId="2" applyFont="1" applyBorder="1" applyAlignment="1" applyProtection="1">
      <alignment horizontal="left" vertical="center"/>
      <protection locked="0"/>
    </xf>
    <xf numFmtId="0" fontId="0" fillId="0" borderId="36" xfId="0" applyFont="1" applyBorder="1" applyAlignment="1" applyProtection="1">
      <alignment horizontal="left" vertical="top" wrapText="1"/>
      <protection locked="0"/>
    </xf>
    <xf numFmtId="0" fontId="0" fillId="0" borderId="20" xfId="0" applyFont="1" applyBorder="1" applyAlignment="1" applyProtection="1">
      <alignment horizontal="left" vertical="top" wrapText="1"/>
      <protection locked="0"/>
    </xf>
    <xf numFmtId="0" fontId="0" fillId="0" borderId="37" xfId="0" applyFont="1" applyBorder="1" applyAlignment="1" applyProtection="1">
      <alignment horizontal="left" vertical="top" wrapText="1"/>
      <protection locked="0"/>
    </xf>
    <xf numFmtId="0" fontId="0" fillId="0" borderId="38" xfId="0" applyFont="1" applyBorder="1" applyAlignment="1" applyProtection="1">
      <alignment horizontal="left" vertical="top" wrapText="1"/>
      <protection locked="0"/>
    </xf>
    <xf numFmtId="0" fontId="0" fillId="0" borderId="3" xfId="0" applyFont="1" applyBorder="1" applyAlignment="1" applyProtection="1">
      <alignment horizontal="left" vertical="top" wrapText="1"/>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0" fontId="104" fillId="0" borderId="0" xfId="0" applyFont="1" applyBorder="1" applyAlignment="1" applyProtection="1">
      <alignment horizontal="left" vertical="center"/>
      <protection locked="0"/>
    </xf>
    <xf numFmtId="1" fontId="0" fillId="4" borderId="1" xfId="0" applyNumberFormat="1" applyFill="1" applyBorder="1" applyAlignment="1" applyProtection="1">
      <alignment horizontal="left"/>
    </xf>
    <xf numFmtId="3" fontId="0" fillId="0" borderId="1" xfId="0" applyNumberFormat="1" applyFill="1" applyBorder="1" applyAlignment="1" applyProtection="1">
      <alignment horizontal="right"/>
    </xf>
    <xf numFmtId="0" fontId="42" fillId="0" borderId="0" xfId="0" applyFont="1" applyAlignment="1" applyProtection="1">
      <alignment horizontal="left"/>
    </xf>
    <xf numFmtId="0" fontId="103" fillId="0" borderId="0" xfId="0" applyFont="1" applyFill="1" applyAlignment="1" applyProtection="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pplyProtection="1">
      <alignment horizontal="left"/>
    </xf>
    <xf numFmtId="0" fontId="63" fillId="0" borderId="0" xfId="0" applyFont="1" applyAlignment="1" applyProtection="1">
      <alignment horizontal="left" vertical="top" wrapText="1"/>
    </xf>
    <xf numFmtId="0" fontId="96" fillId="0" borderId="0" xfId="2" applyFont="1" applyBorder="1" applyAlignment="1" applyProtection="1">
      <alignment vertical="center"/>
      <protection locked="0"/>
    </xf>
    <xf numFmtId="0" fontId="96" fillId="0" borderId="0" xfId="2" applyFont="1" applyBorder="1" applyAlignment="1" applyProtection="1">
      <alignment horizontal="left" vertical="center"/>
      <protection locked="0"/>
    </xf>
    <xf numFmtId="0" fontId="43" fillId="0" borderId="0" xfId="2" applyFont="1" applyBorder="1" applyAlignment="1" applyProtection="1">
      <alignment horizontal="right" vertical="center"/>
      <protection locked="0"/>
    </xf>
    <xf numFmtId="0" fontId="93" fillId="0" borderId="0" xfId="2" applyFont="1" applyBorder="1" applyAlignment="1" applyProtection="1">
      <alignment horizontal="left" vertical="center"/>
    </xf>
    <xf numFmtId="1" fontId="0" fillId="0" borderId="1" xfId="0" applyNumberFormat="1" applyBorder="1" applyAlignment="1" applyProtection="1">
      <alignment horizontal="left"/>
    </xf>
    <xf numFmtId="3" fontId="0" fillId="0" borderId="5" xfId="0" applyNumberFormat="1" applyBorder="1" applyAlignment="1" applyProtection="1">
      <alignment horizontal="right"/>
    </xf>
    <xf numFmtId="3" fontId="0" fillId="0" borderId="5" xfId="0" applyNumberFormat="1" applyBorder="1" applyAlignment="1" applyProtection="1">
      <alignment horizontal="left"/>
    </xf>
    <xf numFmtId="3" fontId="0" fillId="3" borderId="5" xfId="0" applyNumberFormat="1" applyFill="1" applyBorder="1" applyAlignment="1" applyProtection="1">
      <alignment horizontal="left"/>
    </xf>
    <xf numFmtId="3" fontId="10" fillId="0" borderId="0" xfId="0" applyNumberFormat="1" applyFont="1" applyBorder="1" applyAlignment="1" applyProtection="1">
      <alignment horizontal="right"/>
    </xf>
    <xf numFmtId="9" fontId="0" fillId="0" borderId="5" xfId="1" applyFont="1" applyBorder="1" applyAlignment="1" applyProtection="1">
      <alignment horizontal="right" vertical="center"/>
    </xf>
    <xf numFmtId="9" fontId="0" fillId="5" borderId="5" xfId="1" applyFont="1" applyFill="1" applyBorder="1" applyAlignment="1" applyProtection="1">
      <alignment horizontal="right" vertical="center"/>
    </xf>
    <xf numFmtId="9" fontId="18" fillId="0" borderId="0" xfId="1" applyFont="1" applyBorder="1" applyAlignment="1" applyProtection="1">
      <alignment horizontal="right"/>
    </xf>
    <xf numFmtId="0" fontId="0" fillId="0" borderId="0" xfId="0" applyBorder="1" applyAlignment="1" applyProtection="1">
      <alignment horizontal="right"/>
    </xf>
    <xf numFmtId="3" fontId="3" fillId="0" borderId="0" xfId="0" applyNumberFormat="1" applyFont="1" applyBorder="1" applyAlignment="1" applyProtection="1">
      <alignment horizontal="right"/>
    </xf>
    <xf numFmtId="3" fontId="0" fillId="0" borderId="0" xfId="0" applyNumberFormat="1" applyFont="1" applyBorder="1" applyAlignment="1" applyProtection="1">
      <alignment horizontal="right"/>
    </xf>
    <xf numFmtId="167" fontId="10" fillId="0" borderId="0" xfId="0" applyNumberFormat="1" applyFont="1" applyBorder="1" applyAlignment="1" applyProtection="1">
      <alignment horizontal="right"/>
    </xf>
    <xf numFmtId="9" fontId="6" fillId="0" borderId="0" xfId="0" applyNumberFormat="1" applyFont="1" applyFill="1" applyBorder="1" applyAlignment="1" applyProtection="1">
      <alignment horizontal="right"/>
    </xf>
    <xf numFmtId="0" fontId="6" fillId="0" borderId="0" xfId="0" applyFont="1" applyFill="1" applyBorder="1" applyAlignment="1" applyProtection="1">
      <alignment horizontal="right"/>
    </xf>
    <xf numFmtId="9" fontId="6" fillId="0" borderId="8" xfId="0" applyNumberFormat="1" applyFont="1" applyFill="1" applyBorder="1" applyAlignment="1" applyProtection="1">
      <alignment horizontal="right"/>
    </xf>
    <xf numFmtId="0" fontId="6" fillId="0" borderId="8" xfId="0" applyFont="1" applyFill="1" applyBorder="1" applyAlignment="1" applyProtection="1">
      <alignment horizontal="right"/>
    </xf>
    <xf numFmtId="167" fontId="10" fillId="0" borderId="8" xfId="0" applyNumberFormat="1" applyFont="1" applyBorder="1" applyAlignment="1" applyProtection="1">
      <alignment horizontal="right"/>
    </xf>
    <xf numFmtId="167" fontId="0" fillId="0" borderId="0" xfId="0" applyNumberFormat="1" applyFont="1" applyBorder="1" applyAlignment="1" applyProtection="1">
      <alignment horizontal="right"/>
    </xf>
    <xf numFmtId="3" fontId="0" fillId="0" borderId="0" xfId="0" applyNumberFormat="1" applyBorder="1" applyAlignment="1" applyProtection="1">
      <alignment horizontal="right"/>
    </xf>
    <xf numFmtId="9" fontId="0" fillId="0" borderId="0" xfId="1" applyNumberFormat="1" applyFont="1" applyBorder="1" applyAlignment="1" applyProtection="1">
      <alignment horizontal="right"/>
    </xf>
    <xf numFmtId="3" fontId="3" fillId="0" borderId="0" xfId="0" applyNumberFormat="1" applyFont="1" applyFill="1" applyBorder="1" applyAlignment="1" applyProtection="1">
      <alignment horizontal="right"/>
    </xf>
    <xf numFmtId="167" fontId="18" fillId="0" borderId="0" xfId="0" applyNumberFormat="1" applyFont="1" applyBorder="1" applyAlignment="1" applyProtection="1">
      <alignment horizontal="right"/>
    </xf>
    <xf numFmtId="0" fontId="10" fillId="0" borderId="0" xfId="0" applyFont="1" applyBorder="1" applyAlignment="1" applyProtection="1">
      <alignment horizontal="right"/>
    </xf>
    <xf numFmtId="9" fontId="63" fillId="0" borderId="0" xfId="1" applyFont="1" applyAlignment="1" applyProtection="1">
      <alignment horizontal="right"/>
    </xf>
    <xf numFmtId="3" fontId="73" fillId="0" borderId="0" xfId="0" applyNumberFormat="1" applyFont="1" applyBorder="1" applyAlignment="1" applyProtection="1">
      <alignment horizontal="right"/>
    </xf>
    <xf numFmtId="0" fontId="73" fillId="0" borderId="0" xfId="0" applyFont="1" applyBorder="1" applyAlignment="1" applyProtection="1">
      <alignment horizontal="right"/>
    </xf>
    <xf numFmtId="0" fontId="0" fillId="0" borderId="0" xfId="0" applyFont="1" applyBorder="1" applyAlignment="1" applyProtection="1">
      <alignment horizontal="right"/>
    </xf>
    <xf numFmtId="3" fontId="18" fillId="0" borderId="8" xfId="3" applyNumberFormat="1" applyFont="1" applyBorder="1" applyAlignment="1" applyProtection="1">
      <alignment horizontal="right"/>
    </xf>
    <xf numFmtId="3" fontId="40" fillId="0" borderId="0" xfId="0" applyNumberFormat="1" applyFont="1" applyBorder="1" applyAlignment="1" applyProtection="1">
      <alignment horizontal="right"/>
    </xf>
    <xf numFmtId="0" fontId="40" fillId="0" borderId="0" xfId="0" applyFont="1" applyBorder="1" applyAlignment="1" applyProtection="1">
      <alignment horizontal="right"/>
    </xf>
    <xf numFmtId="9" fontId="0" fillId="0" borderId="0" xfId="1" applyFont="1" applyBorder="1" applyAlignment="1" applyProtection="1">
      <alignment horizontal="right"/>
    </xf>
    <xf numFmtId="0" fontId="10" fillId="0" borderId="0" xfId="0" applyFont="1" applyBorder="1" applyAlignment="1" applyProtection="1">
      <alignment horizontal="left"/>
    </xf>
    <xf numFmtId="0" fontId="10" fillId="0" borderId="8" xfId="0" applyFont="1" applyBorder="1" applyAlignment="1" applyProtection="1">
      <alignment horizontal="left"/>
    </xf>
    <xf numFmtId="167" fontId="10" fillId="0" borderId="8" xfId="0" applyNumberFormat="1" applyFont="1" applyFill="1" applyBorder="1" applyAlignment="1" applyProtection="1">
      <alignment horizontal="right"/>
    </xf>
    <xf numFmtId="0" fontId="0" fillId="0" borderId="0" xfId="0" applyFont="1" applyAlignment="1" applyProtection="1">
      <alignment horizontal="right"/>
    </xf>
    <xf numFmtId="169" fontId="0" fillId="0" borderId="0" xfId="1" applyNumberFormat="1" applyFont="1" applyBorder="1" applyAlignment="1" applyProtection="1">
      <alignment horizontal="right"/>
    </xf>
    <xf numFmtId="3" fontId="0" fillId="0" borderId="0" xfId="0" applyNumberFormat="1" applyAlignment="1" applyProtection="1">
      <alignment horizontal="right"/>
    </xf>
    <xf numFmtId="9" fontId="0" fillId="0" borderId="0" xfId="0" applyNumberFormat="1" applyAlignment="1" applyProtection="1">
      <alignment horizontal="right"/>
    </xf>
    <xf numFmtId="0" fontId="0" fillId="0" borderId="0" xfId="0" applyAlignment="1" applyProtection="1">
      <alignment horizontal="right"/>
    </xf>
    <xf numFmtId="0" fontId="10" fillId="0" borderId="0" xfId="0" quotePrefix="1" applyFont="1" applyBorder="1" applyAlignment="1" applyProtection="1">
      <alignment horizontal="right" vertical="center"/>
    </xf>
    <xf numFmtId="0" fontId="10" fillId="0" borderId="0" xfId="0" applyFont="1" applyBorder="1" applyAlignment="1" applyProtection="1">
      <alignment horizontal="right" vertical="center"/>
    </xf>
    <xf numFmtId="0" fontId="0" fillId="0" borderId="0" xfId="0" quotePrefix="1" applyBorder="1" applyAlignment="1" applyProtection="1">
      <alignment horizontal="right" vertical="center"/>
    </xf>
    <xf numFmtId="0" fontId="0" fillId="0" borderId="0" xfId="0" applyBorder="1" applyAlignment="1" applyProtection="1">
      <alignment horizontal="right" vertical="center"/>
    </xf>
    <xf numFmtId="165" fontId="10" fillId="0" borderId="0" xfId="0" applyNumberFormat="1" applyFont="1" applyBorder="1" applyAlignment="1" applyProtection="1">
      <alignment horizontal="right"/>
      <protection locked="0"/>
    </xf>
    <xf numFmtId="166" fontId="10" fillId="0" borderId="0" xfId="0" applyNumberFormat="1" applyFont="1" applyBorder="1" applyAlignment="1" applyProtection="1">
      <alignment horizontal="right"/>
      <protection locked="0"/>
    </xf>
    <xf numFmtId="1" fontId="0" fillId="0" borderId="0" xfId="0" applyNumberFormat="1" applyBorder="1" applyAlignment="1" applyProtection="1">
      <alignment horizontal="right"/>
    </xf>
    <xf numFmtId="0" fontId="0" fillId="0" borderId="0" xfId="0" applyAlignment="1" applyProtection="1">
      <alignment horizontal="center"/>
    </xf>
    <xf numFmtId="165" fontId="10" fillId="0" borderId="0" xfId="0" applyNumberFormat="1" applyFont="1" applyBorder="1" applyAlignment="1" applyProtection="1">
      <alignment horizontal="right" vertical="center"/>
    </xf>
    <xf numFmtId="167" fontId="0" fillId="0" borderId="5" xfId="0" applyNumberFormat="1" applyFont="1" applyBorder="1" applyAlignment="1" applyProtection="1">
      <alignment horizontal="right" vertical="center"/>
    </xf>
    <xf numFmtId="167" fontId="3" fillId="0" borderId="5" xfId="0" applyNumberFormat="1" applyFont="1" applyBorder="1" applyAlignment="1" applyProtection="1">
      <alignment horizontal="right" vertical="center"/>
    </xf>
    <xf numFmtId="3" fontId="73" fillId="0" borderId="1" xfId="0" applyNumberFormat="1" applyFont="1" applyBorder="1" applyAlignment="1" applyProtection="1">
      <alignment horizontal="right" vertical="center"/>
    </xf>
    <xf numFmtId="9" fontId="65" fillId="0" borderId="7" xfId="0" applyNumberFormat="1" applyFont="1" applyBorder="1" applyAlignment="1">
      <alignment horizontal="center"/>
    </xf>
    <xf numFmtId="9" fontId="40" fillId="0" borderId="0" xfId="1" applyNumberFormat="1" applyFont="1" applyBorder="1" applyAlignment="1" applyProtection="1">
      <alignment horizontal="center"/>
    </xf>
    <xf numFmtId="9" fontId="40" fillId="0" borderId="0" xfId="1" applyFont="1" applyBorder="1" applyAlignment="1" applyProtection="1">
      <alignment horizontal="right"/>
    </xf>
    <xf numFmtId="1" fontId="78" fillId="0" borderId="0" xfId="1" applyNumberFormat="1" applyFont="1" applyBorder="1" applyAlignment="1" applyProtection="1">
      <alignment horizontal="right"/>
    </xf>
    <xf numFmtId="3" fontId="10" fillId="0" borderId="0" xfId="0" applyNumberFormat="1" applyFont="1" applyBorder="1" applyAlignment="1" applyProtection="1">
      <alignment horizontal="center"/>
      <protection locked="0"/>
    </xf>
    <xf numFmtId="169" fontId="0" fillId="3" borderId="0" xfId="1" applyNumberFormat="1" applyFont="1" applyFill="1" applyBorder="1" applyAlignment="1" applyProtection="1">
      <alignment horizontal="right"/>
    </xf>
    <xf numFmtId="3" fontId="63" fillId="0" borderId="0" xfId="0" applyNumberFormat="1" applyFont="1" applyBorder="1" applyAlignment="1" applyProtection="1">
      <alignment horizontal="right"/>
    </xf>
    <xf numFmtId="3" fontId="63" fillId="0" borderId="0" xfId="0" applyNumberFormat="1" applyFont="1" applyAlignment="1" applyProtection="1">
      <alignment horizontal="right"/>
    </xf>
    <xf numFmtId="0" fontId="63" fillId="0" borderId="0" xfId="0" applyFont="1" applyAlignment="1" applyProtection="1">
      <alignment horizontal="right"/>
    </xf>
    <xf numFmtId="0" fontId="0" fillId="3" borderId="0" xfId="0" applyFont="1" applyFill="1" applyAlignment="1">
      <alignment horizontal="center"/>
    </xf>
    <xf numFmtId="0" fontId="0" fillId="5" borderId="0" xfId="0" applyFont="1" applyFill="1" applyAlignment="1">
      <alignment horizontal="center"/>
    </xf>
    <xf numFmtId="0" fontId="40" fillId="0" borderId="0" xfId="0" applyFont="1" applyBorder="1" applyAlignment="1" applyProtection="1">
      <alignment horizontal="center"/>
    </xf>
    <xf numFmtId="9" fontId="10" fillId="0" borderId="0" xfId="1" applyFont="1" applyFill="1" applyBorder="1" applyAlignment="1" applyProtection="1">
      <alignment horizontal="right"/>
    </xf>
    <xf numFmtId="165" fontId="10" fillId="0" borderId="0" xfId="3" applyNumberFormat="1" applyFont="1" applyBorder="1" applyAlignment="1" applyProtection="1">
      <alignment horizontal="right"/>
    </xf>
    <xf numFmtId="3" fontId="10" fillId="0" borderId="8" xfId="0" applyNumberFormat="1" applyFont="1" applyBorder="1" applyAlignment="1" applyProtection="1">
      <alignment horizontal="right"/>
      <protection locked="0"/>
    </xf>
    <xf numFmtId="3" fontId="10" fillId="0" borderId="0" xfId="0" applyNumberFormat="1" applyFont="1" applyBorder="1" applyAlignment="1" applyProtection="1">
      <alignment horizontal="right"/>
      <protection locked="0"/>
    </xf>
    <xf numFmtId="3" fontId="10" fillId="3" borderId="58" xfId="0" applyNumberFormat="1" applyFont="1" applyFill="1" applyBorder="1" applyAlignment="1" applyProtection="1">
      <alignment horizontal="right"/>
      <protection locked="0"/>
    </xf>
    <xf numFmtId="3" fontId="10" fillId="0" borderId="0" xfId="0" applyNumberFormat="1" applyFont="1" applyFill="1" applyBorder="1" applyAlignment="1" applyProtection="1">
      <alignment horizontal="left"/>
      <protection locked="0"/>
    </xf>
    <xf numFmtId="3" fontId="0" fillId="0" borderId="8" xfId="0" applyNumberFormat="1" applyFont="1" applyBorder="1" applyAlignment="1">
      <alignment horizontal="left"/>
    </xf>
    <xf numFmtId="0" fontId="0" fillId="0" borderId="8" xfId="0" applyFont="1" applyBorder="1" applyAlignment="1">
      <alignment horizontal="left"/>
    </xf>
    <xf numFmtId="1" fontId="0" fillId="0" borderId="8" xfId="0" applyNumberFormat="1" applyFont="1" applyBorder="1" applyAlignment="1">
      <alignment horizontal="left"/>
    </xf>
    <xf numFmtId="167" fontId="98" fillId="0" borderId="0" xfId="0" applyNumberFormat="1" applyFont="1" applyBorder="1" applyAlignment="1" applyProtection="1">
      <alignment horizontal="right"/>
    </xf>
    <xf numFmtId="3" fontId="18" fillId="0" borderId="0" xfId="0" applyNumberFormat="1" applyFont="1" applyBorder="1" applyAlignment="1" applyProtection="1">
      <alignment horizontal="right"/>
    </xf>
    <xf numFmtId="3" fontId="0" fillId="0" borderId="8" xfId="0" applyNumberFormat="1" applyBorder="1" applyAlignment="1" applyProtection="1">
      <alignment horizontal="right"/>
    </xf>
    <xf numFmtId="0" fontId="0" fillId="0" borderId="8" xfId="0" applyBorder="1" applyAlignment="1" applyProtection="1">
      <alignment horizontal="right"/>
    </xf>
    <xf numFmtId="3" fontId="69" fillId="0" borderId="0" xfId="0" applyNumberFormat="1" applyFont="1" applyAlignment="1">
      <alignment horizontal="right"/>
    </xf>
    <xf numFmtId="3" fontId="69" fillId="0" borderId="8" xfId="0" applyNumberFormat="1" applyFont="1" applyBorder="1" applyAlignment="1">
      <alignment horizontal="right"/>
    </xf>
    <xf numFmtId="9" fontId="65" fillId="0" borderId="7" xfId="1" applyFont="1" applyBorder="1" applyAlignment="1">
      <alignment horizontal="center"/>
    </xf>
    <xf numFmtId="9" fontId="65" fillId="0" borderId="7" xfId="1" applyFont="1" applyBorder="1" applyAlignment="1">
      <alignment horizontal="center" wrapText="1"/>
    </xf>
    <xf numFmtId="9" fontId="65" fillId="0" borderId="30" xfId="1" applyFont="1" applyBorder="1" applyAlignment="1">
      <alignment horizontal="center"/>
    </xf>
    <xf numFmtId="0" fontId="6" fillId="0" borderId="7" xfId="0" applyFont="1" applyBorder="1" applyAlignment="1" applyProtection="1">
      <alignment horizontal="center" vertical="center"/>
    </xf>
    <xf numFmtId="0" fontId="6" fillId="3" borderId="8" xfId="0" applyFont="1" applyFill="1" applyBorder="1" applyAlignment="1" applyProtection="1">
      <alignment horizontal="right" vertical="center"/>
    </xf>
    <xf numFmtId="167" fontId="0" fillId="0" borderId="2" xfId="0" applyNumberFormat="1" applyFont="1" applyBorder="1" applyAlignment="1" applyProtection="1">
      <alignment horizontal="right" vertical="center"/>
      <protection locked="0"/>
    </xf>
    <xf numFmtId="167" fontId="0" fillId="0" borderId="3" xfId="0" applyNumberFormat="1" applyFont="1" applyBorder="1" applyAlignment="1" applyProtection="1">
      <alignment horizontal="right" vertical="center"/>
      <protection locked="0"/>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167" fontId="24" fillId="3" borderId="1" xfId="0" applyNumberFormat="1" applyFont="1" applyFill="1" applyBorder="1" applyAlignment="1" applyProtection="1">
      <alignment horizontal="right" vertical="center"/>
    </xf>
    <xf numFmtId="0" fontId="24" fillId="3" borderId="1" xfId="0" applyFont="1" applyFill="1" applyBorder="1" applyAlignment="1" applyProtection="1">
      <alignment horizontal="right" vertical="center"/>
    </xf>
    <xf numFmtId="3" fontId="0" fillId="4" borderId="5" xfId="0" applyNumberFormat="1" applyFill="1" applyBorder="1" applyAlignment="1" applyProtection="1">
      <alignment horizontal="left" vertical="center"/>
    </xf>
    <xf numFmtId="9" fontId="0" fillId="0" borderId="1" xfId="1" applyFont="1" applyBorder="1" applyAlignment="1" applyProtection="1">
      <alignment horizontal="right" vertical="center"/>
    </xf>
    <xf numFmtId="9" fontId="3" fillId="4" borderId="5" xfId="1" applyFont="1" applyFill="1" applyBorder="1" applyAlignment="1" applyProtection="1">
      <alignment horizontal="right" vertical="center"/>
    </xf>
    <xf numFmtId="9" fontId="10" fillId="0" borderId="0" xfId="1" applyFont="1" applyBorder="1" applyAlignment="1" applyProtection="1">
      <alignment horizontal="right"/>
    </xf>
    <xf numFmtId="3" fontId="3" fillId="0" borderId="1" xfId="0" applyNumberFormat="1" applyFont="1" applyBorder="1" applyAlignment="1" applyProtection="1">
      <alignment horizontal="right"/>
    </xf>
    <xf numFmtId="3" fontId="3" fillId="0" borderId="8" xfId="0" applyNumberFormat="1" applyFont="1" applyBorder="1" applyAlignment="1" applyProtection="1">
      <alignment horizontal="right"/>
    </xf>
    <xf numFmtId="3" fontId="18" fillId="0" borderId="1" xfId="0" applyNumberFormat="1" applyFont="1" applyBorder="1" applyAlignment="1" applyProtection="1">
      <alignment horizontal="right"/>
    </xf>
    <xf numFmtId="0" fontId="18" fillId="0" borderId="0" xfId="0" applyFont="1" applyBorder="1" applyAlignment="1" applyProtection="1">
      <alignment horizontal="right"/>
    </xf>
    <xf numFmtId="9" fontId="10" fillId="0" borderId="0" xfId="0" applyNumberFormat="1" applyFont="1" applyFill="1" applyBorder="1" applyAlignment="1" applyProtection="1">
      <alignment horizontal="right"/>
    </xf>
    <xf numFmtId="0" fontId="10" fillId="0" borderId="0" xfId="0" applyFont="1" applyFill="1" applyBorder="1" applyAlignment="1" applyProtection="1">
      <alignment horizontal="right"/>
    </xf>
    <xf numFmtId="0" fontId="41" fillId="0" borderId="0" xfId="0" applyFont="1" applyBorder="1" applyAlignment="1" applyProtection="1">
      <alignment horizontal="right"/>
    </xf>
    <xf numFmtId="9" fontId="3" fillId="3" borderId="5" xfId="1" applyFont="1" applyFill="1" applyBorder="1" applyAlignment="1" applyProtection="1">
      <alignment horizontal="right" vertical="center"/>
    </xf>
    <xf numFmtId="0" fontId="93" fillId="0" borderId="0" xfId="2" applyFont="1" applyAlignment="1" applyProtection="1">
      <alignment horizontal="left"/>
      <protection locked="0"/>
    </xf>
    <xf numFmtId="3" fontId="18" fillId="0" borderId="0" xfId="3" applyNumberFormat="1" applyFont="1" applyBorder="1" applyAlignment="1" applyProtection="1">
      <alignment horizontal="right"/>
    </xf>
    <xf numFmtId="0" fontId="6" fillId="0" borderId="0" xfId="0" applyFont="1" applyBorder="1" applyAlignment="1" applyProtection="1">
      <alignment horizontal="left" vertical="top" wrapText="1"/>
    </xf>
    <xf numFmtId="0" fontId="29" fillId="0" borderId="0" xfId="0" applyFont="1" applyBorder="1" applyAlignment="1" applyProtection="1">
      <alignment horizontal="left" vertical="top" wrapText="1"/>
    </xf>
    <xf numFmtId="3" fontId="67" fillId="0" borderId="0" xfId="0" applyNumberFormat="1" applyFont="1" applyBorder="1" applyAlignment="1" applyProtection="1">
      <alignment horizontal="left" vertical="center"/>
      <protection locked="0"/>
    </xf>
    <xf numFmtId="3" fontId="0" fillId="0" borderId="0" xfId="0" applyNumberFormat="1" applyAlignment="1" applyProtection="1">
      <alignment horizontal="left" vertical="center"/>
    </xf>
    <xf numFmtId="0" fontId="0" fillId="0" borderId="0" xfId="0" applyAlignment="1" applyProtection="1">
      <alignment horizontal="left" vertical="center"/>
    </xf>
    <xf numFmtId="9" fontId="0" fillId="0" borderId="5" xfId="0" applyNumberFormat="1" applyBorder="1" applyAlignment="1" applyProtection="1">
      <alignment horizontal="left" vertical="top"/>
    </xf>
    <xf numFmtId="164" fontId="0" fillId="7" borderId="5" xfId="3" applyNumberFormat="1" applyFont="1" applyFill="1" applyBorder="1" applyAlignment="1" applyProtection="1">
      <alignment horizontal="left" vertical="top"/>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167" fontId="0" fillId="0" borderId="2" xfId="0" applyNumberFormat="1" applyFont="1" applyBorder="1" applyAlignment="1" applyProtection="1">
      <alignment horizontal="left" vertical="center"/>
      <protection locked="0"/>
    </xf>
    <xf numFmtId="167" fontId="0" fillId="0" borderId="3" xfId="0" applyNumberFormat="1" applyFont="1" applyBorder="1" applyAlignment="1" applyProtection="1">
      <alignment horizontal="left" vertical="center"/>
      <protection locked="0"/>
    </xf>
    <xf numFmtId="164" fontId="0" fillId="0" borderId="5" xfId="3" applyNumberFormat="1" applyFont="1" applyBorder="1" applyAlignment="1" applyProtection="1">
      <alignment horizontal="right"/>
    </xf>
    <xf numFmtId="3" fontId="0" fillId="0" borderId="5" xfId="3" applyNumberFormat="1" applyFont="1" applyBorder="1" applyAlignment="1" applyProtection="1"/>
    <xf numFmtId="9" fontId="0" fillId="0" borderId="5" xfId="1" applyFont="1" applyBorder="1" applyAlignment="1" applyProtection="1">
      <alignment horizontal="right"/>
    </xf>
    <xf numFmtId="0" fontId="18" fillId="0" borderId="1" xfId="0" applyFont="1" applyBorder="1" applyAlignment="1" applyProtection="1">
      <alignment horizontal="right"/>
    </xf>
    <xf numFmtId="3" fontId="10" fillId="0" borderId="53" xfId="0" applyNumberFormat="1" applyFont="1" applyBorder="1" applyAlignment="1" applyProtection="1">
      <alignment horizontal="right"/>
    </xf>
    <xf numFmtId="3" fontId="10" fillId="0" borderId="52" xfId="0" applyNumberFormat="1" applyFont="1" applyBorder="1" applyAlignment="1" applyProtection="1">
      <alignment horizontal="right"/>
    </xf>
    <xf numFmtId="167" fontId="59" fillId="0" borderId="0" xfId="0" applyNumberFormat="1" applyFont="1" applyBorder="1" applyAlignment="1" applyProtection="1">
      <alignment horizontal="right"/>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165" fontId="0" fillId="0" borderId="5" xfId="3" applyNumberFormat="1" applyFont="1" applyBorder="1" applyAlignment="1" applyProtection="1"/>
    <xf numFmtId="9" fontId="0" fillId="3" borderId="5" xfId="1" applyFont="1" applyFill="1" applyBorder="1" applyAlignment="1" applyProtection="1">
      <alignment horizontal="left" vertical="center"/>
    </xf>
    <xf numFmtId="9" fontId="10" fillId="0" borderId="5" xfId="1" applyFont="1" applyBorder="1" applyAlignment="1" applyProtection="1">
      <alignment horizontal="left" vertical="center"/>
    </xf>
    <xf numFmtId="0" fontId="6" fillId="3" borderId="0" xfId="0" applyFont="1" applyFill="1" applyAlignment="1" applyProtection="1">
      <alignment horizontal="right" vertical="center"/>
    </xf>
    <xf numFmtId="0" fontId="0" fillId="0" borderId="0" xfId="0" applyAlignment="1" applyProtection="1">
      <alignment horizontal="right" vertical="center"/>
    </xf>
    <xf numFmtId="0" fontId="0" fillId="0" borderId="0" xfId="0" applyAlignment="1" applyProtection="1">
      <alignment horizontal="left" vertical="center" indent="1"/>
    </xf>
    <xf numFmtId="0" fontId="10" fillId="0" borderId="0" xfId="0" applyFont="1" applyAlignment="1" applyProtection="1">
      <alignment horizontal="right" vertical="center"/>
    </xf>
    <xf numFmtId="0" fontId="0" fillId="0" borderId="0" xfId="0" applyAlignment="1" applyProtection="1">
      <alignment horizontal="left" indent="1"/>
    </xf>
    <xf numFmtId="167" fontId="18" fillId="0" borderId="8" xfId="0" applyNumberFormat="1" applyFont="1" applyBorder="1" applyAlignment="1" applyProtection="1">
      <alignment horizontal="right"/>
    </xf>
    <xf numFmtId="0" fontId="18" fillId="0" borderId="8" xfId="0" applyFont="1" applyBorder="1" applyAlignment="1" applyProtection="1">
      <alignment horizontal="right"/>
    </xf>
    <xf numFmtId="9" fontId="10" fillId="0" borderId="1" xfId="0" applyNumberFormat="1" applyFont="1" applyFill="1" applyBorder="1" applyAlignment="1" applyProtection="1">
      <alignment horizontal="right"/>
    </xf>
    <xf numFmtId="0" fontId="10" fillId="0" borderId="1" xfId="0" applyFont="1" applyFill="1" applyBorder="1" applyAlignment="1" applyProtection="1">
      <alignment horizontal="right"/>
    </xf>
    <xf numFmtId="167" fontId="10" fillId="0" borderId="1" xfId="0" applyNumberFormat="1" applyFont="1" applyBorder="1" applyAlignment="1" applyProtection="1">
      <alignment horizontal="right"/>
    </xf>
    <xf numFmtId="0" fontId="0" fillId="0" borderId="0" xfId="0" applyBorder="1" applyAlignment="1" applyProtection="1">
      <alignment horizontal="left" indent="1"/>
    </xf>
    <xf numFmtId="167" fontId="18" fillId="0" borderId="1" xfId="0" applyNumberFormat="1" applyFont="1" applyBorder="1" applyAlignment="1" applyProtection="1">
      <alignment horizontal="right"/>
    </xf>
    <xf numFmtId="3" fontId="18" fillId="0" borderId="1" xfId="3" applyNumberFormat="1" applyFont="1" applyBorder="1" applyAlignment="1" applyProtection="1">
      <alignment horizontal="right"/>
    </xf>
    <xf numFmtId="0" fontId="41" fillId="0" borderId="0" xfId="0" quotePrefix="1" applyFont="1" applyBorder="1" applyAlignment="1" applyProtection="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 fontId="69" fillId="0" borderId="0" xfId="0" applyNumberFormat="1" applyFont="1" applyBorder="1" applyAlignment="1" applyProtection="1">
      <alignment horizontal="right"/>
    </xf>
    <xf numFmtId="3" fontId="12" fillId="0" borderId="0" xfId="0" applyNumberFormat="1" applyFont="1" applyBorder="1" applyAlignment="1" applyProtection="1">
      <alignment horizontal="center" vertical="center"/>
    </xf>
    <xf numFmtId="0" fontId="0" fillId="0" borderId="0" xfId="0" applyFont="1" applyBorder="1" applyAlignment="1" applyProtection="1">
      <alignment horizontal="left" vertical="top" wrapText="1"/>
    </xf>
    <xf numFmtId="3" fontId="18" fillId="0" borderId="54" xfId="0" applyNumberFormat="1" applyFont="1" applyBorder="1" applyAlignment="1">
      <alignment horizontal="right"/>
    </xf>
    <xf numFmtId="3" fontId="18" fillId="0" borderId="8" xfId="0" applyNumberFormat="1" applyFont="1" applyBorder="1" applyAlignment="1" applyProtection="1">
      <alignment horizontal="right"/>
    </xf>
    <xf numFmtId="1" fontId="100" fillId="0" borderId="0" xfId="0" applyNumberFormat="1" applyFont="1" applyBorder="1" applyAlignment="1" applyProtection="1">
      <alignment horizontal="right"/>
    </xf>
    <xf numFmtId="1" fontId="18" fillId="0" borderId="0" xfId="0" applyNumberFormat="1" applyFont="1" applyBorder="1" applyAlignment="1" applyProtection="1">
      <alignment horizontal="right"/>
    </xf>
    <xf numFmtId="3" fontId="0" fillId="0" borderId="0" xfId="0" applyNumberFormat="1" applyFont="1" applyFill="1" applyBorder="1" applyAlignment="1" applyProtection="1">
      <alignment horizontal="right"/>
    </xf>
    <xf numFmtId="167" fontId="18" fillId="0" borderId="0" xfId="0" applyNumberFormat="1" applyFont="1" applyFill="1" applyBorder="1" applyAlignment="1" applyProtection="1">
      <alignment horizontal="right"/>
    </xf>
    <xf numFmtId="165" fontId="16" fillId="0" borderId="0" xfId="0" applyNumberFormat="1" applyFont="1" applyBorder="1" applyAlignment="1" applyProtection="1">
      <alignment horizontal="right"/>
    </xf>
    <xf numFmtId="167" fontId="17" fillId="0" borderId="0" xfId="0" applyNumberFormat="1" applyFont="1" applyBorder="1" applyAlignment="1" applyProtection="1">
      <alignment horizontal="right"/>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0" fontId="72" fillId="0" borderId="0" xfId="0" applyFont="1" applyBorder="1" applyAlignment="1" applyProtection="1">
      <alignment horizontal="left" vertical="top" wrapText="1"/>
    </xf>
    <xf numFmtId="9" fontId="16" fillId="0" borderId="0" xfId="0" applyNumberFormat="1" applyFont="1" applyBorder="1" applyAlignment="1" applyProtection="1">
      <alignment horizontal="right"/>
    </xf>
    <xf numFmtId="165" fontId="10" fillId="0" borderId="0" xfId="0" applyNumberFormat="1" applyFont="1" applyBorder="1" applyAlignment="1" applyProtection="1">
      <alignment horizontal="right"/>
    </xf>
    <xf numFmtId="167" fontId="0" fillId="0" borderId="2" xfId="0" applyNumberFormat="1" applyFont="1" applyBorder="1" applyAlignment="1" applyProtection="1">
      <alignment horizontal="right"/>
      <protection locked="0"/>
    </xf>
    <xf numFmtId="167" fontId="0" fillId="0" borderId="3" xfId="0" applyNumberFormat="1" applyFont="1" applyBorder="1" applyAlignment="1" applyProtection="1">
      <alignment horizontal="right"/>
      <protection locked="0"/>
    </xf>
    <xf numFmtId="167" fontId="57" fillId="0" borderId="0" xfId="0" applyNumberFormat="1" applyFont="1" applyBorder="1" applyAlignment="1" applyProtection="1">
      <alignment horizontal="right"/>
    </xf>
    <xf numFmtId="165" fontId="18" fillId="0" borderId="0" xfId="0" applyNumberFormat="1" applyFont="1" applyBorder="1" applyAlignment="1" applyProtection="1">
      <alignment horizontal="right"/>
    </xf>
    <xf numFmtId="1" fontId="0" fillId="0" borderId="2" xfId="0" applyNumberFormat="1" applyFont="1" applyBorder="1" applyAlignment="1" applyProtection="1">
      <alignment horizontal="right"/>
      <protection locked="0"/>
    </xf>
    <xf numFmtId="1" fontId="0" fillId="0" borderId="3" xfId="0" applyNumberFormat="1" applyFont="1" applyBorder="1" applyAlignment="1" applyProtection="1">
      <alignment horizontal="right"/>
      <protection locked="0"/>
    </xf>
    <xf numFmtId="167" fontId="31" fillId="0" borderId="0" xfId="0" applyNumberFormat="1" applyFont="1" applyBorder="1" applyAlignment="1" applyProtection="1">
      <alignment horizontal="right"/>
    </xf>
    <xf numFmtId="167" fontId="24" fillId="0" borderId="0" xfId="0" applyNumberFormat="1" applyFont="1" applyBorder="1" applyAlignment="1" applyProtection="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165" fontId="55" fillId="0" borderId="0" xfId="0" applyNumberFormat="1" applyFont="1" applyBorder="1" applyAlignment="1" applyProtection="1">
      <alignment horizontal="right" vertical="center"/>
    </xf>
    <xf numFmtId="0" fontId="10" fillId="0" borderId="0" xfId="0" quotePrefix="1" applyFont="1" applyBorder="1" applyAlignment="1" applyProtection="1">
      <alignment horizontal="left" vertical="top"/>
    </xf>
    <xf numFmtId="0" fontId="10" fillId="0" borderId="0" xfId="0" applyFont="1" applyBorder="1" applyAlignment="1" applyProtection="1">
      <alignment horizontal="left" vertical="top"/>
    </xf>
    <xf numFmtId="167" fontId="18" fillId="0" borderId="1" xfId="0" applyNumberFormat="1" applyFont="1" applyFill="1" applyBorder="1" applyAlignment="1" applyProtection="1">
      <alignment horizontal="right"/>
    </xf>
    <xf numFmtId="3" fontId="58" fillId="0" borderId="0" xfId="0" applyNumberFormat="1" applyFont="1" applyBorder="1" applyAlignment="1" applyProtection="1">
      <alignment horizontal="left"/>
    </xf>
    <xf numFmtId="0" fontId="24" fillId="0" borderId="0" xfId="0" applyFont="1" applyBorder="1" applyAlignment="1" applyProtection="1">
      <alignment horizontal="right"/>
    </xf>
    <xf numFmtId="165" fontId="55" fillId="0" borderId="0" xfId="0" quotePrefix="1" applyNumberFormat="1" applyFont="1" applyBorder="1" applyAlignment="1" applyProtection="1">
      <alignment horizontal="right" vertical="center"/>
    </xf>
    <xf numFmtId="4" fontId="0" fillId="0" borderId="5" xfId="3" applyNumberFormat="1" applyFont="1" applyBorder="1" applyAlignment="1" applyProtection="1"/>
    <xf numFmtId="0" fontId="10" fillId="3" borderId="0" xfId="0" applyFont="1" applyFill="1" applyBorder="1" applyAlignment="1" applyProtection="1">
      <alignment horizontal="left" vertical="center"/>
    </xf>
    <xf numFmtId="0" fontId="10" fillId="0" borderId="0" xfId="0" applyFont="1" applyBorder="1" applyAlignment="1" applyProtection="1">
      <alignment horizontal="left" vertical="center"/>
    </xf>
    <xf numFmtId="0" fontId="18" fillId="3" borderId="0" xfId="0" applyFont="1" applyFill="1" applyBorder="1" applyAlignment="1" applyProtection="1">
      <alignment horizontal="left" vertical="center"/>
    </xf>
    <xf numFmtId="3" fontId="2" fillId="0" borderId="11" xfId="0" applyNumberFormat="1" applyFont="1" applyBorder="1" applyAlignment="1" applyProtection="1">
      <alignment horizontal="left" vertical="center"/>
    </xf>
    <xf numFmtId="3" fontId="2" fillId="0" borderId="10" xfId="0" applyNumberFormat="1" applyFont="1" applyBorder="1" applyAlignment="1" applyProtection="1">
      <alignment horizontal="left" vertical="center"/>
    </xf>
    <xf numFmtId="9" fontId="10" fillId="0" borderId="4" xfId="1" applyFont="1" applyBorder="1" applyAlignment="1" applyProtection="1">
      <alignment horizontal="left" vertical="center"/>
    </xf>
    <xf numFmtId="9" fontId="0" fillId="3" borderId="4" xfId="1" applyFont="1" applyFill="1" applyBorder="1" applyAlignment="1" applyProtection="1">
      <alignment horizontal="left" vertical="center"/>
    </xf>
    <xf numFmtId="0" fontId="10" fillId="0" borderId="5" xfId="0" applyFont="1" applyBorder="1" applyAlignment="1" applyProtection="1">
      <alignment horizontal="left" vertical="center"/>
    </xf>
    <xf numFmtId="0" fontId="10" fillId="0" borderId="4" xfId="0" applyFont="1" applyBorder="1" applyAlignment="1" applyProtection="1">
      <alignment horizontal="left" vertical="center"/>
    </xf>
    <xf numFmtId="9" fontId="18" fillId="2" borderId="0" xfId="1" applyFont="1" applyFill="1" applyBorder="1" applyAlignment="1" applyProtection="1">
      <alignment horizontal="left" vertical="center"/>
    </xf>
    <xf numFmtId="1" fontId="18" fillId="0" borderId="5" xfId="1" applyNumberFormat="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1" fontId="24" fillId="0" borderId="5" xfId="1" applyNumberFormat="1" applyFont="1" applyFill="1" applyBorder="1" applyAlignment="1" applyProtection="1">
      <alignment horizontal="left" vertical="center"/>
    </xf>
    <xf numFmtId="0" fontId="18" fillId="3" borderId="0" xfId="0" applyFont="1" applyFill="1" applyBorder="1" applyAlignment="1" applyProtection="1">
      <alignment horizontal="right" vertical="center"/>
    </xf>
    <xf numFmtId="9" fontId="18" fillId="2" borderId="0" xfId="0" applyNumberFormat="1"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1" fontId="10" fillId="0" borderId="5" xfId="1" applyNumberFormat="1" applyFont="1" applyBorder="1" applyAlignment="1" applyProtection="1">
      <alignment horizontal="right" vertical="center"/>
    </xf>
    <xf numFmtId="1" fontId="10" fillId="0" borderId="5" xfId="1" applyNumberFormat="1" applyFont="1" applyBorder="1" applyAlignment="1" applyProtection="1">
      <alignment horizontal="left" vertical="center"/>
    </xf>
    <xf numFmtId="3" fontId="6" fillId="3" borderId="30" xfId="0" applyNumberFormat="1" applyFont="1" applyFill="1" applyBorder="1" applyAlignment="1" applyProtection="1">
      <alignment horizontal="left" vertical="center"/>
    </xf>
    <xf numFmtId="4" fontId="10" fillId="0" borderId="29" xfId="0" applyNumberFormat="1" applyFont="1" applyBorder="1" applyProtection="1"/>
    <xf numFmtId="9" fontId="1" fillId="0" borderId="5" xfId="1" applyFont="1" applyFill="1" applyBorder="1" applyAlignment="1" applyProtection="1">
      <alignment horizontal="center" vertical="center"/>
    </xf>
    <xf numFmtId="169" fontId="10" fillId="0" borderId="5" xfId="1" applyNumberFormat="1" applyFont="1" applyFill="1" applyBorder="1" applyAlignment="1" applyProtection="1">
      <alignment horizontal="right" vertical="center"/>
    </xf>
    <xf numFmtId="9" fontId="24" fillId="4" borderId="5" xfId="1" applyFont="1" applyFill="1" applyBorder="1" applyAlignment="1" applyProtection="1">
      <alignment horizontal="right" vertical="center"/>
    </xf>
    <xf numFmtId="169" fontId="6" fillId="0" borderId="5" xfId="1" applyNumberFormat="1" applyFont="1" applyFill="1" applyBorder="1" applyAlignment="1" applyProtection="1">
      <alignment horizontal="lef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1" fontId="10" fillId="0" borderId="5" xfId="1" applyNumberFormat="1" applyFont="1" applyFill="1" applyBorder="1" applyAlignment="1" applyProtection="1">
      <alignment horizontal="right" vertical="center"/>
    </xf>
    <xf numFmtId="9" fontId="3" fillId="2" borderId="0" xfId="1" applyFont="1" applyFill="1" applyBorder="1" applyAlignment="1" applyProtection="1">
      <alignment horizontal="left" vertical="center"/>
    </xf>
    <xf numFmtId="1" fontId="6" fillId="0" borderId="5" xfId="1" applyNumberFormat="1" applyFont="1" applyFill="1" applyBorder="1" applyAlignment="1" applyProtection="1">
      <alignment horizontal="left" vertical="center"/>
    </xf>
    <xf numFmtId="1" fontId="10" fillId="0" borderId="5" xfId="0" applyNumberFormat="1" applyFont="1" applyBorder="1" applyAlignment="1" applyProtection="1">
      <alignment horizontal="right" vertical="center"/>
    </xf>
    <xf numFmtId="1" fontId="6" fillId="0" borderId="5" xfId="1" applyNumberFormat="1" applyFont="1" applyFill="1" applyBorder="1" applyAlignment="1" applyProtection="1">
      <alignment horizontal="right" vertical="center"/>
    </xf>
    <xf numFmtId="1" fontId="6" fillId="22" borderId="5" xfId="1" applyNumberFormat="1" applyFont="1" applyFill="1" applyBorder="1" applyAlignment="1" applyProtection="1">
      <alignment horizontal="right" vertical="center"/>
    </xf>
    <xf numFmtId="0" fontId="10" fillId="0" borderId="0" xfId="0" applyFont="1" applyAlignment="1" applyProtection="1">
      <alignment horizontal="right"/>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3" fontId="0" fillId="0" borderId="2" xfId="0" applyNumberFormat="1" applyFont="1" applyBorder="1" applyAlignment="1" applyProtection="1">
      <alignment horizontal="left" vertical="center"/>
      <protection locked="0"/>
    </xf>
    <xf numFmtId="3" fontId="12" fillId="0" borderId="0" xfId="0" applyNumberFormat="1" applyFont="1" applyBorder="1" applyAlignment="1" applyProtection="1">
      <alignment horizontal="left" vertical="center"/>
    </xf>
    <xf numFmtId="3" fontId="0" fillId="0" borderId="3" xfId="0" applyNumberFormat="1" applyFont="1" applyBorder="1" applyAlignment="1" applyProtection="1">
      <alignment horizontal="left" vertical="center"/>
      <protection locked="0"/>
    </xf>
    <xf numFmtId="0" fontId="45" fillId="0" borderId="27" xfId="0" applyFont="1" applyBorder="1" applyAlignment="1" applyProtection="1">
      <alignment horizontal="left" vertical="center"/>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1" fontId="0" fillId="0" borderId="2" xfId="0" applyNumberFormat="1" applyFont="1" applyBorder="1" applyAlignment="1" applyProtection="1">
      <alignment horizontal="right" vertical="center"/>
      <protection locked="0"/>
    </xf>
    <xf numFmtId="1" fontId="0" fillId="0" borderId="3" xfId="0" applyNumberFormat="1" applyFont="1" applyBorder="1" applyAlignment="1" applyProtection="1">
      <alignment horizontal="right" vertical="center"/>
      <protection locked="0"/>
    </xf>
    <xf numFmtId="0" fontId="94" fillId="0" borderId="0" xfId="0" quotePrefix="1" applyFont="1" applyFill="1" applyBorder="1" applyAlignment="1" applyProtection="1">
      <alignment horizontal="left" vertical="center" wrapText="1"/>
    </xf>
    <xf numFmtId="0" fontId="10" fillId="0" borderId="0" xfId="0" quotePrefix="1" applyFont="1" applyFill="1" applyBorder="1" applyAlignment="1" applyProtection="1">
      <alignment horizontal="left" vertical="center" wrapText="1"/>
    </xf>
    <xf numFmtId="0" fontId="10" fillId="0" borderId="0" xfId="0" applyFont="1" applyBorder="1" applyAlignment="1" applyProtection="1">
      <alignment horizontal="left" wrapText="1"/>
    </xf>
    <xf numFmtId="3" fontId="10" fillId="0" borderId="0" xfId="0" applyNumberFormat="1" applyFont="1" applyBorder="1" applyAlignment="1" applyProtection="1">
      <alignment horizontal="left"/>
    </xf>
    <xf numFmtId="3" fontId="63" fillId="0" borderId="0" xfId="0" applyNumberFormat="1" applyFont="1" applyFill="1" applyBorder="1" applyAlignment="1" applyProtection="1">
      <alignment horizontal="right"/>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3" fontId="10" fillId="0" borderId="8" xfId="0" applyNumberFormat="1" applyFont="1" applyBorder="1" applyAlignment="1" applyProtection="1">
      <alignment horizontal="right"/>
    </xf>
    <xf numFmtId="3" fontId="18" fillId="0" borderId="54" xfId="0" applyNumberFormat="1" applyFont="1" applyBorder="1" applyAlignment="1" applyProtection="1">
      <alignment horizontal="right"/>
    </xf>
    <xf numFmtId="3" fontId="18" fillId="0" borderId="0" xfId="0" applyNumberFormat="1" applyFont="1" applyFill="1" applyBorder="1" applyAlignment="1" applyProtection="1">
      <alignment horizontal="right"/>
    </xf>
    <xf numFmtId="3" fontId="10" fillId="0" borderId="8" xfId="0" applyNumberFormat="1" applyFont="1" applyFill="1" applyBorder="1" applyAlignment="1" applyProtection="1">
      <alignment horizontal="right"/>
    </xf>
    <xf numFmtId="3" fontId="10" fillId="0" borderId="0" xfId="0" applyNumberFormat="1" applyFont="1" applyFill="1" applyBorder="1" applyAlignment="1" applyProtection="1">
      <alignment horizontal="right"/>
    </xf>
    <xf numFmtId="0" fontId="61" fillId="0" borderId="0" xfId="0" applyFont="1" applyAlignment="1" applyProtection="1">
      <alignment horizontal="right"/>
    </xf>
    <xf numFmtId="3" fontId="69" fillId="0" borderId="0" xfId="0" applyNumberFormat="1" applyFont="1" applyFill="1" applyBorder="1" applyAlignment="1" applyProtection="1">
      <alignment horizontal="right"/>
    </xf>
    <xf numFmtId="3" fontId="71" fillId="0" borderId="0" xfId="0" applyNumberFormat="1" applyFont="1" applyFill="1" applyBorder="1" applyAlignment="1" applyProtection="1">
      <alignment horizontal="right"/>
    </xf>
    <xf numFmtId="9" fontId="68" fillId="0" borderId="0" xfId="0" applyNumberFormat="1" applyFont="1" applyAlignment="1" applyProtection="1">
      <alignment horizontal="center"/>
    </xf>
    <xf numFmtId="0" fontId="68" fillId="0" borderId="0" xfId="0" applyFont="1" applyAlignment="1" applyProtection="1">
      <alignment horizontal="center"/>
    </xf>
    <xf numFmtId="9" fontId="0" fillId="0" borderId="8" xfId="0" applyNumberFormat="1" applyFont="1" applyBorder="1" applyAlignment="1" applyProtection="1">
      <alignment horizontal="right"/>
    </xf>
    <xf numFmtId="0" fontId="0" fillId="0" borderId="8" xfId="0" applyFont="1" applyBorder="1" applyAlignment="1" applyProtection="1">
      <alignment horizontal="right"/>
    </xf>
    <xf numFmtId="3" fontId="10" fillId="0" borderId="0" xfId="3" applyNumberFormat="1" applyFont="1" applyBorder="1" applyAlignment="1" applyProtection="1">
      <alignment horizontal="right"/>
    </xf>
    <xf numFmtId="0" fontId="32" fillId="0" borderId="0" xfId="0" quotePrefix="1" applyFont="1" applyFill="1" applyBorder="1" applyAlignment="1" applyProtection="1">
      <alignment horizontal="left"/>
    </xf>
    <xf numFmtId="0" fontId="31" fillId="0" borderId="0" xfId="0" applyFont="1" applyBorder="1" applyAlignment="1" applyProtection="1">
      <alignment horizontal="right"/>
    </xf>
    <xf numFmtId="0" fontId="10" fillId="0" borderId="8" xfId="0" applyFont="1" applyBorder="1" applyAlignment="1" applyProtection="1">
      <alignment horizontal="right"/>
    </xf>
    <xf numFmtId="0" fontId="34" fillId="0" borderId="22" xfId="0" applyFont="1" applyFill="1" applyBorder="1" applyAlignment="1" applyProtection="1">
      <alignment horizontal="left" vertical="center"/>
    </xf>
    <xf numFmtId="0" fontId="0" fillId="0" borderId="59" xfId="0" applyBorder="1" applyAlignment="1" applyProtection="1">
      <alignment horizontal="left"/>
    </xf>
    <xf numFmtId="0" fontId="0" fillId="0" borderId="0" xfId="0" applyAlignment="1">
      <alignment horizontal="right"/>
    </xf>
    <xf numFmtId="3" fontId="79" fillId="0" borderId="0" xfId="0" applyNumberFormat="1" applyFont="1" applyFill="1" applyBorder="1" applyAlignment="1" applyProtection="1">
      <alignment horizontal="right"/>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3" fontId="18" fillId="0" borderId="4" xfId="0" applyNumberFormat="1" applyFont="1" applyFill="1" applyBorder="1" applyAlignment="1" applyProtection="1">
      <alignment horizontal="right"/>
    </xf>
    <xf numFmtId="0" fontId="0" fillId="0" borderId="0" xfId="0" applyAlignment="1" applyProtection="1">
      <alignment horizontal="left" vertical="center" wrapText="1"/>
    </xf>
    <xf numFmtId="0" fontId="10" fillId="0" borderId="0" xfId="3" applyNumberFormat="1" applyFont="1" applyBorder="1" applyAlignment="1" applyProtection="1">
      <alignment horizontal="right"/>
    </xf>
    <xf numFmtId="165" fontId="64" fillId="0" borderId="0" xfId="0" applyNumberFormat="1" applyFont="1" applyBorder="1" applyAlignment="1" applyProtection="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6" fillId="0" borderId="7" xfId="0" applyNumberFormat="1" applyFont="1" applyBorder="1" applyAlignment="1" applyProtection="1">
      <alignment horizontal="center" vertical="center"/>
    </xf>
    <xf numFmtId="0" fontId="93"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0" fontId="16" fillId="0" borderId="0" xfId="0" applyFont="1" applyFill="1" applyAlignment="1" applyProtection="1">
      <alignment horizontal="left" vertical="center"/>
    </xf>
    <xf numFmtId="167" fontId="6" fillId="3" borderId="8" xfId="0" applyNumberFormat="1" applyFont="1" applyFill="1" applyBorder="1" applyAlignment="1" applyProtection="1">
      <alignment horizontal="right" vertical="center"/>
    </xf>
    <xf numFmtId="0" fontId="18" fillId="0" borderId="0" xfId="0" quotePrefix="1" applyFont="1" applyBorder="1" applyAlignment="1" applyProtection="1">
      <alignment horizontal="left"/>
    </xf>
    <xf numFmtId="0" fontId="18" fillId="0" borderId="0" xfId="0" applyFont="1" applyBorder="1" applyAlignment="1" applyProtection="1">
      <alignment horizontal="left"/>
    </xf>
    <xf numFmtId="0" fontId="10" fillId="0" borderId="0" xfId="0" quotePrefix="1" applyFont="1" applyBorder="1" applyAlignment="1" applyProtection="1">
      <alignment horizontal="left"/>
    </xf>
    <xf numFmtId="0" fontId="41" fillId="0" borderId="1" xfId="0" quotePrefix="1" applyFont="1" applyBorder="1" applyAlignment="1" applyProtection="1">
      <alignment horizontal="right"/>
    </xf>
    <xf numFmtId="0" fontId="41" fillId="0" borderId="1" xfId="0" applyFont="1" applyBorder="1" applyAlignment="1" applyProtection="1">
      <alignment horizontal="right"/>
    </xf>
    <xf numFmtId="0" fontId="18" fillId="0" borderId="0" xfId="3" applyNumberFormat="1" applyFont="1" applyBorder="1" applyAlignment="1" applyProtection="1">
      <alignment horizontal="right"/>
    </xf>
    <xf numFmtId="9" fontId="0" fillId="0" borderId="1" xfId="1" applyFont="1" applyBorder="1" applyAlignment="1" applyProtection="1">
      <alignment horizontal="right"/>
    </xf>
    <xf numFmtId="0" fontId="0" fillId="0" borderId="0" xfId="0" applyBorder="1" applyAlignment="1" applyProtection="1">
      <alignment horizontal="left" vertical="center" indent="1"/>
    </xf>
    <xf numFmtId="167" fontId="18" fillId="0" borderId="0" xfId="0" applyNumberFormat="1" applyFont="1" applyBorder="1" applyAlignment="1" applyProtection="1">
      <alignment horizontal="right" vertical="center"/>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0" fillId="0" borderId="0" xfId="0" applyAlignment="1" applyProtection="1">
      <alignment horizontal="left" vertical="top" wrapText="1"/>
    </xf>
    <xf numFmtId="0" fontId="10" fillId="0" borderId="0" xfId="0" quotePrefix="1" applyFont="1" applyBorder="1" applyAlignment="1" applyProtection="1">
      <alignment horizontal="left"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0" fontId="91" fillId="0" borderId="0" xfId="0" applyFont="1" applyBorder="1" applyAlignment="1" applyProtection="1">
      <alignment horizontal="center"/>
    </xf>
    <xf numFmtId="0" fontId="0" fillId="0" borderId="1" xfId="0" applyBorder="1" applyAlignment="1" applyProtection="1">
      <alignment horizontal="left" vertical="top" wrapText="1"/>
    </xf>
    <xf numFmtId="9" fontId="17" fillId="0" borderId="1" xfId="1" applyFont="1" applyBorder="1" applyAlignment="1" applyProtection="1">
      <alignment horizontal="right" vertical="center"/>
    </xf>
    <xf numFmtId="3" fontId="0" fillId="0" borderId="1" xfId="0" applyNumberFormat="1" applyBorder="1" applyAlignment="1" applyProtection="1">
      <alignment horizontal="right" vertical="center"/>
    </xf>
    <xf numFmtId="0" fontId="0" fillId="0" borderId="1" xfId="0" applyBorder="1" applyAlignment="1" applyProtection="1">
      <alignment horizontal="right" vertical="center"/>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3" fontId="2" fillId="0" borderId="0" xfId="0" applyNumberFormat="1" applyFont="1" applyBorder="1" applyAlignment="1" applyProtection="1">
      <alignment horizontal="right" vertical="center"/>
    </xf>
    <xf numFmtId="0" fontId="2" fillId="0" borderId="0" xfId="0" applyFont="1" applyBorder="1" applyAlignment="1" applyProtection="1">
      <alignment horizontal="right" vertical="center"/>
    </xf>
    <xf numFmtId="9" fontId="16" fillId="0" borderId="1" xfId="1" applyFont="1" applyBorder="1" applyAlignment="1" applyProtection="1">
      <alignment horizontal="right" vertical="center"/>
    </xf>
    <xf numFmtId="3" fontId="3" fillId="0" borderId="1" xfId="0" applyNumberFormat="1" applyFont="1" applyBorder="1" applyAlignment="1" applyProtection="1">
      <alignment horizontal="right" vertical="center"/>
    </xf>
    <xf numFmtId="0" fontId="0" fillId="0" borderId="0" xfId="0" applyBorder="1" applyAlignment="1" applyProtection="1">
      <alignment horizontal="right" vertical="top" wrapText="1"/>
    </xf>
    <xf numFmtId="0" fontId="3" fillId="0" borderId="5" xfId="0" applyFont="1" applyBorder="1" applyAlignment="1" applyProtection="1">
      <alignment horizontal="right"/>
    </xf>
    <xf numFmtId="0" fontId="0" fillId="0" borderId="5" xfId="0" applyBorder="1" applyAlignment="1" applyProtection="1">
      <alignment horizontal="right"/>
    </xf>
    <xf numFmtId="0" fontId="0" fillId="0" borderId="1" xfId="0" applyBorder="1" applyAlignment="1" applyProtection="1">
      <alignment horizontal="right"/>
    </xf>
    <xf numFmtId="175" fontId="0" fillId="0" borderId="5" xfId="0" applyNumberFormat="1" applyBorder="1" applyAlignment="1" applyProtection="1">
      <alignment horizontal="right"/>
    </xf>
    <xf numFmtId="0" fontId="0" fillId="0" borderId="1" xfId="0" applyNumberFormat="1" applyBorder="1" applyAlignment="1" applyProtection="1">
      <alignment horizontal="right" vertical="center"/>
    </xf>
    <xf numFmtId="0" fontId="44" fillId="0" borderId="27" xfId="0" applyFont="1" applyBorder="1" applyAlignment="1" applyProtection="1">
      <alignment horizontal="left" vertical="center"/>
    </xf>
    <xf numFmtId="0" fontId="3" fillId="2" borderId="1" xfId="0" applyFont="1" applyFill="1" applyBorder="1" applyAlignment="1" applyProtection="1">
      <alignment horizontal="right"/>
    </xf>
    <xf numFmtId="168" fontId="0" fillId="0" borderId="1" xfId="0" applyNumberFormat="1" applyBorder="1" applyAlignment="1" applyProtection="1">
      <alignment horizontal="right" vertical="center"/>
    </xf>
    <xf numFmtId="166" fontId="0" fillId="0" borderId="1" xfId="0" applyNumberFormat="1" applyBorder="1" applyAlignment="1" applyProtection="1">
      <alignment horizontal="right" vertical="center"/>
    </xf>
    <xf numFmtId="3" fontId="0" fillId="0" borderId="0" xfId="0" applyNumberFormat="1" applyFill="1" applyBorder="1" applyAlignment="1" applyProtection="1">
      <alignment horizontal="right" vertical="center"/>
    </xf>
    <xf numFmtId="3" fontId="0" fillId="0" borderId="5" xfId="0" applyNumberFormat="1" applyFill="1" applyBorder="1" applyAlignment="1" applyProtection="1">
      <alignment horizontal="right" vertical="center"/>
    </xf>
    <xf numFmtId="0" fontId="0" fillId="0" borderId="5" xfId="0" applyBorder="1" applyAlignment="1" applyProtection="1">
      <alignment horizontal="right" vertical="center"/>
    </xf>
    <xf numFmtId="3" fontId="0" fillId="0" borderId="1" xfId="0" applyNumberFormat="1" applyFill="1" applyBorder="1" applyAlignment="1" applyProtection="1">
      <alignment horizontal="right" vertical="center"/>
    </xf>
    <xf numFmtId="2" fontId="0" fillId="0" borderId="1" xfId="0" applyNumberFormat="1" applyFill="1" applyBorder="1" applyAlignment="1" applyProtection="1">
      <alignment horizontal="right" vertical="center"/>
    </xf>
    <xf numFmtId="0" fontId="0" fillId="0" borderId="1" xfId="0" applyFill="1" applyBorder="1" applyAlignment="1" applyProtection="1">
      <alignment horizontal="right" vertical="center"/>
    </xf>
    <xf numFmtId="164" fontId="0" fillId="0" borderId="1" xfId="0" applyNumberFormat="1" applyBorder="1" applyAlignment="1" applyProtection="1">
      <alignment horizontal="right" vertical="center"/>
    </xf>
    <xf numFmtId="9" fontId="0" fillId="0" borderId="1" xfId="0" applyNumberFormat="1" applyBorder="1" applyAlignment="1" applyProtection="1">
      <alignment horizontal="right" vertical="center"/>
    </xf>
    <xf numFmtId="4" fontId="0" fillId="0" borderId="1" xfId="0" applyNumberFormat="1" applyBorder="1" applyAlignment="1" applyProtection="1">
      <alignment horizontal="right" wrapText="1"/>
    </xf>
    <xf numFmtId="165" fontId="0" fillId="0" borderId="1" xfId="0" applyNumberFormat="1" applyBorder="1" applyAlignment="1" applyProtection="1">
      <alignment horizontal="right" vertical="center"/>
    </xf>
    <xf numFmtId="171" fontId="0" fillId="0" borderId="5" xfId="0" applyNumberFormat="1" applyBorder="1" applyAlignment="1" applyProtection="1">
      <alignment horizontal="right"/>
    </xf>
    <xf numFmtId="171" fontId="3" fillId="0" borderId="5" xfId="0" applyNumberFormat="1" applyFont="1" applyBorder="1" applyAlignment="1" applyProtection="1">
      <alignment horizontal="right"/>
    </xf>
    <xf numFmtId="1" fontId="3" fillId="2" borderId="1" xfId="0" applyNumberFormat="1" applyFont="1" applyFill="1" applyBorder="1" applyAlignment="1" applyProtection="1">
      <alignment horizontal="right"/>
    </xf>
    <xf numFmtId="4" fontId="0" fillId="0" borderId="1" xfId="0" applyNumberFormat="1" applyBorder="1" applyAlignment="1" applyProtection="1">
      <alignment horizontal="right" vertical="center"/>
    </xf>
    <xf numFmtId="0" fontId="0" fillId="0" borderId="5" xfId="0" applyFill="1" applyBorder="1" applyAlignment="1" applyProtection="1">
      <alignment horizontal="right"/>
    </xf>
    <xf numFmtId="3" fontId="0" fillId="0" borderId="5" xfId="0" applyNumberFormat="1" applyBorder="1" applyAlignment="1" applyProtection="1">
      <alignment horizontal="right" vertical="center"/>
    </xf>
    <xf numFmtId="172" fontId="0" fillId="0" borderId="5" xfId="0" applyNumberFormat="1" applyFill="1" applyBorder="1" applyAlignment="1" applyProtection="1">
      <alignment horizontal="right" vertical="center"/>
    </xf>
    <xf numFmtId="3" fontId="0" fillId="0" borderId="5" xfId="0" applyNumberFormat="1" applyFill="1" applyBorder="1" applyAlignment="1" applyProtection="1">
      <alignment horizontal="right" vertical="top" wrapText="1"/>
    </xf>
    <xf numFmtId="3" fontId="0" fillId="0" borderId="5" xfId="0" applyNumberFormat="1" applyFill="1" applyBorder="1" applyAlignment="1" applyProtection="1">
      <alignment horizontal="right" vertical="center" wrapText="1"/>
    </xf>
    <xf numFmtId="4" fontId="0" fillId="0" borderId="5" xfId="0" applyNumberFormat="1" applyFill="1" applyBorder="1" applyAlignment="1" applyProtection="1">
      <alignment horizontal="right" vertical="center"/>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2" fontId="1" fillId="0" borderId="2" xfId="0" applyNumberFormat="1" applyFont="1" applyFill="1" applyBorder="1" applyAlignment="1" applyProtection="1">
      <alignment horizontal="left" vertical="center"/>
      <protection locked="0"/>
    </xf>
    <xf numFmtId="2" fontId="1" fillId="0" borderId="3" xfId="0" applyNumberFormat="1" applyFont="1" applyFill="1" applyBorder="1" applyAlignment="1" applyProtection="1">
      <alignment horizontal="left" vertical="center"/>
      <protection locked="0"/>
    </xf>
    <xf numFmtId="0" fontId="16" fillId="0" borderId="27" xfId="0" applyFont="1" applyBorder="1" applyAlignment="1" applyProtection="1">
      <alignment horizontal="right" vertical="center"/>
    </xf>
    <xf numFmtId="9" fontId="0" fillId="0" borderId="0" xfId="0" applyNumberFormat="1" applyFill="1" applyAlignment="1" applyProtection="1">
      <alignment horizontal="left"/>
    </xf>
    <xf numFmtId="9" fontId="0" fillId="0" borderId="9" xfId="0" applyNumberFormat="1" applyFill="1" applyBorder="1" applyAlignment="1" applyProtection="1">
      <alignment horizontal="center"/>
    </xf>
    <xf numFmtId="9" fontId="0" fillId="0" borderId="7" xfId="0" applyNumberFormat="1" applyFill="1" applyBorder="1" applyAlignment="1" applyProtection="1">
      <alignment horizontal="center"/>
    </xf>
    <xf numFmtId="9" fontId="0" fillId="0" borderId="31" xfId="0" applyNumberFormat="1" applyFill="1" applyBorder="1" applyAlignment="1" applyProtection="1">
      <alignment horizontal="center"/>
    </xf>
    <xf numFmtId="9" fontId="0" fillId="0" borderId="0" xfId="1" applyFont="1" applyFill="1" applyAlignment="1" applyProtection="1">
      <alignment horizontal="left"/>
    </xf>
    <xf numFmtId="0" fontId="0" fillId="4" borderId="0" xfId="0" applyFill="1" applyAlignment="1" applyProtection="1">
      <alignment horizontal="left"/>
    </xf>
    <xf numFmtId="2" fontId="0" fillId="4" borderId="0" xfId="0" applyNumberFormat="1" applyFill="1" applyAlignment="1" applyProtection="1">
      <alignment horizontal="left"/>
    </xf>
    <xf numFmtId="3" fontId="0" fillId="4" borderId="0" xfId="0" applyNumberFormat="1" applyFill="1" applyAlignment="1" applyProtection="1">
      <alignment horizontal="left"/>
    </xf>
    <xf numFmtId="2" fontId="3" fillId="2" borderId="1" xfId="0" applyNumberFormat="1" applyFont="1" applyFill="1" applyBorder="1" applyAlignment="1" applyProtection="1">
      <alignment horizontal="right"/>
    </xf>
    <xf numFmtId="2" fontId="3" fillId="2" borderId="1" xfId="0" applyNumberFormat="1" applyFont="1" applyFill="1" applyBorder="1" applyAlignment="1" applyProtection="1"/>
    <xf numFmtId="0" fontId="3" fillId="2" borderId="1" xfId="0" applyFont="1" applyFill="1" applyBorder="1" applyAlignment="1" applyProtection="1"/>
    <xf numFmtId="2" fontId="3" fillId="2" borderId="1" xfId="0" applyNumberFormat="1" applyFont="1" applyFill="1" applyBorder="1" applyAlignment="1" applyProtection="1">
      <alignment horizontal="left"/>
    </xf>
    <xf numFmtId="0" fontId="3" fillId="2" borderId="1" xfId="0" applyFont="1" applyFill="1" applyBorder="1" applyAlignment="1" applyProtection="1">
      <alignment horizontal="left"/>
    </xf>
    <xf numFmtId="0" fontId="10" fillId="0" borderId="0" xfId="0" applyFont="1" applyBorder="1" applyAlignment="1" applyProtection="1">
      <alignment horizontal="center"/>
    </xf>
    <xf numFmtId="168" fontId="2" fillId="0" borderId="0" xfId="0" applyNumberFormat="1" applyFont="1" applyBorder="1" applyAlignment="1" applyProtection="1">
      <alignment horizontal="right" vertical="center"/>
    </xf>
    <xf numFmtId="2" fontId="2" fillId="0" borderId="0" xfId="0" applyNumberFormat="1" applyFont="1" applyBorder="1" applyAlignment="1" applyProtection="1">
      <alignment horizontal="right" vertical="center"/>
    </xf>
    <xf numFmtId="168" fontId="0" fillId="0" borderId="0" xfId="0" applyNumberFormat="1" applyFont="1" applyBorder="1" applyAlignment="1" applyProtection="1">
      <alignment horizontal="right" vertical="center"/>
    </xf>
    <xf numFmtId="1" fontId="2" fillId="0" borderId="0" xfId="0" applyNumberFormat="1" applyFont="1" applyBorder="1" applyAlignment="1" applyProtection="1">
      <alignment horizontal="right" vertical="center"/>
    </xf>
    <xf numFmtId="168" fontId="3" fillId="0" borderId="0" xfId="0" applyNumberFormat="1" applyFont="1" applyBorder="1" applyAlignment="1" applyProtection="1">
      <alignment horizontal="right" vertical="center"/>
    </xf>
    <xf numFmtId="9" fontId="2" fillId="0" borderId="0" xfId="1" applyNumberFormat="1" applyFont="1" applyBorder="1" applyAlignment="1" applyProtection="1">
      <alignment horizontal="right" vertical="center"/>
    </xf>
    <xf numFmtId="9" fontId="90" fillId="0" borderId="0" xfId="1" applyFont="1" applyFill="1" applyBorder="1" applyAlignment="1" applyProtection="1">
      <alignment horizontal="right" vertical="center"/>
    </xf>
    <xf numFmtId="168" fontId="2" fillId="0" borderId="0" xfId="0" applyNumberFormat="1" applyFont="1" applyFill="1" applyBorder="1" applyAlignment="1" applyProtection="1">
      <alignment horizontal="right" vertical="center"/>
    </xf>
    <xf numFmtId="174" fontId="2" fillId="0" borderId="0" xfId="0" applyNumberFormat="1" applyFont="1" applyBorder="1" applyAlignment="1" applyProtection="1">
      <alignment horizontal="right" vertical="center"/>
    </xf>
    <xf numFmtId="173" fontId="2" fillId="0" borderId="0" xfId="0" applyNumberFormat="1" applyFont="1" applyBorder="1" applyAlignment="1" applyProtection="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Border="1" applyAlignment="1" applyProtection="1">
      <alignment vertical="center"/>
    </xf>
    <xf numFmtId="0" fontId="2" fillId="0" borderId="0" xfId="0" applyFont="1" applyBorder="1" applyAlignment="1" applyProtection="1">
      <alignment vertical="center"/>
    </xf>
    <xf numFmtId="0" fontId="0" fillId="7" borderId="0" xfId="0" applyFill="1" applyBorder="1" applyAlignment="1" applyProtection="1">
      <alignment horizontal="center"/>
    </xf>
    <xf numFmtId="9" fontId="2" fillId="0" borderId="0" xfId="1" applyFont="1" applyBorder="1" applyAlignment="1" applyProtection="1">
      <alignment horizontal="right" vertical="center"/>
    </xf>
    <xf numFmtId="168" fontId="2" fillId="0" borderId="0" xfId="0" applyNumberFormat="1" applyFont="1" applyBorder="1" applyAlignment="1" applyProtection="1">
      <alignment horizontal="center"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167" fontId="0" fillId="18" borderId="1" xfId="0" applyNumberFormat="1" applyFill="1" applyBorder="1" applyAlignment="1" applyProtection="1">
      <alignment horizontal="right"/>
    </xf>
    <xf numFmtId="1" fontId="0" fillId="0" borderId="1" xfId="0" applyNumberFormat="1" applyBorder="1" applyAlignment="1" applyProtection="1">
      <alignment horizontal="right"/>
    </xf>
    <xf numFmtId="9" fontId="14" fillId="0" borderId="0" xfId="1" applyFont="1" applyBorder="1" applyAlignment="1" applyProtection="1">
      <alignment horizontal="right"/>
    </xf>
    <xf numFmtId="167" fontId="0" fillId="0" borderId="1" xfId="0" applyNumberFormat="1" applyBorder="1" applyAlignment="1" applyProtection="1">
      <alignment horizontal="right"/>
    </xf>
    <xf numFmtId="167" fontId="3" fillId="0" borderId="5" xfId="0" applyNumberFormat="1" applyFont="1" applyBorder="1" applyAlignment="1" applyProtection="1">
      <alignment horizontal="right"/>
    </xf>
    <xf numFmtId="1" fontId="3" fillId="0" borderId="5" xfId="0" applyNumberFormat="1" applyFont="1" applyBorder="1" applyAlignment="1" applyProtection="1">
      <alignment horizontal="right"/>
    </xf>
    <xf numFmtId="3" fontId="2" fillId="0" borderId="0" xfId="0" applyNumberFormat="1" applyFont="1" applyBorder="1" applyAlignment="1" applyProtection="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Border="1" applyAlignment="1" applyProtection="1">
      <alignment horizontal="right" vertical="center"/>
    </xf>
    <xf numFmtId="3" fontId="102" fillId="0" borderId="0" xfId="0" applyNumberFormat="1" applyFont="1" applyBorder="1" applyAlignment="1" applyProtection="1">
      <alignment horizontal="left" vertical="center"/>
    </xf>
    <xf numFmtId="0" fontId="0" fillId="3" borderId="0" xfId="0" applyFill="1" applyBorder="1" applyAlignment="1" applyProtection="1">
      <alignment horizontal="right"/>
    </xf>
    <xf numFmtId="0" fontId="40" fillId="0" borderId="0" xfId="0" applyFont="1" applyBorder="1" applyAlignment="1" applyProtection="1">
      <alignment horizontal="left" vertical="center"/>
    </xf>
    <xf numFmtId="0" fontId="0" fillId="5" borderId="5" xfId="0" applyFill="1" applyBorder="1" applyAlignment="1" applyProtection="1">
      <alignment horizontal="right"/>
    </xf>
    <xf numFmtId="0" fontId="0" fillId="2" borderId="0" xfId="0" applyFill="1" applyAlignment="1" applyProtection="1">
      <alignment horizontal="left" indent="1"/>
    </xf>
    <xf numFmtId="172" fontId="2" fillId="0" borderId="0" xfId="0" applyNumberFormat="1" applyFont="1" applyBorder="1" applyAlignment="1" applyProtection="1">
      <alignment horizontal="right" vertical="center"/>
    </xf>
    <xf numFmtId="3" fontId="0" fillId="0" borderId="0" xfId="0" applyNumberFormat="1" applyBorder="1" applyAlignment="1" applyProtection="1">
      <alignment horizontal="left" wrapText="1"/>
    </xf>
    <xf numFmtId="167" fontId="0" fillId="0" borderId="0" xfId="0" applyNumberFormat="1" applyBorder="1" applyAlignment="1" applyProtection="1">
      <alignment horizontal="right"/>
    </xf>
    <xf numFmtId="0" fontId="94" fillId="0" borderId="46" xfId="0" applyFont="1" applyBorder="1" applyAlignment="1" applyProtection="1">
      <alignment vertical="top" wrapText="1"/>
    </xf>
    <xf numFmtId="168" fontId="0" fillId="0" borderId="0" xfId="0" applyNumberFormat="1" applyBorder="1" applyAlignment="1" applyProtection="1">
      <alignment horizontal="right"/>
    </xf>
    <xf numFmtId="3" fontId="0" fillId="0" borderId="0" xfId="0" applyNumberFormat="1" applyBorder="1" applyAlignment="1" applyProtection="1"/>
    <xf numFmtId="0" fontId="0" fillId="0" borderId="0" xfId="0" applyBorder="1" applyAlignment="1" applyProtection="1"/>
    <xf numFmtId="1" fontId="0" fillId="0" borderId="0" xfId="0" applyNumberFormat="1" applyBorder="1" applyAlignment="1" applyProtection="1"/>
    <xf numFmtId="168" fontId="3" fillId="0" borderId="8" xfId="0" applyNumberFormat="1" applyFont="1" applyBorder="1" applyAlignment="1" applyProtection="1">
      <alignment horizontal="right"/>
    </xf>
    <xf numFmtId="3" fontId="3" fillId="0" borderId="47" xfId="0" applyNumberFormat="1" applyFont="1" applyBorder="1" applyAlignment="1" applyProtection="1">
      <alignment horizontal="right"/>
    </xf>
    <xf numFmtId="3" fontId="32" fillId="0" borderId="22" xfId="0" applyNumberFormat="1" applyFont="1" applyFill="1" applyBorder="1" applyAlignment="1" applyProtection="1">
      <alignment horizontal="left" vertical="center"/>
    </xf>
    <xf numFmtId="0" fontId="32" fillId="0" borderId="22" xfId="0" applyFont="1" applyFill="1" applyBorder="1" applyAlignment="1" applyProtection="1">
      <alignment horizontal="left" vertical="center"/>
    </xf>
    <xf numFmtId="3" fontId="0" fillId="0" borderId="0" xfId="0" applyNumberFormat="1" applyBorder="1" applyAlignment="1" applyProtection="1">
      <alignment horizontal="right" vertical="center"/>
    </xf>
    <xf numFmtId="168" fontId="0" fillId="0" borderId="0" xfId="0" applyNumberFormat="1" applyFont="1" applyBorder="1" applyAlignment="1" applyProtection="1">
      <alignment horizontal="right"/>
    </xf>
    <xf numFmtId="168" fontId="0" fillId="0" borderId="0" xfId="0" applyNumberFormat="1" applyBorder="1" applyAlignment="1" applyProtection="1">
      <alignment horizontal="right" vertical="top"/>
    </xf>
    <xf numFmtId="168" fontId="3" fillId="0" borderId="47" xfId="0" applyNumberFormat="1" applyFont="1" applyBorder="1" applyAlignment="1" applyProtection="1">
      <alignment horizontal="right"/>
    </xf>
    <xf numFmtId="0" fontId="63" fillId="0" borderId="46" xfId="0" applyFont="1" applyBorder="1" applyAlignment="1" applyProtection="1">
      <alignment vertical="top" wrapText="1"/>
    </xf>
    <xf numFmtId="0" fontId="0" fillId="0" borderId="0" xfId="0" quotePrefix="1" applyFont="1" applyBorder="1" applyAlignment="1" applyProtection="1">
      <alignment horizontal="left" wrapText="1"/>
    </xf>
    <xf numFmtId="168" fontId="0" fillId="0" borderId="0" xfId="0" applyNumberFormat="1" applyFill="1" applyBorder="1" applyAlignment="1" applyProtection="1">
      <alignment horizontal="right"/>
    </xf>
    <xf numFmtId="0" fontId="26" fillId="0" borderId="27" xfId="0" applyFont="1" applyFill="1" applyBorder="1" applyAlignment="1" applyProtection="1">
      <alignment horizontal="left" vertical="center"/>
    </xf>
    <xf numFmtId="0" fontId="0" fillId="0" borderId="22" xfId="0" applyBorder="1" applyAlignment="1" applyProtection="1"/>
    <xf numFmtId="0" fontId="0" fillId="0" borderId="2"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3" fontId="0" fillId="0" borderId="0" xfId="0" applyNumberFormat="1" applyBorder="1" applyAlignment="1" applyProtection="1">
      <alignment horizontal="left"/>
    </xf>
    <xf numFmtId="0" fontId="2"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1" fontId="0" fillId="0" borderId="0" xfId="0" applyNumberFormat="1" applyBorder="1" applyAlignment="1" applyProtection="1">
      <alignment horizontal="left" vertical="top" wrapText="1"/>
    </xf>
    <xf numFmtId="0" fontId="0" fillId="0" borderId="22" xfId="0" applyBorder="1" applyAlignment="1" applyProtection="1">
      <alignment horizontal="left"/>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427">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bgColor auto="1"/>
        </patternFill>
      </fill>
    </dxf>
    <dxf>
      <font>
        <color theme="0"/>
      </font>
      <fill>
        <patternFill patternType="solid">
          <fgColor indexed="64"/>
          <bgColor theme="0"/>
        </patternFill>
      </fill>
      <border>
        <left/>
        <right/>
        <top/>
        <bottom/>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D96833"/>
      <color rgb="FFDC6934"/>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TEWI'!$C$171:$C$173</c:f>
            </c:multiLvlStrRef>
          </c:cat>
          <c:val>
            <c:numRef>
              <c:f>'3 TEWI'!$Z$171:$Z$173</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editAs="oneCell">
    <xdr:from>
      <xdr:col>33</xdr:col>
      <xdr:colOff>190500</xdr:colOff>
      <xdr:row>1</xdr:row>
      <xdr:rowOff>0</xdr:rowOff>
    </xdr:from>
    <xdr:to>
      <xdr:col>44</xdr:col>
      <xdr:colOff>98136</xdr:colOff>
      <xdr:row>6</xdr:row>
      <xdr:rowOff>120072</xdr:rowOff>
    </xdr:to>
    <xdr:pic>
      <xdr:nvPicPr>
        <xdr:cNvPr id="6" name="Grafik 5">
          <a:extLst>
            <a:ext uri="{FF2B5EF4-FFF2-40B4-BE49-F238E27FC236}">
              <a16:creationId xmlns:a16="http://schemas.microsoft.com/office/drawing/2014/main" id="{B3EDAC46-1C53-5749-9577-CBF82BCC367E}"/>
            </a:ext>
          </a:extLst>
        </xdr:cNvPr>
        <xdr:cNvPicPr>
          <a:picLocks noChangeAspect="1"/>
        </xdr:cNvPicPr>
      </xdr:nvPicPr>
      <xdr:blipFill>
        <a:blip xmlns:r="http://schemas.openxmlformats.org/officeDocument/2006/relationships" r:embed="rId1"/>
        <a:stretch>
          <a:fillRect/>
        </a:stretch>
      </xdr:blipFill>
      <xdr:spPr>
        <a:xfrm>
          <a:off x="7493000" y="165100"/>
          <a:ext cx="2282536" cy="945572"/>
        </a:xfrm>
        <a:prstGeom prst="rect">
          <a:avLst/>
        </a:prstGeom>
      </xdr:spPr>
    </xdr:pic>
    <xdr:clientData/>
  </xdr:twoCellAnchor>
  <xdr:twoCellAnchor editAs="oneCell">
    <xdr:from>
      <xdr:col>45</xdr:col>
      <xdr:colOff>87746</xdr:colOff>
      <xdr:row>0</xdr:row>
      <xdr:rowOff>101600</xdr:rowOff>
    </xdr:from>
    <xdr:to>
      <xdr:col>55</xdr:col>
      <xdr:colOff>77354</xdr:colOff>
      <xdr:row>6</xdr:row>
      <xdr:rowOff>208180</xdr:rowOff>
    </xdr:to>
    <xdr:pic>
      <xdr:nvPicPr>
        <xdr:cNvPr id="7" name="Grafik 6">
          <a:extLst>
            <a:ext uri="{FF2B5EF4-FFF2-40B4-BE49-F238E27FC236}">
              <a16:creationId xmlns:a16="http://schemas.microsoft.com/office/drawing/2014/main" id="{258387D0-03E0-8A45-93A2-AA2CA5FD2F84}"/>
            </a:ext>
          </a:extLst>
        </xdr:cNvPr>
        <xdr:cNvPicPr>
          <a:picLocks noChangeAspect="1"/>
        </xdr:cNvPicPr>
      </xdr:nvPicPr>
      <xdr:blipFill rotWithShape="1">
        <a:blip xmlns:r="http://schemas.openxmlformats.org/officeDocument/2006/relationships" r:embed="rId2"/>
        <a:srcRect l="9314" r="11964"/>
        <a:stretch/>
      </xdr:blipFill>
      <xdr:spPr>
        <a:xfrm>
          <a:off x="9981046" y="101600"/>
          <a:ext cx="2047008" cy="1097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48</xdr:col>
      <xdr:colOff>27021</xdr:colOff>
      <xdr:row>21</xdr:row>
      <xdr:rowOff>58161</xdr:rowOff>
    </xdr:from>
    <xdr:to>
      <xdr:col>60</xdr:col>
      <xdr:colOff>162129</xdr:colOff>
      <xdr:row>31</xdr:row>
      <xdr:rowOff>51880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538298" y="2800821"/>
          <a:ext cx="2729150" cy="1290740"/>
        </a:xfrm>
        <a:prstGeom prst="rect">
          <a:avLst/>
        </a:prstGeom>
      </xdr:spPr>
    </xdr:pic>
    <xdr:clientData/>
  </xdr:twoCellAnchor>
  <xdr:twoCellAnchor editAs="oneCell">
    <xdr:from>
      <xdr:col>38</xdr:col>
      <xdr:colOff>11546</xdr:colOff>
      <xdr:row>0</xdr:row>
      <xdr:rowOff>0</xdr:rowOff>
    </xdr:from>
    <xdr:to>
      <xdr:col>48</xdr:col>
      <xdr:colOff>173182</xdr:colOff>
      <xdr:row>5</xdr:row>
      <xdr:rowOff>120072</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8497455" y="0"/>
          <a:ext cx="2320636" cy="928254"/>
        </a:xfrm>
        <a:prstGeom prst="rect">
          <a:avLst/>
        </a:prstGeom>
      </xdr:spPr>
    </xdr:pic>
    <xdr:clientData/>
  </xdr:twoCellAnchor>
  <xdr:twoCellAnchor editAs="oneCell">
    <xdr:from>
      <xdr:col>50</xdr:col>
      <xdr:colOff>23092</xdr:colOff>
      <xdr:row>0</xdr:row>
      <xdr:rowOff>0</xdr:rowOff>
    </xdr:from>
    <xdr:to>
      <xdr:col>59</xdr:col>
      <xdr:colOff>127000</xdr:colOff>
      <xdr:row>6</xdr:row>
      <xdr:rowOff>106580</xdr:rowOff>
    </xdr:to>
    <xdr:pic>
      <xdr:nvPicPr>
        <xdr:cNvPr id="7" name="Grafik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3"/>
        <a:srcRect l="9314" r="11964"/>
        <a:stretch/>
      </xdr:blipFill>
      <xdr:spPr>
        <a:xfrm>
          <a:off x="11106728" y="0"/>
          <a:ext cx="2078181" cy="10763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194236</xdr:colOff>
      <xdr:row>43</xdr:row>
      <xdr:rowOff>52294</xdr:rowOff>
    </xdr:from>
    <xdr:to>
      <xdr:col>35</xdr:col>
      <xdr:colOff>209176</xdr:colOff>
      <xdr:row>56</xdr:row>
      <xdr:rowOff>74706</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5363883" y="6574118"/>
          <a:ext cx="2614705" cy="2002118"/>
        </a:xfrm>
        <a:prstGeom prst="rect">
          <a:avLst/>
        </a:prstGeom>
      </xdr:spPr>
    </xdr:pic>
    <xdr:clientData/>
  </xdr:twoCellAnchor>
  <xdr:twoCellAnchor editAs="oneCell">
    <xdr:from>
      <xdr:col>36</xdr:col>
      <xdr:colOff>186764</xdr:colOff>
      <xdr:row>0</xdr:row>
      <xdr:rowOff>0</xdr:rowOff>
    </xdr:from>
    <xdr:to>
      <xdr:col>49</xdr:col>
      <xdr:colOff>205441</xdr:colOff>
      <xdr:row>6</xdr:row>
      <xdr:rowOff>82176</xdr:rowOff>
    </xdr:to>
    <xdr:pic>
      <xdr:nvPicPr>
        <xdr:cNvPr id="6" name="Grafik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stretch>
          <a:fillRect/>
        </a:stretch>
      </xdr:blipFill>
      <xdr:spPr>
        <a:xfrm>
          <a:off x="8172823" y="0"/>
          <a:ext cx="2670736" cy="1068294"/>
        </a:xfrm>
        <a:prstGeom prst="rect">
          <a:avLst/>
        </a:prstGeom>
      </xdr:spPr>
    </xdr:pic>
    <xdr:clientData/>
  </xdr:twoCellAnchor>
  <xdr:twoCellAnchor editAs="oneCell">
    <xdr:from>
      <xdr:col>50</xdr:col>
      <xdr:colOff>145649</xdr:colOff>
      <xdr:row>0</xdr:row>
      <xdr:rowOff>14942</xdr:rowOff>
    </xdr:from>
    <xdr:to>
      <xdr:col>60</xdr:col>
      <xdr:colOff>201707</xdr:colOff>
      <xdr:row>6</xdr:row>
      <xdr:rowOff>133281</xdr:rowOff>
    </xdr:to>
    <xdr:pic>
      <xdr:nvPicPr>
        <xdr:cNvPr id="8" name="Grafik 7">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3"/>
        <a:srcRect r="17949"/>
        <a:stretch/>
      </xdr:blipFill>
      <xdr:spPr>
        <a:xfrm>
          <a:off x="11000414" y="14942"/>
          <a:ext cx="2222528" cy="11044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29</xdr:col>
      <xdr:colOff>127000</xdr:colOff>
      <xdr:row>162</xdr:row>
      <xdr:rowOff>1694</xdr:rowOff>
    </xdr:from>
    <xdr:to>
      <xdr:col>53</xdr:col>
      <xdr:colOff>82973</xdr:colOff>
      <xdr:row>173</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36</xdr:col>
      <xdr:colOff>12700</xdr:colOff>
      <xdr:row>0</xdr:row>
      <xdr:rowOff>50800</xdr:rowOff>
    </xdr:from>
    <xdr:to>
      <xdr:col>45</xdr:col>
      <xdr:colOff>170200</xdr:colOff>
      <xdr:row>5</xdr:row>
      <xdr:rowOff>85860</xdr:rowOff>
    </xdr:to>
    <xdr:pic>
      <xdr:nvPicPr>
        <xdr:cNvPr id="5" name="Grafik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8369300" y="50800"/>
          <a:ext cx="2151400" cy="860560"/>
        </a:xfrm>
        <a:prstGeom prst="rect">
          <a:avLst/>
        </a:prstGeom>
      </xdr:spPr>
    </xdr:pic>
    <xdr:clientData/>
  </xdr:twoCellAnchor>
  <xdr:twoCellAnchor editAs="oneCell">
    <xdr:from>
      <xdr:col>49</xdr:col>
      <xdr:colOff>24054</xdr:colOff>
      <xdr:row>0</xdr:row>
      <xdr:rowOff>0</xdr:rowOff>
    </xdr:from>
    <xdr:to>
      <xdr:col>57</xdr:col>
      <xdr:colOff>203199</xdr:colOff>
      <xdr:row>5</xdr:row>
      <xdr:rowOff>152400</xdr:rowOff>
    </xdr:to>
    <xdr:pic>
      <xdr:nvPicPr>
        <xdr:cNvPr id="6" name="Grafik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3"/>
        <a:srcRect l="9865" r="13297"/>
        <a:stretch/>
      </xdr:blipFill>
      <xdr:spPr>
        <a:xfrm>
          <a:off x="11238154" y="0"/>
          <a:ext cx="1842845" cy="977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37</xdr:col>
      <xdr:colOff>12700</xdr:colOff>
      <xdr:row>0</xdr:row>
      <xdr:rowOff>31120</xdr:rowOff>
    </xdr:from>
    <xdr:to>
      <xdr:col>47</xdr:col>
      <xdr:colOff>6669</xdr:colOff>
      <xdr:row>5</xdr:row>
      <xdr:rowOff>66808</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8496300" y="31120"/>
          <a:ext cx="2152969" cy="861188"/>
        </a:xfrm>
        <a:prstGeom prst="rect">
          <a:avLst/>
        </a:prstGeom>
      </xdr:spPr>
    </xdr:pic>
    <xdr:clientData/>
  </xdr:twoCellAnchor>
  <xdr:twoCellAnchor editAs="oneCell">
    <xdr:from>
      <xdr:col>49</xdr:col>
      <xdr:colOff>165100</xdr:colOff>
      <xdr:row>0</xdr:row>
      <xdr:rowOff>63500</xdr:rowOff>
    </xdr:from>
    <xdr:to>
      <xdr:col>58</xdr:col>
      <xdr:colOff>199371</xdr:colOff>
      <xdr:row>5</xdr:row>
      <xdr:rowOff>101600</xdr:rowOff>
    </xdr:to>
    <xdr:pic>
      <xdr:nvPicPr>
        <xdr:cNvPr id="5" name="Grafik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2"/>
        <a:srcRect t="12114" r="17949"/>
        <a:stretch/>
      </xdr:blipFill>
      <xdr:spPr>
        <a:xfrm>
          <a:off x="11239500" y="63500"/>
          <a:ext cx="1977371" cy="863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49</xdr:col>
      <xdr:colOff>111760</xdr:colOff>
      <xdr:row>0</xdr:row>
      <xdr:rowOff>121517</xdr:rowOff>
    </xdr:from>
    <xdr:to>
      <xdr:col>60</xdr:col>
      <xdr:colOff>0</xdr:colOff>
      <xdr:row>6</xdr:row>
      <xdr:rowOff>57539</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10627360" y="121517"/>
          <a:ext cx="2235200" cy="911382"/>
        </a:xfrm>
        <a:prstGeom prst="rect">
          <a:avLst/>
        </a:prstGeom>
      </xdr:spPr>
    </xdr:pic>
    <xdr:clientData/>
  </xdr:twoCellAnchor>
  <xdr:twoCellAnchor editAs="oneCell">
    <xdr:from>
      <xdr:col>38</xdr:col>
      <xdr:colOff>162560</xdr:colOff>
      <xdr:row>0</xdr:row>
      <xdr:rowOff>116840</xdr:rowOff>
    </xdr:from>
    <xdr:to>
      <xdr:col>49</xdr:col>
      <xdr:colOff>10160</xdr:colOff>
      <xdr:row>6</xdr:row>
      <xdr:rowOff>15240</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stretch>
          <a:fillRect/>
        </a:stretch>
      </xdr:blipFill>
      <xdr:spPr>
        <a:xfrm>
          <a:off x="8341360" y="116840"/>
          <a:ext cx="2184400" cy="873760"/>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466"/>
  <sheetViews>
    <sheetView showGridLines="0" topLeftCell="J1" zoomScale="125" zoomScaleNormal="125" zoomScalePageLayoutView="125" workbookViewId="0">
      <selection activeCell="A285" sqref="A1:G1048576"/>
    </sheetView>
  </sheetViews>
  <sheetFormatPr baseColWidth="10" defaultColWidth="2.85546875" defaultRowHeight="12.75" outlineLevelCol="1"/>
  <cols>
    <col min="1" max="1" width="4.28515625" style="1307" hidden="1" customWidth="1" outlineLevel="1"/>
    <col min="2" max="2" width="2.140625" style="352" hidden="1" customWidth="1" outlineLevel="1"/>
    <col min="3" max="3" width="53" style="352" hidden="1" customWidth="1" outlineLevel="1"/>
    <col min="4" max="4" width="2.85546875" style="352" hidden="1" customWidth="1" outlineLevel="1"/>
    <col min="5" max="7" width="43.7109375" style="352" hidden="1" customWidth="1" outlineLevel="1"/>
    <col min="8" max="8" width="2.85546875" style="1382" hidden="1" customWidth="1" outlineLevel="1"/>
    <col min="9" max="9" width="55.28515625" style="1382" hidden="1" customWidth="1" outlineLevel="1"/>
    <col min="10" max="10" width="2.85546875" style="1382" collapsed="1"/>
    <col min="11" max="16384" width="2.85546875" style="1382"/>
  </cols>
  <sheetData>
    <row r="2" spans="1:9">
      <c r="C2" s="1308"/>
      <c r="D2" s="1309"/>
    </row>
    <row r="5" spans="1:9" ht="25.5">
      <c r="C5" s="352" t="s">
        <v>1</v>
      </c>
      <c r="E5" s="1310" t="s">
        <v>652</v>
      </c>
      <c r="F5" s="1311"/>
      <c r="G5" s="1311"/>
    </row>
    <row r="7" spans="1:9" ht="20.25">
      <c r="C7" s="1312" t="s">
        <v>14</v>
      </c>
      <c r="D7" s="1312"/>
      <c r="E7" s="1312"/>
      <c r="I7" s="1383"/>
    </row>
    <row r="8" spans="1:9" ht="20.25">
      <c r="C8" s="1312" t="s">
        <v>286</v>
      </c>
      <c r="E8" s="497">
        <f>IF(F8+G8&gt;0,0,1)</f>
        <v>1</v>
      </c>
      <c r="F8" s="497">
        <f>IF(F12=C12,1,0)</f>
        <v>0</v>
      </c>
      <c r="G8" s="497">
        <f>IF(C12=G12,1,0)</f>
        <v>0</v>
      </c>
    </row>
    <row r="9" spans="1:9" s="1384" customFormat="1" ht="3" customHeight="1">
      <c r="A9" s="1313"/>
      <c r="B9" s="1314"/>
      <c r="C9" s="1314"/>
      <c r="D9" s="1314"/>
      <c r="E9" s="1314"/>
      <c r="F9" s="1314"/>
      <c r="G9" s="1314"/>
    </row>
    <row r="10" spans="1:9" s="1384" customFormat="1">
      <c r="A10" s="1313"/>
      <c r="B10" s="1314"/>
      <c r="C10" s="1314"/>
      <c r="D10" s="1314"/>
      <c r="E10" s="1315"/>
      <c r="F10" s="1315"/>
      <c r="G10" s="1315"/>
      <c r="H10" s="1385"/>
      <c r="I10" s="1385"/>
    </row>
    <row r="12" spans="1:9">
      <c r="C12" s="352" t="str">
        <f>'1 System specification'!E2</f>
        <v>Deutsch</v>
      </c>
      <c r="E12" s="1316" t="s">
        <v>11</v>
      </c>
      <c r="F12" s="1317" t="s">
        <v>700</v>
      </c>
      <c r="G12" s="1318" t="s">
        <v>12</v>
      </c>
      <c r="I12" s="1386"/>
    </row>
    <row r="14" spans="1:9" ht="23.25">
      <c r="A14" s="1319">
        <v>1</v>
      </c>
      <c r="B14" s="1320"/>
      <c r="C14" s="1321" t="str">
        <f t="shared" ref="C14:C77" si="0">IF(C$12=F$12,F14,IF(C$12=G$12,G14,E14))</f>
        <v>Test</v>
      </c>
      <c r="D14" s="1322"/>
      <c r="E14" s="1323" t="s">
        <v>338</v>
      </c>
      <c r="F14" s="1324" t="s">
        <v>454</v>
      </c>
      <c r="G14" s="1325" t="s">
        <v>455</v>
      </c>
      <c r="I14" s="1387"/>
    </row>
    <row r="15" spans="1:9" s="1390" customFormat="1" ht="30">
      <c r="A15" s="1319">
        <v>2</v>
      </c>
      <c r="B15" s="1320"/>
      <c r="C15" s="1321" t="str">
        <f t="shared" si="0"/>
        <v>(alle kg CO2 Werte sind kg CO2 äquivalent)</v>
      </c>
      <c r="D15" s="1326"/>
      <c r="E15" s="1327" t="s">
        <v>279</v>
      </c>
      <c r="F15" s="1328" t="s">
        <v>458</v>
      </c>
      <c r="G15" s="1329" t="s">
        <v>1349</v>
      </c>
      <c r="I15" s="1388"/>
    </row>
    <row r="16" spans="1:9" s="1390" customFormat="1" ht="30">
      <c r="A16" s="1319">
        <v>3</v>
      </c>
      <c r="B16" s="1320"/>
      <c r="C16" s="1321" t="str">
        <f t="shared" si="0"/>
        <v>(erzeugte Kälte / Total Elektrizitätsverbrauch)</v>
      </c>
      <c r="D16" s="1326"/>
      <c r="E16" s="1327" t="s">
        <v>164</v>
      </c>
      <c r="F16" s="1328" t="s">
        <v>711</v>
      </c>
      <c r="G16" s="1329" t="s">
        <v>1350</v>
      </c>
      <c r="I16" s="1388"/>
    </row>
    <row r="17" spans="1:9" s="1390" customFormat="1" ht="23.25">
      <c r="A17" s="1319">
        <v>4</v>
      </c>
      <c r="B17" s="1320"/>
      <c r="C17" s="1321" t="str">
        <f t="shared" si="0"/>
        <v>(Über-)Dimensionierung</v>
      </c>
      <c r="D17" s="1326"/>
      <c r="E17" s="1327" t="s">
        <v>144</v>
      </c>
      <c r="F17" s="1328" t="s">
        <v>459</v>
      </c>
      <c r="G17" s="1329" t="s">
        <v>1351</v>
      </c>
      <c r="I17" s="1388"/>
    </row>
    <row r="18" spans="1:9" s="1390" customFormat="1" ht="23.25">
      <c r="A18" s="1331">
        <v>5</v>
      </c>
      <c r="B18" s="1320"/>
      <c r="C18" s="1321" t="str">
        <f t="shared" si="0"/>
        <v>2A: Berechnung Elektrizitätsbedarf</v>
      </c>
      <c r="D18" s="1326"/>
      <c r="E18" s="1332" t="s">
        <v>1024</v>
      </c>
      <c r="F18" s="1328" t="s">
        <v>1307</v>
      </c>
      <c r="G18" s="1329" t="s">
        <v>1301</v>
      </c>
      <c r="I18" s="1388"/>
    </row>
    <row r="19" spans="1:9" s="1390" customFormat="1" ht="25.5">
      <c r="A19" s="1331">
        <v>6</v>
      </c>
      <c r="B19" s="1320"/>
      <c r="C19" s="1321" t="str">
        <f t="shared" si="0"/>
        <v>2B: Berechnung Elektrizitätsbedarf für einfache Komfort-Klimakälteanlagen</v>
      </c>
      <c r="D19" s="1326"/>
      <c r="E19" s="1332" t="s">
        <v>1023</v>
      </c>
      <c r="F19" s="1328" t="s">
        <v>1308</v>
      </c>
      <c r="G19" s="1329" t="s">
        <v>1302</v>
      </c>
      <c r="I19" s="1388"/>
    </row>
    <row r="20" spans="1:9" s="1390" customFormat="1" ht="26.1" customHeight="1">
      <c r="A20" s="1319">
        <v>7</v>
      </c>
      <c r="B20" s="1320"/>
      <c r="C20" s="1321" t="str">
        <f t="shared" si="0"/>
        <v>B: Anlage mit 3'500 Vollbetriebsstunden pro Jahr</v>
      </c>
      <c r="D20" s="1326"/>
      <c r="E20" s="1327" t="s">
        <v>834</v>
      </c>
      <c r="F20" s="1328" t="s">
        <v>1114</v>
      </c>
      <c r="G20" s="1333" t="s">
        <v>1115</v>
      </c>
      <c r="I20" s="1388"/>
    </row>
    <row r="21" spans="1:9" s="1390" customFormat="1" ht="51">
      <c r="A21" s="1319">
        <v>8</v>
      </c>
      <c r="B21" s="1320"/>
      <c r="C21" s="1321" t="str">
        <f t="shared" si="0"/>
        <v>Kälte-Tool für die Abschätzung des Stromverbrauchs, der Umweltauswirkungen und der Lebenszykluskosten von Kälte- und Klimakälteanlagen</v>
      </c>
      <c r="D21" s="1326"/>
      <c r="E21" s="1327" t="s">
        <v>1342</v>
      </c>
      <c r="F21" s="1328" t="s">
        <v>770</v>
      </c>
      <c r="G21" s="1333" t="s">
        <v>771</v>
      </c>
      <c r="I21" s="1388"/>
    </row>
    <row r="22" spans="1:9" s="1390" customFormat="1" ht="23.25">
      <c r="A22" s="1319">
        <v>10</v>
      </c>
      <c r="B22" s="1320"/>
      <c r="C22" s="1321" t="str">
        <f t="shared" si="0"/>
        <v>Abweichung Planer-Wert</v>
      </c>
      <c r="D22" s="1326"/>
      <c r="E22" s="1327" t="s">
        <v>1120</v>
      </c>
      <c r="F22" s="1328" t="s">
        <v>460</v>
      </c>
      <c r="G22" s="1329" t="s">
        <v>1352</v>
      </c>
      <c r="I22" s="1388"/>
    </row>
    <row r="23" spans="1:9" s="1390" customFormat="1" ht="23.25">
      <c r="A23" s="1319">
        <v>13</v>
      </c>
      <c r="B23" s="1320"/>
      <c r="C23" s="1321" t="str">
        <f t="shared" si="0"/>
        <v>Anlagefüllgewicht</v>
      </c>
      <c r="D23" s="1326"/>
      <c r="E23" s="1327" t="s">
        <v>20</v>
      </c>
      <c r="F23" s="1328" t="s">
        <v>712</v>
      </c>
      <c r="G23" s="1329" t="s">
        <v>1353</v>
      </c>
      <c r="I23" s="1388"/>
    </row>
    <row r="24" spans="1:9" s="1390" customFormat="1" ht="23.25">
      <c r="A24" s="1319">
        <v>14</v>
      </c>
      <c r="B24" s="1320"/>
      <c r="C24" s="1321" t="str">
        <f t="shared" si="0"/>
        <v>Anlagekonzept</v>
      </c>
      <c r="D24" s="1326"/>
      <c r="E24" s="1327" t="s">
        <v>194</v>
      </c>
      <c r="F24" s="1328" t="s">
        <v>461</v>
      </c>
      <c r="G24" s="1329" t="s">
        <v>1354</v>
      </c>
      <c r="I24" s="1388"/>
    </row>
    <row r="25" spans="1:9" s="1390" customFormat="1" ht="23.25">
      <c r="A25" s="1319">
        <v>15</v>
      </c>
      <c r="B25" s="1320"/>
      <c r="C25" s="1321" t="str">
        <f t="shared" si="0"/>
        <v>Anlagespezifikation</v>
      </c>
      <c r="D25" s="1326"/>
      <c r="E25" s="1327" t="s">
        <v>350</v>
      </c>
      <c r="F25" s="1328" t="s">
        <v>462</v>
      </c>
      <c r="G25" s="1329" t="s">
        <v>1355</v>
      </c>
      <c r="I25" s="1388"/>
    </row>
    <row r="26" spans="1:9" s="1390" customFormat="1" ht="23.25">
      <c r="A26" s="1319">
        <v>17</v>
      </c>
      <c r="B26" s="1320"/>
      <c r="C26" s="1321" t="str">
        <f t="shared" si="0"/>
        <v>Anlagetyp</v>
      </c>
      <c r="D26" s="1326"/>
      <c r="E26" s="1327" t="s">
        <v>15</v>
      </c>
      <c r="F26" s="1328" t="s">
        <v>463</v>
      </c>
      <c r="G26" s="1329" t="s">
        <v>1356</v>
      </c>
      <c r="I26" s="1388"/>
    </row>
    <row r="27" spans="1:9" s="1390" customFormat="1" ht="23.25">
      <c r="A27" s="1319">
        <v>19</v>
      </c>
      <c r="B27" s="1320"/>
      <c r="C27" s="1321" t="str">
        <f t="shared" si="0"/>
        <v>Annahme des Planers für das Projekt</v>
      </c>
      <c r="D27" s="1326"/>
      <c r="E27" s="1327" t="s">
        <v>1121</v>
      </c>
      <c r="F27" s="1328" t="s">
        <v>464</v>
      </c>
      <c r="G27" s="1329" t="s">
        <v>1357</v>
      </c>
      <c r="I27" s="1388"/>
    </row>
    <row r="28" spans="1:9" s="1390" customFormat="1" ht="23.25">
      <c r="A28" s="1319">
        <v>20</v>
      </c>
      <c r="B28" s="1320"/>
      <c r="C28" s="1321" t="str">
        <f t="shared" si="0"/>
        <v>Annahmen Planer</v>
      </c>
      <c r="D28" s="1326"/>
      <c r="E28" s="1327" t="s">
        <v>116</v>
      </c>
      <c r="F28" s="1328" t="s">
        <v>465</v>
      </c>
      <c r="G28" s="1333" t="s">
        <v>1084</v>
      </c>
      <c r="I28" s="1388"/>
    </row>
    <row r="29" spans="1:9" s="1390" customFormat="1" ht="23.25">
      <c r="A29" s="1319">
        <v>23</v>
      </c>
      <c r="B29" s="1320"/>
      <c r="C29" s="1321" t="str">
        <f t="shared" si="0"/>
        <v>Anwendung</v>
      </c>
      <c r="D29" s="1326"/>
      <c r="E29" s="1327" t="s">
        <v>291</v>
      </c>
      <c r="F29" s="1328" t="s">
        <v>466</v>
      </c>
      <c r="G29" s="1329" t="s">
        <v>693</v>
      </c>
      <c r="I29" s="1388"/>
    </row>
    <row r="30" spans="1:9" s="1390" customFormat="1" ht="23.25">
      <c r="A30" s="1319">
        <v>24</v>
      </c>
      <c r="B30" s="1320"/>
      <c r="C30" s="1321" t="str">
        <f t="shared" si="0"/>
        <v>Anzahl LKW</v>
      </c>
      <c r="D30" s="1326"/>
      <c r="E30" s="1327" t="s">
        <v>104</v>
      </c>
      <c r="F30" s="1328" t="s">
        <v>467</v>
      </c>
      <c r="G30" s="1329" t="s">
        <v>1358</v>
      </c>
      <c r="I30" s="1388"/>
    </row>
    <row r="31" spans="1:9" s="1390" customFormat="1" ht="23.25">
      <c r="A31" s="1319">
        <v>25</v>
      </c>
      <c r="B31" s="1320"/>
      <c r="C31" s="1321" t="str">
        <f t="shared" si="0"/>
        <v xml:space="preserve">Anzahl Varianten </v>
      </c>
      <c r="D31" s="1326"/>
      <c r="E31" s="1327" t="s">
        <v>269</v>
      </c>
      <c r="F31" s="1328" t="s">
        <v>468</v>
      </c>
      <c r="G31" s="1329" t="s">
        <v>1359</v>
      </c>
      <c r="I31" s="1388"/>
    </row>
    <row r="32" spans="1:9" s="1390" customFormat="1" ht="23.25">
      <c r="A32" s="1319">
        <v>26</v>
      </c>
      <c r="B32" s="1320"/>
      <c r="C32" s="1321" t="str">
        <f t="shared" si="0"/>
        <v>Anzahl Verdichter</v>
      </c>
      <c r="D32" s="1326"/>
      <c r="E32" s="1327" t="s">
        <v>193</v>
      </c>
      <c r="F32" s="1328" t="s">
        <v>469</v>
      </c>
      <c r="G32" s="1329" t="s">
        <v>1360</v>
      </c>
      <c r="I32" s="1388"/>
    </row>
    <row r="33" spans="1:9" s="1390" customFormat="1" ht="23.25">
      <c r="A33" s="1319">
        <v>28</v>
      </c>
      <c r="B33" s="1320"/>
      <c r="C33" s="1321" t="str">
        <f t="shared" si="0"/>
        <v>Ausgefüllt durch</v>
      </c>
      <c r="D33" s="1326"/>
      <c r="E33" s="1327" t="s">
        <v>288</v>
      </c>
      <c r="F33" s="1328" t="s">
        <v>470</v>
      </c>
      <c r="G33" s="1329" t="s">
        <v>1361</v>
      </c>
      <c r="I33" s="1388"/>
    </row>
    <row r="34" spans="1:9" s="1390" customFormat="1" ht="23.25">
      <c r="A34" s="1319">
        <v>29</v>
      </c>
      <c r="B34" s="1320"/>
      <c r="C34" s="1321" t="str">
        <f t="shared" si="0"/>
        <v>Auslegung der Kälteanlage</v>
      </c>
      <c r="D34" s="1326"/>
      <c r="E34" s="1327" t="s">
        <v>335</v>
      </c>
      <c r="F34" s="1328" t="s">
        <v>471</v>
      </c>
      <c r="G34" s="1329" t="s">
        <v>1362</v>
      </c>
      <c r="I34" s="1388"/>
    </row>
    <row r="35" spans="1:9" s="1390" customFormat="1" ht="23.25">
      <c r="A35" s="1319">
        <v>30</v>
      </c>
      <c r="B35" s="1320"/>
      <c r="C35" s="1321" t="str">
        <f t="shared" si="0"/>
        <v xml:space="preserve">Aussentemperatur </v>
      </c>
      <c r="D35" s="1326"/>
      <c r="E35" s="1327" t="s">
        <v>283</v>
      </c>
      <c r="F35" s="1328" t="s">
        <v>472</v>
      </c>
      <c r="G35" s="1329" t="s">
        <v>1363</v>
      </c>
      <c r="I35" s="1388"/>
    </row>
    <row r="36" spans="1:9" s="1390" customFormat="1" ht="23.25">
      <c r="A36" s="1319">
        <v>31</v>
      </c>
      <c r="B36" s="1320"/>
      <c r="C36" s="1321" t="str">
        <f t="shared" si="0"/>
        <v>Aussentemperatur (7:00 - 19:00 h)</v>
      </c>
      <c r="D36" s="1326"/>
      <c r="E36" s="1327" t="s">
        <v>284</v>
      </c>
      <c r="F36" s="1328" t="s">
        <v>473</v>
      </c>
      <c r="G36" s="1329" t="s">
        <v>1364</v>
      </c>
      <c r="I36" s="1388"/>
    </row>
    <row r="37" spans="1:9" s="1390" customFormat="1" ht="30">
      <c r="A37" s="1319">
        <v>35</v>
      </c>
      <c r="B37" s="1320"/>
      <c r="C37" s="1321" t="str">
        <f t="shared" si="0"/>
        <v>C: Anlage mit 5'000 Vollbetriebsstunden pro Jahr</v>
      </c>
      <c r="D37" s="1326"/>
      <c r="E37" s="1327" t="s">
        <v>833</v>
      </c>
      <c r="F37" s="1328" t="s">
        <v>1112</v>
      </c>
      <c r="G37" s="1333" t="s">
        <v>1113</v>
      </c>
      <c r="I37" s="1388"/>
    </row>
    <row r="38" spans="1:9" s="1390" customFormat="1" ht="23.25">
      <c r="A38" s="1319">
        <v>36</v>
      </c>
      <c r="B38" s="1320"/>
      <c r="C38" s="1321" t="str">
        <f t="shared" si="0"/>
        <v>Basel</v>
      </c>
      <c r="D38" s="1326"/>
      <c r="E38" s="1327" t="s">
        <v>127</v>
      </c>
      <c r="F38" s="1328" t="s">
        <v>368</v>
      </c>
      <c r="G38" s="1334" t="s">
        <v>1365</v>
      </c>
      <c r="I38" s="1388"/>
    </row>
    <row r="39" spans="1:9" s="1390" customFormat="1" ht="23.25">
      <c r="A39" s="1319">
        <v>37</v>
      </c>
      <c r="B39" s="1320"/>
      <c r="C39" s="1321" t="str">
        <f t="shared" si="0"/>
        <v>Bauweise</v>
      </c>
      <c r="D39" s="1326"/>
      <c r="E39" s="1327" t="s">
        <v>303</v>
      </c>
      <c r="F39" s="1328" t="s">
        <v>474</v>
      </c>
      <c r="G39" s="1329" t="s">
        <v>1366</v>
      </c>
      <c r="I39" s="1388"/>
    </row>
    <row r="40" spans="1:9" s="1390" customFormat="1" ht="23.25">
      <c r="A40" s="1319">
        <v>39</v>
      </c>
      <c r="B40" s="1320"/>
      <c r="C40" s="1321" t="str">
        <f t="shared" si="0"/>
        <v>Beaufschlagung</v>
      </c>
      <c r="D40" s="1326"/>
      <c r="E40" s="1327" t="s">
        <v>213</v>
      </c>
      <c r="F40" s="1328" t="s">
        <v>475</v>
      </c>
      <c r="G40" s="1329" t="s">
        <v>1367</v>
      </c>
      <c r="I40" s="1388"/>
    </row>
    <row r="41" spans="1:9" s="1390" customFormat="1" ht="23.25">
      <c r="A41" s="1319">
        <v>41</v>
      </c>
      <c r="B41" s="1320"/>
      <c r="C41" s="1321" t="str">
        <f t="shared" si="0"/>
        <v>Beaufschlagung Steuerung</v>
      </c>
      <c r="D41" s="1326"/>
      <c r="E41" s="1327" t="s">
        <v>219</v>
      </c>
      <c r="F41" s="1328" t="s">
        <v>752</v>
      </c>
      <c r="G41" s="1329" t="s">
        <v>1368</v>
      </c>
      <c r="I41" s="1388"/>
    </row>
    <row r="42" spans="1:9" s="1390" customFormat="1" ht="23.25">
      <c r="A42" s="1319">
        <v>42</v>
      </c>
      <c r="B42" s="1320"/>
      <c r="C42" s="1321" t="str">
        <f t="shared" si="0"/>
        <v>bedarfsgerechte Ansteuerung (FU)</v>
      </c>
      <c r="D42" s="1326"/>
      <c r="E42" s="1327" t="s">
        <v>135</v>
      </c>
      <c r="F42" s="1328" t="s">
        <v>476</v>
      </c>
      <c r="G42" s="1333" t="s">
        <v>1343</v>
      </c>
      <c r="I42" s="1388"/>
    </row>
    <row r="43" spans="1:9" s="1390" customFormat="1" ht="23.25">
      <c r="A43" s="1319">
        <v>44</v>
      </c>
      <c r="B43" s="1320"/>
      <c r="C43" s="1321" t="str">
        <f t="shared" si="0"/>
        <v>Bemerkung</v>
      </c>
      <c r="D43" s="1326"/>
      <c r="E43" s="1327" t="s">
        <v>3</v>
      </c>
      <c r="F43" s="1328" t="s">
        <v>477</v>
      </c>
      <c r="G43" s="1329" t="s">
        <v>692</v>
      </c>
      <c r="I43" s="1388"/>
    </row>
    <row r="44" spans="1:9" s="1390" customFormat="1" ht="23.25">
      <c r="A44" s="1319">
        <v>47</v>
      </c>
      <c r="B44" s="1320"/>
      <c r="C44" s="1321" t="str">
        <f t="shared" si="0"/>
        <v>Berechnung</v>
      </c>
      <c r="D44" s="1326"/>
      <c r="E44" s="1327" t="s">
        <v>89</v>
      </c>
      <c r="F44" s="1328" t="s">
        <v>478</v>
      </c>
      <c r="G44" s="1329" t="s">
        <v>1369</v>
      </c>
      <c r="I44" s="1388"/>
    </row>
    <row r="45" spans="1:9" s="1390" customFormat="1" ht="45">
      <c r="A45" s="1319">
        <v>48</v>
      </c>
      <c r="B45" s="1320"/>
      <c r="C45" s="1321" t="str">
        <f t="shared" si="0"/>
        <v>Berechnung der CO2-Emissionen durch den Elektrizitätsverbrauch der Kälteanlage</v>
      </c>
      <c r="D45" s="1326"/>
      <c r="E45" s="1327" t="s">
        <v>331</v>
      </c>
      <c r="F45" s="1328" t="s">
        <v>713</v>
      </c>
      <c r="G45" s="1329" t="s">
        <v>1370</v>
      </c>
      <c r="I45" s="1388"/>
    </row>
    <row r="46" spans="1:9" s="1390" customFormat="1" ht="30">
      <c r="A46" s="1319">
        <v>49</v>
      </c>
      <c r="B46" s="1320"/>
      <c r="C46" s="1321" t="str">
        <f t="shared" si="0"/>
        <v>Berechnung der CO2-Emissionen durch Leckagen</v>
      </c>
      <c r="D46" s="1326"/>
      <c r="E46" s="1327" t="s">
        <v>329</v>
      </c>
      <c r="F46" s="1328" t="s">
        <v>479</v>
      </c>
      <c r="G46" s="1329" t="s">
        <v>1371</v>
      </c>
      <c r="I46" s="1388"/>
    </row>
    <row r="47" spans="1:9" s="1390" customFormat="1" ht="30">
      <c r="A47" s="1319">
        <v>50</v>
      </c>
      <c r="B47" s="1320"/>
      <c r="C47" s="1321" t="str">
        <f t="shared" si="0"/>
        <v>Berechnung der CO2-Emissionen durch Verluste bei der Rückgewinnung des Kältemittels</v>
      </c>
      <c r="D47" s="1326"/>
      <c r="E47" s="1327" t="s">
        <v>330</v>
      </c>
      <c r="F47" s="1328" t="s">
        <v>480</v>
      </c>
      <c r="G47" s="1329" t="s">
        <v>1372</v>
      </c>
      <c r="I47" s="1388"/>
    </row>
    <row r="48" spans="1:9" s="1390" customFormat="1" ht="23.25">
      <c r="A48" s="1331">
        <v>51</v>
      </c>
      <c r="B48" s="1320"/>
      <c r="C48" s="1321" t="str">
        <f t="shared" si="0"/>
        <v>Berechnung mit dem Kälte-Tool</v>
      </c>
      <c r="D48" s="1326"/>
      <c r="E48" s="1327" t="s">
        <v>1032</v>
      </c>
      <c r="F48" s="1328" t="s">
        <v>1309</v>
      </c>
      <c r="G48" s="1333" t="s">
        <v>1303</v>
      </c>
      <c r="I48" s="1388"/>
    </row>
    <row r="49" spans="1:9" s="1390" customFormat="1" ht="23.25">
      <c r="A49" s="1319">
        <v>52</v>
      </c>
      <c r="B49" s="1320"/>
      <c r="C49" s="1321" t="str">
        <f t="shared" si="0"/>
        <v>Berechnungsbasis</v>
      </c>
      <c r="D49" s="1326"/>
      <c r="E49" s="1327" t="s">
        <v>255</v>
      </c>
      <c r="F49" s="1328" t="s">
        <v>481</v>
      </c>
      <c r="G49" s="1329" t="s">
        <v>1373</v>
      </c>
      <c r="I49" s="1388"/>
    </row>
    <row r="50" spans="1:9" s="1390" customFormat="1" ht="23.25">
      <c r="A50" s="1319">
        <v>53</v>
      </c>
      <c r="B50" s="1320"/>
      <c r="C50" s="1321" t="str">
        <f t="shared" si="0"/>
        <v>Berechnungen (A: Standard-Profil)</v>
      </c>
      <c r="D50" s="1326"/>
      <c r="E50" s="1327" t="s">
        <v>362</v>
      </c>
      <c r="F50" s="1328" t="s">
        <v>482</v>
      </c>
      <c r="G50" s="1329" t="s">
        <v>1374</v>
      </c>
      <c r="I50" s="1388"/>
    </row>
    <row r="51" spans="1:9" s="1390" customFormat="1" ht="23.25">
      <c r="A51" s="1319">
        <v>54</v>
      </c>
      <c r="B51" s="1320"/>
      <c r="C51" s="1321" t="str">
        <f t="shared" si="0"/>
        <v>Berechnungen (B: Planer-Werte)</v>
      </c>
      <c r="D51" s="1326"/>
      <c r="E51" s="1327" t="s">
        <v>363</v>
      </c>
      <c r="F51" s="1328" t="s">
        <v>483</v>
      </c>
      <c r="G51" s="1329" t="s">
        <v>1375</v>
      </c>
      <c r="I51" s="1388"/>
    </row>
    <row r="52" spans="1:9" s="1390" customFormat="1" ht="25.5">
      <c r="A52" s="1319">
        <v>55</v>
      </c>
      <c r="B52" s="1320"/>
      <c r="C52" s="1321" t="str">
        <f>IF(C$12=F$12,F52,IF(C$12=G$12,G52,E52))</f>
        <v>Berechnungen mit den Standard-Betriebszeiten (Werte aus dem Standard-Profil)</v>
      </c>
      <c r="D52" s="1326"/>
      <c r="E52" s="1327" t="s">
        <v>1132</v>
      </c>
      <c r="F52" s="1328" t="s">
        <v>484</v>
      </c>
      <c r="G52" s="1329" t="s">
        <v>1376</v>
      </c>
      <c r="I52" s="1388"/>
    </row>
    <row r="53" spans="1:9" s="1390" customFormat="1" ht="23.25">
      <c r="A53" s="1319">
        <v>56</v>
      </c>
      <c r="B53" s="1320"/>
      <c r="C53" s="1321" t="str">
        <f t="shared" si="0"/>
        <v>Berechnungen mit den Betriebszeiten des Planers</v>
      </c>
      <c r="D53" s="1326"/>
      <c r="E53" s="1327" t="s">
        <v>1131</v>
      </c>
      <c r="F53" s="1328" t="s">
        <v>485</v>
      </c>
      <c r="G53" s="1329" t="s">
        <v>1377</v>
      </c>
      <c r="I53" s="1388"/>
    </row>
    <row r="54" spans="1:9" s="1390" customFormat="1" ht="23.25">
      <c r="A54" s="1319">
        <v>57</v>
      </c>
      <c r="B54" s="1320"/>
      <c r="C54" s="1321" t="str">
        <f t="shared" si="0"/>
        <v>Berechnungsart</v>
      </c>
      <c r="D54" s="1326"/>
      <c r="E54" s="1327" t="s">
        <v>364</v>
      </c>
      <c r="F54" s="1328" t="s">
        <v>486</v>
      </c>
      <c r="G54" s="1329" t="s">
        <v>1378</v>
      </c>
      <c r="I54" s="1388"/>
    </row>
    <row r="55" spans="1:9" s="1390" customFormat="1" ht="23.25">
      <c r="A55" s="1319">
        <v>58</v>
      </c>
      <c r="B55" s="1320"/>
      <c r="C55" s="1321" t="str">
        <f t="shared" si="0"/>
        <v>Bern</v>
      </c>
      <c r="D55" s="1326"/>
      <c r="E55" s="1327" t="s">
        <v>128</v>
      </c>
      <c r="F55" s="1328" t="s">
        <v>369</v>
      </c>
      <c r="G55" s="1334" t="s">
        <v>1379</v>
      </c>
      <c r="I55" s="1388"/>
    </row>
    <row r="56" spans="1:9" s="1390" customFormat="1" ht="23.25">
      <c r="A56" s="1319">
        <v>60</v>
      </c>
      <c r="B56" s="1320"/>
      <c r="C56" s="1321" t="str">
        <f t="shared" si="0"/>
        <v>Betriebs-Profil</v>
      </c>
      <c r="D56" s="1326"/>
      <c r="E56" s="1327" t="s">
        <v>181</v>
      </c>
      <c r="F56" s="1328" t="s">
        <v>487</v>
      </c>
      <c r="G56" s="1329" t="s">
        <v>1380</v>
      </c>
      <c r="I56" s="1388"/>
    </row>
    <row r="57" spans="1:9" s="1390" customFormat="1" ht="23.25">
      <c r="A57" s="1319">
        <v>62</v>
      </c>
      <c r="B57" s="1320"/>
      <c r="C57" s="1321" t="str">
        <f t="shared" si="0"/>
        <v>Betriebsstunden Maschine pro Jahr</v>
      </c>
      <c r="D57" s="1326"/>
      <c r="E57" s="1327" t="s">
        <v>159</v>
      </c>
      <c r="F57" s="1328" t="s">
        <v>714</v>
      </c>
      <c r="G57" s="1329" t="s">
        <v>1381</v>
      </c>
      <c r="I57" s="1388"/>
    </row>
    <row r="58" spans="1:9" s="1390" customFormat="1" ht="23.25">
      <c r="A58" s="1319">
        <v>64</v>
      </c>
      <c r="B58" s="1320"/>
      <c r="C58" s="1321" t="str">
        <f t="shared" si="0"/>
        <v>Betriebszeit Profil (Reduziert)</v>
      </c>
      <c r="D58" s="1326"/>
      <c r="E58" s="1327" t="s">
        <v>155</v>
      </c>
      <c r="F58" s="1328" t="s">
        <v>488</v>
      </c>
      <c r="G58" s="1329" t="s">
        <v>1382</v>
      </c>
      <c r="I58" s="1388"/>
    </row>
    <row r="59" spans="1:9" s="1390" customFormat="1" ht="23.25">
      <c r="A59" s="1319">
        <v>65</v>
      </c>
      <c r="B59" s="1320"/>
      <c r="C59" s="1321" t="str">
        <f t="shared" si="0"/>
        <v>Betriebszeiten (pro Tag)</v>
      </c>
      <c r="D59" s="1326"/>
      <c r="E59" s="1327" t="s">
        <v>119</v>
      </c>
      <c r="F59" s="1328" t="s">
        <v>489</v>
      </c>
      <c r="G59" s="1329" t="s">
        <v>1383</v>
      </c>
      <c r="I59" s="1388"/>
    </row>
    <row r="60" spans="1:9" s="1390" customFormat="1" ht="23.25">
      <c r="A60" s="1319">
        <v>66</v>
      </c>
      <c r="B60" s="1320"/>
      <c r="C60" s="1321" t="str">
        <f t="shared" si="0"/>
        <v>Betriebszeiten</v>
      </c>
      <c r="D60" s="1326"/>
      <c r="E60" s="1327" t="s">
        <v>357</v>
      </c>
      <c r="F60" s="1328" t="s">
        <v>370</v>
      </c>
      <c r="G60" s="1334" t="s">
        <v>1384</v>
      </c>
      <c r="I60" s="1388"/>
    </row>
    <row r="61" spans="1:9" s="1390" customFormat="1" ht="23.25">
      <c r="A61" s="1319">
        <v>67</v>
      </c>
      <c r="B61" s="1320"/>
      <c r="C61" s="1321" t="str">
        <f t="shared" si="0"/>
        <v>Bezeichnung</v>
      </c>
      <c r="D61" s="1326"/>
      <c r="E61" s="1327" t="s">
        <v>2</v>
      </c>
      <c r="F61" s="1328" t="s">
        <v>490</v>
      </c>
      <c r="G61" s="1329" t="s">
        <v>1385</v>
      </c>
      <c r="I61" s="1388"/>
    </row>
    <row r="62" spans="1:9" s="1390" customFormat="1" ht="23.25">
      <c r="A62" s="1319">
        <v>68</v>
      </c>
      <c r="B62" s="1320"/>
      <c r="C62" s="1321" t="str">
        <f t="shared" si="0"/>
        <v>Bezeichnung der Variante A</v>
      </c>
      <c r="D62" s="1326"/>
      <c r="E62" s="1327" t="s">
        <v>244</v>
      </c>
      <c r="F62" s="1328" t="s">
        <v>491</v>
      </c>
      <c r="G62" s="1329" t="s">
        <v>1386</v>
      </c>
      <c r="I62" s="1388"/>
    </row>
    <row r="63" spans="1:9" s="1390" customFormat="1" ht="23.25">
      <c r="A63" s="1319">
        <v>69</v>
      </c>
      <c r="B63" s="1320"/>
      <c r="C63" s="1321" t="str">
        <f t="shared" si="0"/>
        <v>Bezeichnung der Variante B</v>
      </c>
      <c r="D63" s="1326"/>
      <c r="E63" s="1327" t="s">
        <v>245</v>
      </c>
      <c r="F63" s="1328" t="s">
        <v>492</v>
      </c>
      <c r="G63" s="1329" t="s">
        <v>1387</v>
      </c>
      <c r="I63" s="1388"/>
    </row>
    <row r="64" spans="1:9" s="1390" customFormat="1" ht="30">
      <c r="A64" s="1319">
        <v>72</v>
      </c>
      <c r="B64" s="1320"/>
      <c r="C64" s="1321" t="str">
        <f t="shared" si="0"/>
        <v>D: Anlage mit 7'500 Vollbetriebsstunden pro Jahr</v>
      </c>
      <c r="D64" s="1326"/>
      <c r="E64" s="1327" t="s">
        <v>835</v>
      </c>
      <c r="F64" s="1328" t="s">
        <v>1110</v>
      </c>
      <c r="G64" s="1333" t="s">
        <v>1111</v>
      </c>
      <c r="I64" s="1388"/>
    </row>
    <row r="65" spans="1:9" s="1390" customFormat="1" ht="23.25">
      <c r="A65" s="1319">
        <v>73</v>
      </c>
      <c r="B65" s="1320"/>
      <c r="C65" s="1321" t="str">
        <f t="shared" si="0"/>
        <v>CHF/ Tonne CO2</v>
      </c>
      <c r="D65" s="1326"/>
      <c r="E65" s="1327" t="s">
        <v>26</v>
      </c>
      <c r="F65" s="1328" t="s">
        <v>493</v>
      </c>
      <c r="G65" s="1329" t="s">
        <v>1388</v>
      </c>
      <c r="I65" s="1388"/>
    </row>
    <row r="66" spans="1:9" s="1390" customFormat="1" ht="23.25">
      <c r="A66" s="1319">
        <v>75</v>
      </c>
      <c r="B66" s="1320"/>
      <c r="C66" s="1321" t="str">
        <f t="shared" si="0"/>
        <v>CO2-Ausstoss Mittelklassewagen</v>
      </c>
      <c r="D66" s="1326"/>
      <c r="E66" s="1327" t="s">
        <v>41</v>
      </c>
      <c r="F66" s="1328" t="s">
        <v>494</v>
      </c>
      <c r="G66" s="1329" t="s">
        <v>1389</v>
      </c>
      <c r="I66" s="1388"/>
    </row>
    <row r="67" spans="1:9" s="1390" customFormat="1" ht="23.25">
      <c r="A67" s="1319">
        <v>76</v>
      </c>
      <c r="B67" s="1320"/>
      <c r="C67" s="1321" t="str">
        <f t="shared" si="0"/>
        <v>CO2-Ausstoss pro Jahr</v>
      </c>
      <c r="D67" s="1326"/>
      <c r="E67" s="1327" t="s">
        <v>264</v>
      </c>
      <c r="F67" s="1328" t="s">
        <v>495</v>
      </c>
      <c r="G67" s="1329" t="s">
        <v>1390</v>
      </c>
      <c r="I67" s="1388"/>
    </row>
    <row r="68" spans="1:9" s="1390" customFormat="1" ht="23.25">
      <c r="A68" s="1319">
        <v>77</v>
      </c>
      <c r="B68" s="1320"/>
      <c r="C68" s="1321" t="str">
        <f t="shared" si="0"/>
        <v>CO2-Emissionen Elektrizitätsverbrauch</v>
      </c>
      <c r="D68" s="1326"/>
      <c r="E68" s="1327" t="s">
        <v>39</v>
      </c>
      <c r="F68" s="1328" t="s">
        <v>496</v>
      </c>
      <c r="G68" s="1329" t="s">
        <v>1391</v>
      </c>
      <c r="I68" s="1388"/>
    </row>
    <row r="69" spans="1:9" s="1390" customFormat="1" ht="23.25">
      <c r="A69" s="1319">
        <v>78</v>
      </c>
      <c r="B69" s="1320"/>
      <c r="C69" s="1321" t="str">
        <f t="shared" si="0"/>
        <v>CO2-Emissionen Leckagen</v>
      </c>
      <c r="D69" s="1326"/>
      <c r="E69" s="1327" t="s">
        <v>97</v>
      </c>
      <c r="F69" s="1328" t="s">
        <v>497</v>
      </c>
      <c r="G69" s="1329" t="s">
        <v>1392</v>
      </c>
      <c r="I69" s="1388"/>
    </row>
    <row r="70" spans="1:9" s="1390" customFormat="1" ht="23.25">
      <c r="A70" s="1319">
        <v>79</v>
      </c>
      <c r="B70" s="1320"/>
      <c r="C70" s="1321" t="str">
        <f t="shared" si="0"/>
        <v>CO2-Emissionen pro Jahr</v>
      </c>
      <c r="D70" s="1326"/>
      <c r="E70" s="1327" t="s">
        <v>103</v>
      </c>
      <c r="F70" s="1328" t="s">
        <v>498</v>
      </c>
      <c r="G70" s="1329" t="s">
        <v>1390</v>
      </c>
      <c r="I70" s="1388"/>
    </row>
    <row r="71" spans="1:9" s="1390" customFormat="1" ht="23.25">
      <c r="A71" s="1319">
        <v>80</v>
      </c>
      <c r="B71" s="1320"/>
      <c r="C71" s="1321" t="str">
        <f t="shared" si="0"/>
        <v>CO2-Emissionen Rückgewinnungsverluste</v>
      </c>
      <c r="D71" s="1326"/>
      <c r="E71" s="1327" t="s">
        <v>98</v>
      </c>
      <c r="F71" s="1328" t="s">
        <v>499</v>
      </c>
      <c r="G71" s="1329" t="s">
        <v>1393</v>
      </c>
      <c r="I71" s="1388"/>
    </row>
    <row r="72" spans="1:9" s="1390" customFormat="1" ht="23.25">
      <c r="A72" s="1319">
        <v>81</v>
      </c>
      <c r="B72" s="1320"/>
      <c r="C72" s="1321" t="str">
        <f t="shared" si="0"/>
        <v>CO2-Emissionen während der Lebensdauer</v>
      </c>
      <c r="D72" s="1326"/>
      <c r="E72" s="1327" t="s">
        <v>348</v>
      </c>
      <c r="F72" s="1328" t="s">
        <v>500</v>
      </c>
      <c r="G72" s="1329" t="s">
        <v>1394</v>
      </c>
      <c r="I72" s="1388"/>
    </row>
    <row r="73" spans="1:9" s="1390" customFormat="1" ht="23.25">
      <c r="A73" s="1319">
        <v>82</v>
      </c>
      <c r="B73" s="1320"/>
      <c r="C73" s="1321" t="str">
        <f t="shared" si="0"/>
        <v>CO2-Emissionsfaktor Elektrizität</v>
      </c>
      <c r="D73" s="1326"/>
      <c r="E73" s="1327" t="s">
        <v>36</v>
      </c>
      <c r="F73" s="1328" t="s">
        <v>501</v>
      </c>
      <c r="G73" s="1329" t="s">
        <v>1395</v>
      </c>
      <c r="I73" s="1388"/>
    </row>
    <row r="74" spans="1:9" s="1390" customFormat="1" ht="23.25">
      <c r="A74" s="1319">
        <v>83</v>
      </c>
      <c r="B74" s="1320"/>
      <c r="C74" s="1321" t="str">
        <f t="shared" si="0"/>
        <v>CO2-Inhalt LKW</v>
      </c>
      <c r="D74" s="1326"/>
      <c r="E74" s="1327" t="s">
        <v>46</v>
      </c>
      <c r="F74" s="1328" t="s">
        <v>502</v>
      </c>
      <c r="G74" s="1329" t="s">
        <v>1396</v>
      </c>
      <c r="I74" s="1388"/>
    </row>
    <row r="75" spans="1:9" s="1390" customFormat="1" ht="23.25">
      <c r="A75" s="1319">
        <v>84</v>
      </c>
      <c r="B75" s="1320"/>
      <c r="C75" s="1321" t="str">
        <f t="shared" si="0"/>
        <v>CO2-Kompensationskosten</v>
      </c>
      <c r="D75" s="1326"/>
      <c r="E75" s="1327" t="s">
        <v>236</v>
      </c>
      <c r="F75" s="1328" t="s">
        <v>503</v>
      </c>
      <c r="G75" s="1329" t="s">
        <v>1397</v>
      </c>
      <c r="I75" s="1388"/>
    </row>
    <row r="76" spans="1:9" s="1390" customFormat="1" ht="23.25">
      <c r="A76" s="1319">
        <v>88</v>
      </c>
      <c r="B76" s="1320"/>
      <c r="C76" s="1321" t="str">
        <f t="shared" si="0"/>
        <v>COP Verdichter (nur zur Kontrolle)</v>
      </c>
      <c r="D76" s="1326"/>
      <c r="E76" s="1327" t="s">
        <v>351</v>
      </c>
      <c r="F76" s="1328" t="s">
        <v>715</v>
      </c>
      <c r="G76" s="1329" t="s">
        <v>1398</v>
      </c>
      <c r="I76" s="1388"/>
    </row>
    <row r="77" spans="1:9" s="1390" customFormat="1" ht="23.25">
      <c r="A77" s="1319">
        <v>90</v>
      </c>
      <c r="B77" s="1320"/>
      <c r="C77" s="1321" t="str">
        <f t="shared" si="0"/>
        <v>Daten Elektrizitätsbedarf</v>
      </c>
      <c r="D77" s="1326"/>
      <c r="E77" s="1327" t="s">
        <v>267</v>
      </c>
      <c r="F77" s="1328" t="s">
        <v>504</v>
      </c>
      <c r="G77" s="1329" t="s">
        <v>1399</v>
      </c>
      <c r="I77" s="1388"/>
    </row>
    <row r="78" spans="1:9" s="1390" customFormat="1" ht="23.25">
      <c r="A78" s="1319">
        <v>92</v>
      </c>
      <c r="B78" s="1320"/>
      <c r="C78" s="1321" t="str">
        <f t="shared" ref="C78:C141" si="1">IF(C$12=F$12,F78,IF(C$12=G$12,G78,E78))</f>
        <v>Datum</v>
      </c>
      <c r="D78" s="1326"/>
      <c r="E78" s="1327" t="s">
        <v>6</v>
      </c>
      <c r="F78" s="1328" t="s">
        <v>371</v>
      </c>
      <c r="G78" s="1334" t="s">
        <v>1400</v>
      </c>
      <c r="I78" s="1388"/>
    </row>
    <row r="79" spans="1:9" s="1390" customFormat="1" ht="23.25">
      <c r="A79" s="1319">
        <v>95</v>
      </c>
      <c r="B79" s="1320"/>
      <c r="C79" s="1321" t="str">
        <f t="shared" si="1"/>
        <v>Details zur Berechnung einblenden?</v>
      </c>
      <c r="D79" s="1326"/>
      <c r="E79" s="1327" t="s">
        <v>257</v>
      </c>
      <c r="F79" s="1328" t="s">
        <v>505</v>
      </c>
      <c r="G79" s="1329" t="s">
        <v>1401</v>
      </c>
      <c r="I79" s="1388"/>
    </row>
    <row r="80" spans="1:9" s="1390" customFormat="1" ht="23.25">
      <c r="A80" s="1319">
        <v>98</v>
      </c>
      <c r="B80" s="1320"/>
      <c r="C80" s="1321" t="str">
        <f t="shared" si="1"/>
        <v>Distanz</v>
      </c>
      <c r="D80" s="1326"/>
      <c r="E80" s="1327" t="s">
        <v>43</v>
      </c>
      <c r="F80" s="1328" t="s">
        <v>506</v>
      </c>
      <c r="G80" s="1329" t="s">
        <v>1402</v>
      </c>
      <c r="I80" s="1388"/>
    </row>
    <row r="81" spans="1:9" s="1390" customFormat="1" ht="23.25">
      <c r="A81" s="1319">
        <v>102</v>
      </c>
      <c r="B81" s="1320"/>
      <c r="C81" s="1321" t="str">
        <f t="shared" si="1"/>
        <v>Effektive Betriebstemperaturen</v>
      </c>
      <c r="D81" s="1326"/>
      <c r="E81" s="1327" t="s">
        <v>352</v>
      </c>
      <c r="F81" s="1328" t="s">
        <v>507</v>
      </c>
      <c r="G81" s="1329" t="s">
        <v>1403</v>
      </c>
      <c r="I81" s="1388"/>
    </row>
    <row r="82" spans="1:9" s="1390" customFormat="1" ht="23.25">
      <c r="A82" s="1319">
        <v>103</v>
      </c>
      <c r="B82" s="1320"/>
      <c r="C82" s="1321" t="str">
        <f t="shared" si="1"/>
        <v>ein/aus</v>
      </c>
      <c r="D82" s="1326"/>
      <c r="E82" s="1327" t="s">
        <v>125</v>
      </c>
      <c r="F82" s="1328" t="s">
        <v>372</v>
      </c>
      <c r="G82" s="1334" t="s">
        <v>1404</v>
      </c>
      <c r="I82" s="1388"/>
    </row>
    <row r="83" spans="1:9" s="1390" customFormat="1" ht="30">
      <c r="A83" s="1319">
        <v>104</v>
      </c>
      <c r="B83" s="1320"/>
      <c r="C83" s="1321" t="str">
        <f t="shared" si="1"/>
        <v>ein/aus (mit grossem Speicher, Verdichter schaltet weniger als 6x pro Stunde ein)</v>
      </c>
      <c r="D83" s="1326"/>
      <c r="E83" s="1327" t="s">
        <v>212</v>
      </c>
      <c r="F83" s="1328" t="s">
        <v>716</v>
      </c>
      <c r="G83" s="1329" t="s">
        <v>1405</v>
      </c>
      <c r="I83" s="1388"/>
    </row>
    <row r="84" spans="1:9" s="1390" customFormat="1" ht="30">
      <c r="A84" s="1319">
        <v>105</v>
      </c>
      <c r="B84" s="1320"/>
      <c r="C84" s="1321" t="str">
        <f t="shared" si="1"/>
        <v>ein/aus (mit kleinem Speicher, Verdichter schaltet 6x und mehr pro Stunde ein)</v>
      </c>
      <c r="D84" s="1326"/>
      <c r="E84" s="1327" t="s">
        <v>211</v>
      </c>
      <c r="F84" s="1328" t="s">
        <v>717</v>
      </c>
      <c r="G84" s="1329" t="s">
        <v>1406</v>
      </c>
      <c r="I84" s="1388"/>
    </row>
    <row r="85" spans="1:9" s="1390" customFormat="1" ht="23.25">
      <c r="A85" s="1319">
        <v>106</v>
      </c>
      <c r="B85" s="1320"/>
      <c r="C85" s="1321" t="str">
        <f t="shared" si="1"/>
        <v>ein/aus (ohne Speicher)</v>
      </c>
      <c r="D85" s="1326"/>
      <c r="E85" s="1327" t="s">
        <v>208</v>
      </c>
      <c r="F85" s="1328" t="s">
        <v>718</v>
      </c>
      <c r="G85" s="1334" t="s">
        <v>1407</v>
      </c>
      <c r="I85" s="1388"/>
    </row>
    <row r="86" spans="1:9" s="1390" customFormat="1" ht="23.25">
      <c r="A86" s="1319">
        <v>108</v>
      </c>
      <c r="B86" s="1320"/>
      <c r="C86" s="1321" t="str">
        <f t="shared" si="1"/>
        <v>Eingabe Betriebsdaten</v>
      </c>
      <c r="D86" s="1326"/>
      <c r="E86" s="1327" t="s">
        <v>341</v>
      </c>
      <c r="F86" s="1328" t="s">
        <v>508</v>
      </c>
      <c r="G86" s="1329" t="s">
        <v>1408</v>
      </c>
      <c r="I86" s="1388"/>
    </row>
    <row r="87" spans="1:9" s="1390" customFormat="1" ht="23.25">
      <c r="A87" s="1319">
        <v>109</v>
      </c>
      <c r="B87" s="1320"/>
      <c r="C87" s="1321" t="str">
        <f t="shared" si="1"/>
        <v>Eingabe fakultativ</v>
      </c>
      <c r="D87" s="1326"/>
      <c r="E87" s="1327" t="s">
        <v>311</v>
      </c>
      <c r="F87" s="1328" t="s">
        <v>509</v>
      </c>
      <c r="G87" s="1329" t="s">
        <v>1409</v>
      </c>
      <c r="I87" s="1388"/>
    </row>
    <row r="88" spans="1:9" s="1390" customFormat="1" ht="23.25">
      <c r="A88" s="1319">
        <v>110</v>
      </c>
      <c r="B88" s="1320"/>
      <c r="C88" s="1321" t="str">
        <f t="shared" si="1"/>
        <v>Eingaben</v>
      </c>
      <c r="D88" s="1326"/>
      <c r="E88" s="1327" t="s">
        <v>327</v>
      </c>
      <c r="F88" s="1328" t="s">
        <v>510</v>
      </c>
      <c r="G88" s="1329" t="s">
        <v>1410</v>
      </c>
      <c r="I88" s="1388"/>
    </row>
    <row r="89" spans="1:9" s="1390" customFormat="1" ht="23.25">
      <c r="A89" s="1319">
        <v>114</v>
      </c>
      <c r="B89" s="1320"/>
      <c r="C89" s="1321" t="str">
        <f t="shared" si="1"/>
        <v>elektrische Leistungsaufnahme</v>
      </c>
      <c r="D89" s="1326"/>
      <c r="E89" s="1327" t="s">
        <v>110</v>
      </c>
      <c r="F89" s="1328" t="s">
        <v>511</v>
      </c>
      <c r="G89" s="1329" t="s">
        <v>1411</v>
      </c>
      <c r="I89" s="1388"/>
    </row>
    <row r="90" spans="1:9" s="1390" customFormat="1" ht="23.25">
      <c r="A90" s="1319">
        <v>115</v>
      </c>
      <c r="B90" s="1320"/>
      <c r="C90" s="1321" t="str">
        <f t="shared" si="1"/>
        <v>elektrische Leistungsaufnahme (effektiv)</v>
      </c>
      <c r="D90" s="1326"/>
      <c r="E90" s="1327" t="s">
        <v>215</v>
      </c>
      <c r="F90" s="1328" t="s">
        <v>719</v>
      </c>
      <c r="G90" s="1329" t="s">
        <v>1412</v>
      </c>
      <c r="I90" s="1388"/>
    </row>
    <row r="91" spans="1:9" s="1390" customFormat="1" ht="23.25">
      <c r="A91" s="1319">
        <v>116</v>
      </c>
      <c r="B91" s="1320"/>
      <c r="C91" s="1321" t="str">
        <f t="shared" si="1"/>
        <v>elektrische Leistungsaufnahme Verdichter</v>
      </c>
      <c r="D91" s="1326"/>
      <c r="E91" s="1327" t="s">
        <v>353</v>
      </c>
      <c r="F91" s="1328" t="s">
        <v>512</v>
      </c>
      <c r="G91" s="1329" t="s">
        <v>1413</v>
      </c>
      <c r="I91" s="1388"/>
    </row>
    <row r="92" spans="1:9" s="1390" customFormat="1" ht="23.25">
      <c r="A92" s="1319">
        <v>117</v>
      </c>
      <c r="B92" s="1320"/>
      <c r="C92" s="1321" t="str">
        <f t="shared" si="1"/>
        <v>Elektrizitätsbedarf</v>
      </c>
      <c r="D92" s="1326"/>
      <c r="E92" s="1327" t="s">
        <v>35</v>
      </c>
      <c r="F92" s="1328" t="s">
        <v>513</v>
      </c>
      <c r="G92" s="1329" t="s">
        <v>1414</v>
      </c>
      <c r="I92" s="1388"/>
    </row>
    <row r="93" spans="1:9" s="1390" customFormat="1" ht="23.25">
      <c r="A93" s="1319">
        <v>120</v>
      </c>
      <c r="B93" s="1320"/>
      <c r="C93" s="1321" t="str">
        <f t="shared" si="1"/>
        <v>Elektrizitätsverbrauch</v>
      </c>
      <c r="D93" s="1326"/>
      <c r="E93" s="1327" t="s">
        <v>101</v>
      </c>
      <c r="F93" s="1328" t="s">
        <v>373</v>
      </c>
      <c r="G93" s="1334" t="s">
        <v>1415</v>
      </c>
      <c r="I93" s="1388"/>
    </row>
    <row r="94" spans="1:9" s="1390" customFormat="1" ht="23.25">
      <c r="A94" s="1319">
        <v>121</v>
      </c>
      <c r="B94" s="1320"/>
      <c r="C94" s="1321" t="str">
        <f t="shared" si="1"/>
        <v>Elektrizitätsverbrauch Kälteanlage</v>
      </c>
      <c r="D94" s="1326"/>
      <c r="E94" s="1327" t="s">
        <v>80</v>
      </c>
      <c r="F94" s="1328" t="s">
        <v>514</v>
      </c>
      <c r="G94" s="1329" t="s">
        <v>1416</v>
      </c>
      <c r="I94" s="1388"/>
    </row>
    <row r="95" spans="1:9" s="1390" customFormat="1" ht="23.25">
      <c r="A95" s="1319">
        <v>122</v>
      </c>
      <c r="B95" s="1320"/>
      <c r="C95" s="1321" t="str">
        <f t="shared" si="1"/>
        <v>Energie</v>
      </c>
      <c r="D95" s="1326"/>
      <c r="E95" s="1327" t="s">
        <v>163</v>
      </c>
      <c r="F95" s="1328" t="s">
        <v>163</v>
      </c>
      <c r="G95" s="1334" t="s">
        <v>1417</v>
      </c>
      <c r="I95" s="1388"/>
    </row>
    <row r="96" spans="1:9" s="1390" customFormat="1" ht="23.25">
      <c r="A96" s="1319">
        <v>123</v>
      </c>
      <c r="B96" s="1320"/>
      <c r="C96" s="1321" t="str">
        <f t="shared" si="1"/>
        <v>Energieeffizienz-Zahl</v>
      </c>
      <c r="D96" s="1326"/>
      <c r="E96" s="1327" t="s">
        <v>772</v>
      </c>
      <c r="F96" s="1328" t="s">
        <v>515</v>
      </c>
      <c r="G96" s="1329" t="s">
        <v>1418</v>
      </c>
      <c r="I96" s="1388"/>
    </row>
    <row r="97" spans="1:9" s="1390" customFormat="1" ht="23.25">
      <c r="A97" s="1319">
        <v>124</v>
      </c>
      <c r="B97" s="1320"/>
      <c r="C97" s="1321" t="str">
        <f t="shared" si="1"/>
        <v>Energiekosten</v>
      </c>
      <c r="D97" s="1326"/>
      <c r="E97" s="1327" t="s">
        <v>235</v>
      </c>
      <c r="F97" s="1328" t="s">
        <v>516</v>
      </c>
      <c r="G97" s="1329" t="s">
        <v>1419</v>
      </c>
      <c r="I97" s="1388"/>
    </row>
    <row r="98" spans="1:9" s="1390" customFormat="1" ht="30">
      <c r="A98" s="1319">
        <v>127</v>
      </c>
      <c r="B98" s="1320"/>
      <c r="C98" s="1321" t="str">
        <f t="shared" si="1"/>
        <v>Energieverbrauch Hilfsbetriebe «kalte Seite»</v>
      </c>
      <c r="D98" s="1326"/>
      <c r="E98" s="1327" t="s">
        <v>296</v>
      </c>
      <c r="F98" s="1328" t="s">
        <v>647</v>
      </c>
      <c r="G98" s="1329" t="s">
        <v>1420</v>
      </c>
      <c r="I98" s="1388"/>
    </row>
    <row r="99" spans="1:9" s="1390" customFormat="1" ht="30">
      <c r="A99" s="1319">
        <v>128</v>
      </c>
      <c r="B99" s="1320"/>
      <c r="C99" s="1321" t="str">
        <f t="shared" si="1"/>
        <v>Energieverbrauch Hilfsbetriebe «warme Seite»</v>
      </c>
      <c r="D99" s="1326"/>
      <c r="E99" s="1327" t="s">
        <v>295</v>
      </c>
      <c r="F99" s="1328" t="s">
        <v>648</v>
      </c>
      <c r="G99" s="1329" t="s">
        <v>1421</v>
      </c>
      <c r="I99" s="1388"/>
    </row>
    <row r="100" spans="1:9" s="1390" customFormat="1" ht="23.25">
      <c r="A100" s="1319">
        <v>129</v>
      </c>
      <c r="B100" s="1320"/>
      <c r="C100" s="1321" t="str">
        <f t="shared" si="1"/>
        <v>Energieverbrauch Kältemaschine</v>
      </c>
      <c r="D100" s="1326"/>
      <c r="E100" s="1327" t="s">
        <v>667</v>
      </c>
      <c r="F100" s="1328" t="s">
        <v>720</v>
      </c>
      <c r="G100" s="1329" t="s">
        <v>1422</v>
      </c>
      <c r="I100" s="1388"/>
    </row>
    <row r="101" spans="1:9" s="1390" customFormat="1" ht="23.25">
      <c r="A101" s="1319">
        <v>130</v>
      </c>
      <c r="B101" s="1320"/>
      <c r="C101" s="1321" t="str">
        <f t="shared" si="1"/>
        <v>Energieverbrauch Verdichter</v>
      </c>
      <c r="D101" s="1326"/>
      <c r="E101" s="1327" t="s">
        <v>294</v>
      </c>
      <c r="F101" s="1328" t="s">
        <v>517</v>
      </c>
      <c r="G101" s="1329" t="s">
        <v>1423</v>
      </c>
      <c r="I101" s="1388"/>
    </row>
    <row r="102" spans="1:9" s="1390" customFormat="1" ht="30">
      <c r="A102" s="1319">
        <v>131</v>
      </c>
      <c r="B102" s="1320"/>
      <c r="C102" s="1321" t="str">
        <f t="shared" si="1"/>
        <v>Ergebnis der Abschätzung gemäss Annahmen des Planers</v>
      </c>
      <c r="D102" s="1326"/>
      <c r="E102" s="1327" t="s">
        <v>297</v>
      </c>
      <c r="F102" s="1328" t="s">
        <v>518</v>
      </c>
      <c r="G102" s="1329" t="s">
        <v>1424</v>
      </c>
      <c r="I102" s="1388"/>
    </row>
    <row r="103" spans="1:9" s="1390" customFormat="1" ht="25.5">
      <c r="A103" s="1319">
        <v>132</v>
      </c>
      <c r="B103" s="1320"/>
      <c r="C103" s="1321" t="str">
        <f t="shared" si="1"/>
        <v>Ergebnis der Abschätzung gemäss Standard- Profil</v>
      </c>
      <c r="D103" s="1326"/>
      <c r="E103" s="1327" t="s">
        <v>298</v>
      </c>
      <c r="F103" s="1328" t="s">
        <v>519</v>
      </c>
      <c r="G103" s="1329" t="s">
        <v>1425</v>
      </c>
      <c r="I103" s="1388"/>
    </row>
    <row r="104" spans="1:9" s="1390" customFormat="1" ht="23.25">
      <c r="A104" s="1319">
        <v>135</v>
      </c>
      <c r="B104" s="1320"/>
      <c r="C104" s="1321" t="str">
        <f t="shared" si="1"/>
        <v>Ergebnisse</v>
      </c>
      <c r="D104" s="1326"/>
      <c r="E104" s="1327" t="s">
        <v>8</v>
      </c>
      <c r="F104" s="1328" t="s">
        <v>520</v>
      </c>
      <c r="G104" s="1329" t="s">
        <v>1426</v>
      </c>
      <c r="I104" s="1388"/>
    </row>
    <row r="105" spans="1:9" s="1390" customFormat="1" ht="23.25">
      <c r="A105" s="1319">
        <v>136</v>
      </c>
      <c r="B105" s="1320"/>
      <c r="C105" s="1321" t="str">
        <f t="shared" si="1"/>
        <v>Ergebnisse (gerundete Werte)</v>
      </c>
      <c r="D105" s="1326"/>
      <c r="E105" s="1327" t="s">
        <v>344</v>
      </c>
      <c r="F105" s="1328" t="s">
        <v>521</v>
      </c>
      <c r="G105" s="1329" t="s">
        <v>1427</v>
      </c>
      <c r="I105" s="1388"/>
    </row>
    <row r="106" spans="1:9" s="1390" customFormat="1" ht="23.25">
      <c r="A106" s="1319">
        <v>137</v>
      </c>
      <c r="B106" s="1320"/>
      <c r="C106" s="1321" t="str">
        <f t="shared" si="1"/>
        <v xml:space="preserve">Ergebnisse TEWI-Berechnung </v>
      </c>
      <c r="D106" s="1326"/>
      <c r="E106" s="1327" t="s">
        <v>328</v>
      </c>
      <c r="F106" s="1328" t="s">
        <v>522</v>
      </c>
      <c r="G106" s="1329" t="s">
        <v>1428</v>
      </c>
      <c r="I106" s="1388"/>
    </row>
    <row r="107" spans="1:9" s="1390" customFormat="1" ht="23.25">
      <c r="A107" s="1319">
        <v>139</v>
      </c>
      <c r="B107" s="1320"/>
      <c r="C107" s="1321" t="str">
        <f t="shared" si="1"/>
        <v>SEER-Wert Maschine</v>
      </c>
      <c r="D107" s="1326"/>
      <c r="E107" s="1327" t="s">
        <v>981</v>
      </c>
      <c r="F107" s="1328" t="s">
        <v>982</v>
      </c>
      <c r="G107" s="1333" t="s">
        <v>983</v>
      </c>
      <c r="I107" s="1388"/>
    </row>
    <row r="108" spans="1:9" s="1390" customFormat="1" ht="23.25">
      <c r="A108" s="1319">
        <v>140</v>
      </c>
      <c r="B108" s="1320"/>
      <c r="C108" s="1321" t="str">
        <f t="shared" si="1"/>
        <v>EU-Strommix</v>
      </c>
      <c r="D108" s="1326"/>
      <c r="E108" s="1327" t="s">
        <v>24</v>
      </c>
      <c r="F108" s="1328" t="s">
        <v>523</v>
      </c>
      <c r="G108" s="1329" t="s">
        <v>1429</v>
      </c>
      <c r="I108" s="1388"/>
    </row>
    <row r="109" spans="1:9" s="1390" customFormat="1" ht="23.25">
      <c r="A109" s="1319">
        <v>141</v>
      </c>
      <c r="B109" s="1320"/>
      <c r="C109" s="1321" t="str">
        <f t="shared" si="1"/>
        <v>Faktor</v>
      </c>
      <c r="D109" s="1326"/>
      <c r="E109" s="1327" t="s">
        <v>262</v>
      </c>
      <c r="F109" s="1328" t="s">
        <v>524</v>
      </c>
      <c r="G109" s="1329" t="s">
        <v>1430</v>
      </c>
      <c r="I109" s="1388"/>
    </row>
    <row r="110" spans="1:9" s="1390" customFormat="1" ht="23.25">
      <c r="A110" s="1319">
        <v>142</v>
      </c>
      <c r="B110" s="1320"/>
      <c r="C110" s="1321" t="str">
        <f t="shared" si="1"/>
        <v>Firma</v>
      </c>
      <c r="D110" s="1326"/>
      <c r="E110" s="1327" t="s">
        <v>4</v>
      </c>
      <c r="F110" s="1328" t="s">
        <v>653</v>
      </c>
      <c r="G110" s="1334" t="s">
        <v>1431</v>
      </c>
      <c r="I110" s="1388"/>
    </row>
    <row r="111" spans="1:9" s="1390" customFormat="1" ht="23.25">
      <c r="A111" s="1319">
        <v>144</v>
      </c>
      <c r="B111" s="1320"/>
      <c r="C111" s="1321" t="str">
        <f t="shared" si="1"/>
        <v>Franken</v>
      </c>
      <c r="D111" s="1326"/>
      <c r="E111" s="1327" t="s">
        <v>75</v>
      </c>
      <c r="F111" s="1328" t="s">
        <v>525</v>
      </c>
      <c r="G111" s="1329" t="s">
        <v>1432</v>
      </c>
      <c r="I111" s="1388"/>
    </row>
    <row r="112" spans="1:9" s="1390" customFormat="1" ht="23.25">
      <c r="A112" s="1319">
        <v>145</v>
      </c>
      <c r="B112" s="1320"/>
      <c r="C112" s="1321" t="str">
        <f t="shared" si="1"/>
        <v>Frequenzumformer</v>
      </c>
      <c r="D112" s="1326"/>
      <c r="E112" s="1327" t="s">
        <v>209</v>
      </c>
      <c r="F112" s="1328" t="s">
        <v>374</v>
      </c>
      <c r="G112" s="1334" t="s">
        <v>1433</v>
      </c>
      <c r="I112" s="1388"/>
    </row>
    <row r="113" spans="1:9" s="1390" customFormat="1" ht="23.25">
      <c r="A113" s="1319">
        <v>146</v>
      </c>
      <c r="B113" s="1320"/>
      <c r="C113" s="1321" t="str">
        <f t="shared" si="1"/>
        <v>Frequenzumformer mit Speicher</v>
      </c>
      <c r="D113" s="1326"/>
      <c r="E113" s="1327" t="s">
        <v>210</v>
      </c>
      <c r="F113" s="1328" t="s">
        <v>721</v>
      </c>
      <c r="G113" s="1334" t="s">
        <v>1434</v>
      </c>
      <c r="I113" s="1388"/>
    </row>
    <row r="114" spans="1:9" s="1390" customFormat="1" ht="23.25">
      <c r="A114" s="1319">
        <v>147</v>
      </c>
      <c r="B114" s="1320"/>
      <c r="C114" s="1321" t="str">
        <f t="shared" si="1"/>
        <v>Frühling</v>
      </c>
      <c r="D114" s="1326"/>
      <c r="E114" s="1327" t="s">
        <v>117</v>
      </c>
      <c r="F114" s="1328" t="s">
        <v>375</v>
      </c>
      <c r="G114" s="1334" t="s">
        <v>1435</v>
      </c>
      <c r="I114" s="1388"/>
    </row>
    <row r="115" spans="1:9" s="1390" customFormat="1" ht="30">
      <c r="A115" s="1319">
        <v>148</v>
      </c>
      <c r="B115" s="1320"/>
      <c r="C115" s="1321" t="str">
        <f t="shared" si="1"/>
        <v>geben Sie den Elektrizitätsbedarf hier manuell ein</v>
      </c>
      <c r="D115" s="1326"/>
      <c r="E115" s="1327" t="s">
        <v>243</v>
      </c>
      <c r="F115" s="1328" t="s">
        <v>526</v>
      </c>
      <c r="G115" s="1329" t="s">
        <v>1436</v>
      </c>
      <c r="I115" s="1388"/>
    </row>
    <row r="116" spans="1:9" s="1390" customFormat="1" ht="23.25">
      <c r="A116" s="1319">
        <v>149</v>
      </c>
      <c r="B116" s="1320"/>
      <c r="C116" s="1321" t="str">
        <f t="shared" si="1"/>
        <v>Genf</v>
      </c>
      <c r="D116" s="1326"/>
      <c r="E116" s="1327" t="s">
        <v>129</v>
      </c>
      <c r="F116" s="1328" t="s">
        <v>378</v>
      </c>
      <c r="G116" s="1329" t="s">
        <v>1437</v>
      </c>
      <c r="I116" s="1388"/>
    </row>
    <row r="117" spans="1:9" s="1390" customFormat="1" ht="23.25">
      <c r="A117" s="1319">
        <v>150</v>
      </c>
      <c r="B117" s="1320"/>
      <c r="C117" s="1321" t="str">
        <f t="shared" si="1"/>
        <v>Gewerbe</v>
      </c>
      <c r="D117" s="1326"/>
      <c r="E117" s="1327" t="s">
        <v>360</v>
      </c>
      <c r="F117" s="1328" t="s">
        <v>722</v>
      </c>
      <c r="G117" s="1329" t="s">
        <v>1438</v>
      </c>
      <c r="I117" s="1388"/>
    </row>
    <row r="118" spans="1:9" s="1390" customFormat="1" ht="23.25">
      <c r="A118" s="1319">
        <v>153</v>
      </c>
      <c r="B118" s="1320"/>
      <c r="C118" s="1321" t="str">
        <f t="shared" si="1"/>
        <v>Grundlagedaten</v>
      </c>
      <c r="D118" s="1326"/>
      <c r="E118" s="1327" t="s">
        <v>337</v>
      </c>
      <c r="F118" s="1328" t="s">
        <v>527</v>
      </c>
      <c r="G118" s="1329" t="s">
        <v>1439</v>
      </c>
      <c r="I118" s="1388"/>
    </row>
    <row r="119" spans="1:9" s="1390" customFormat="1" ht="23.25">
      <c r="A119" s="1319">
        <v>155</v>
      </c>
      <c r="B119" s="1320"/>
      <c r="C119" s="1321" t="str">
        <f t="shared" si="1"/>
        <v>GWP Kältemittel</v>
      </c>
      <c r="D119" s="1326"/>
      <c r="E119" s="1327" t="s">
        <v>51</v>
      </c>
      <c r="F119" s="1328" t="s">
        <v>723</v>
      </c>
      <c r="G119" s="1329" t="s">
        <v>1440</v>
      </c>
      <c r="I119" s="1388"/>
    </row>
    <row r="120" spans="1:9" s="1390" customFormat="1" ht="23.25">
      <c r="A120" s="1319">
        <v>156</v>
      </c>
      <c r="B120" s="1320"/>
      <c r="C120" s="1321" t="str">
        <f t="shared" si="1"/>
        <v>Herbst</v>
      </c>
      <c r="D120" s="1326"/>
      <c r="E120" s="1327" t="s">
        <v>121</v>
      </c>
      <c r="F120" s="1328" t="s">
        <v>376</v>
      </c>
      <c r="G120" s="1329" t="s">
        <v>1441</v>
      </c>
      <c r="I120" s="1388"/>
    </row>
    <row r="121" spans="1:9" s="1390" customFormat="1" ht="23.25">
      <c r="A121" s="1319">
        <v>157</v>
      </c>
      <c r="B121" s="1320"/>
      <c r="C121" s="1321" t="str">
        <f t="shared" si="1"/>
        <v>Hilfsbetriebe «kalte Seite»</v>
      </c>
      <c r="D121" s="1326"/>
      <c r="E121" s="1327" t="s">
        <v>162</v>
      </c>
      <c r="F121" s="1328" t="s">
        <v>528</v>
      </c>
      <c r="G121" s="1329" t="s">
        <v>1442</v>
      </c>
      <c r="I121" s="1388"/>
    </row>
    <row r="122" spans="1:9" s="1390" customFormat="1" ht="23.25">
      <c r="A122" s="1319">
        <v>158</v>
      </c>
      <c r="B122" s="1320"/>
      <c r="C122" s="1321" t="str">
        <f t="shared" si="1"/>
        <v>Hilfsbetriebe «warme Seite»</v>
      </c>
      <c r="D122" s="1326"/>
      <c r="E122" s="1327" t="s">
        <v>161</v>
      </c>
      <c r="F122" s="1328" t="s">
        <v>529</v>
      </c>
      <c r="G122" s="1329" t="s">
        <v>694</v>
      </c>
      <c r="I122" s="1388"/>
    </row>
    <row r="123" spans="1:9" s="1390" customFormat="1" ht="23.25">
      <c r="A123" s="1319">
        <v>159</v>
      </c>
      <c r="B123" s="1320"/>
      <c r="C123" s="1321" t="str">
        <f t="shared" si="1"/>
        <v>Hinweis</v>
      </c>
      <c r="D123" s="1326"/>
      <c r="E123" s="1327" t="s">
        <v>252</v>
      </c>
      <c r="F123" s="1328" t="s">
        <v>477</v>
      </c>
      <c r="G123" s="1329" t="s">
        <v>692</v>
      </c>
      <c r="I123" s="1388"/>
    </row>
    <row r="124" spans="1:9" s="1390" customFormat="1" ht="23.25">
      <c r="A124" s="1319">
        <v>160</v>
      </c>
      <c r="B124" s="1320"/>
      <c r="C124" s="1321" t="str">
        <f t="shared" si="1"/>
        <v>Illustration des jährlichen CO2-Ausstosses</v>
      </c>
      <c r="D124" s="1326"/>
      <c r="E124" s="1327" t="s">
        <v>332</v>
      </c>
      <c r="F124" s="1328" t="s">
        <v>530</v>
      </c>
      <c r="G124" s="1329" t="s">
        <v>1443</v>
      </c>
      <c r="I124" s="1388"/>
    </row>
    <row r="125" spans="1:9" s="1390" customFormat="1" ht="23.25">
      <c r="A125" s="1319">
        <v>161</v>
      </c>
      <c r="B125" s="1320"/>
      <c r="C125" s="1321" t="str">
        <f t="shared" si="1"/>
        <v>Industrie</v>
      </c>
      <c r="D125" s="1326"/>
      <c r="E125" s="1327" t="s">
        <v>70</v>
      </c>
      <c r="F125" s="1328" t="s">
        <v>70</v>
      </c>
      <c r="G125" s="1329" t="s">
        <v>1444</v>
      </c>
      <c r="I125" s="1388"/>
    </row>
    <row r="126" spans="1:9" s="1390" customFormat="1" ht="23.25">
      <c r="A126" s="1319">
        <v>162</v>
      </c>
      <c r="B126" s="1320"/>
      <c r="C126" s="1321" t="str">
        <f t="shared" si="1"/>
        <v>Innen-Pumpen für die Besprühung</v>
      </c>
      <c r="D126" s="1326"/>
      <c r="E126" s="1327" t="s">
        <v>1122</v>
      </c>
      <c r="F126" s="1328" t="s">
        <v>531</v>
      </c>
      <c r="G126" s="1329" t="s">
        <v>695</v>
      </c>
      <c r="I126" s="1388"/>
    </row>
    <row r="127" spans="1:9" s="1390" customFormat="1" ht="23.25">
      <c r="A127" s="1319">
        <v>164</v>
      </c>
      <c r="B127" s="1320"/>
      <c r="C127" s="1321" t="str">
        <f t="shared" si="1"/>
        <v>Intern-Pumpen für die Besprühung</v>
      </c>
      <c r="D127" s="1326"/>
      <c r="E127" s="1327" t="s">
        <v>1123</v>
      </c>
      <c r="F127" s="1328" t="s">
        <v>532</v>
      </c>
      <c r="G127" s="1329" t="s">
        <v>1445</v>
      </c>
      <c r="I127" s="1388"/>
    </row>
    <row r="128" spans="1:9" s="1390" customFormat="1" ht="23.25">
      <c r="A128" s="1319">
        <v>165</v>
      </c>
      <c r="B128" s="1320"/>
      <c r="C128" s="1321" t="str">
        <f t="shared" si="1"/>
        <v>Investitionskosten</v>
      </c>
      <c r="D128" s="1326"/>
      <c r="E128" s="1327" t="s">
        <v>231</v>
      </c>
      <c r="F128" s="1328" t="s">
        <v>533</v>
      </c>
      <c r="G128" s="1329" t="s">
        <v>1446</v>
      </c>
      <c r="I128" s="1388"/>
    </row>
    <row r="129" spans="1:9" s="1390" customFormat="1" ht="23.25">
      <c r="A129" s="1319">
        <v>167</v>
      </c>
      <c r="B129" s="1320"/>
      <c r="C129" s="1321" t="str">
        <f t="shared" si="1"/>
        <v>Ja</v>
      </c>
      <c r="D129" s="1326"/>
      <c r="E129" s="1327" t="s">
        <v>238</v>
      </c>
      <c r="F129" s="1328" t="s">
        <v>534</v>
      </c>
      <c r="G129" s="1329" t="s">
        <v>1447</v>
      </c>
      <c r="I129" s="1388"/>
    </row>
    <row r="130" spans="1:9" s="1390" customFormat="1" ht="23.25">
      <c r="A130" s="1319">
        <v>168</v>
      </c>
      <c r="B130" s="1320"/>
      <c r="C130" s="1321" t="str">
        <f t="shared" si="1"/>
        <v>Jahr</v>
      </c>
      <c r="D130" s="1326"/>
      <c r="E130" s="1327" t="s">
        <v>124</v>
      </c>
      <c r="F130" s="1328" t="s">
        <v>377</v>
      </c>
      <c r="G130" s="1334" t="s">
        <v>1448</v>
      </c>
      <c r="I130" s="1388"/>
    </row>
    <row r="131" spans="1:9" s="1390" customFormat="1" ht="23.25">
      <c r="A131" s="1319">
        <v>169</v>
      </c>
      <c r="B131" s="1320"/>
      <c r="C131" s="1321" t="str">
        <f t="shared" si="1"/>
        <v>Jahre</v>
      </c>
      <c r="D131" s="1326"/>
      <c r="E131" s="1327" t="s">
        <v>27</v>
      </c>
      <c r="F131" s="1328" t="s">
        <v>535</v>
      </c>
      <c r="G131" s="1329" t="s">
        <v>1449</v>
      </c>
      <c r="I131" s="1388"/>
    </row>
    <row r="132" spans="1:9" s="1390" customFormat="1" ht="23.25">
      <c r="A132" s="1319">
        <v>170</v>
      </c>
      <c r="B132" s="1320"/>
      <c r="C132" s="1321" t="str">
        <f t="shared" si="1"/>
        <v>Jahreskosten</v>
      </c>
      <c r="D132" s="1326"/>
      <c r="E132" s="1327" t="s">
        <v>263</v>
      </c>
      <c r="F132" s="1328" t="s">
        <v>536</v>
      </c>
      <c r="G132" s="1329" t="s">
        <v>1450</v>
      </c>
      <c r="I132" s="1388"/>
    </row>
    <row r="133" spans="1:9" s="1390" customFormat="1" ht="23.25">
      <c r="A133" s="1319">
        <v>171</v>
      </c>
      <c r="B133" s="1320"/>
      <c r="C133" s="1321" t="str">
        <f t="shared" si="1"/>
        <v>Jahreskosten (CO2-neutraler Betrieb)</v>
      </c>
      <c r="D133" s="1326"/>
      <c r="E133" s="1327" t="s">
        <v>266</v>
      </c>
      <c r="F133" s="1328" t="s">
        <v>537</v>
      </c>
      <c r="G133" s="1333" t="s">
        <v>1034</v>
      </c>
      <c r="I133" s="1388"/>
    </row>
    <row r="134" spans="1:9" s="1390" customFormat="1" ht="23.25">
      <c r="A134" s="1319">
        <v>172</v>
      </c>
      <c r="B134" s="1320"/>
      <c r="C134" s="1321" t="str">
        <f t="shared" si="1"/>
        <v>Jährliche Kosten</v>
      </c>
      <c r="D134" s="1326"/>
      <c r="E134" s="1327" t="s">
        <v>274</v>
      </c>
      <c r="F134" s="1328" t="s">
        <v>536</v>
      </c>
      <c r="G134" s="1329" t="s">
        <v>1450</v>
      </c>
      <c r="I134" s="1388"/>
    </row>
    <row r="135" spans="1:9" s="1390" customFormat="1" ht="23.25">
      <c r="A135" s="1319">
        <v>173</v>
      </c>
      <c r="B135" s="1320"/>
      <c r="C135" s="1321" t="str">
        <f t="shared" si="1"/>
        <v>Jährliche Kosten (ökonomisch)</v>
      </c>
      <c r="D135" s="1326"/>
      <c r="E135" s="1327" t="s">
        <v>345</v>
      </c>
      <c r="F135" s="1328" t="s">
        <v>538</v>
      </c>
      <c r="G135" s="1329" t="s">
        <v>1451</v>
      </c>
      <c r="I135" s="1388"/>
    </row>
    <row r="136" spans="1:9" s="1390" customFormat="1" ht="30">
      <c r="A136" s="1319">
        <v>174</v>
      </c>
      <c r="B136" s="1320"/>
      <c r="C136" s="1321" t="str">
        <f t="shared" si="1"/>
        <v>Jährliche Kosten für einen klimaneutralen Betrieb (ökonomisch + ökologisch)</v>
      </c>
      <c r="D136" s="1326"/>
      <c r="E136" s="1327" t="s">
        <v>346</v>
      </c>
      <c r="F136" s="1328" t="s">
        <v>539</v>
      </c>
      <c r="G136" s="1329" t="s">
        <v>1452</v>
      </c>
      <c r="I136" s="1388"/>
    </row>
    <row r="137" spans="1:9" s="1390" customFormat="1" ht="23.25">
      <c r="A137" s="1319">
        <v>178</v>
      </c>
      <c r="B137" s="1320"/>
      <c r="C137" s="1321" t="str">
        <f t="shared" si="1"/>
        <v>Kälteproduktion der Anlage</v>
      </c>
      <c r="D137" s="1326"/>
      <c r="E137" s="1327" t="s">
        <v>678</v>
      </c>
      <c r="F137" s="1328" t="s">
        <v>540</v>
      </c>
      <c r="G137" s="1329" t="s">
        <v>1453</v>
      </c>
      <c r="I137" s="1388"/>
    </row>
    <row r="138" spans="1:9" s="1390" customFormat="1" ht="30">
      <c r="A138" s="1319">
        <v>179</v>
      </c>
      <c r="B138" s="1320"/>
      <c r="C138" s="1321" t="str">
        <f t="shared" si="1"/>
        <v>Kälteproduktion Planer-Werte</v>
      </c>
      <c r="D138" s="1326"/>
      <c r="E138" s="1327" t="s">
        <v>1124</v>
      </c>
      <c r="F138" s="1328" t="s">
        <v>541</v>
      </c>
      <c r="G138" s="1329" t="s">
        <v>1454</v>
      </c>
      <c r="I138" s="1388"/>
    </row>
    <row r="139" spans="1:9" s="1390" customFormat="1" ht="30">
      <c r="A139" s="1319">
        <v>180</v>
      </c>
      <c r="B139" s="1320"/>
      <c r="C139" s="1321" t="str">
        <f t="shared" si="1"/>
        <v>Kälteproduktion Profil</v>
      </c>
      <c r="D139" s="1326"/>
      <c r="E139" s="1327" t="s">
        <v>724</v>
      </c>
      <c r="F139" s="1328" t="s">
        <v>542</v>
      </c>
      <c r="G139" s="1329" t="s">
        <v>1455</v>
      </c>
      <c r="I139" s="1388"/>
    </row>
    <row r="140" spans="1:9" s="1390" customFormat="1" ht="23.25">
      <c r="A140" s="1319">
        <v>181</v>
      </c>
      <c r="B140" s="1320"/>
      <c r="C140" s="1321" t="str">
        <f t="shared" si="1"/>
        <v>Kälteleistung</v>
      </c>
      <c r="D140" s="1326"/>
      <c r="E140" s="1327" t="s">
        <v>196</v>
      </c>
      <c r="F140" s="1328" t="s">
        <v>725</v>
      </c>
      <c r="G140" s="1334" t="s">
        <v>1456</v>
      </c>
      <c r="I140" s="1388"/>
    </row>
    <row r="141" spans="1:9" s="1390" customFormat="1" ht="23.25">
      <c r="A141" s="1319">
        <v>182</v>
      </c>
      <c r="B141" s="1320"/>
      <c r="C141" s="1321" t="str">
        <f t="shared" si="1"/>
        <v>Kälteleistung Bedarf</v>
      </c>
      <c r="D141" s="1326"/>
      <c r="E141" s="1327" t="s">
        <v>260</v>
      </c>
      <c r="F141" s="1328" t="s">
        <v>726</v>
      </c>
      <c r="G141" s="1329" t="s">
        <v>1457</v>
      </c>
      <c r="I141" s="1388"/>
    </row>
    <row r="142" spans="1:9" s="1390" customFormat="1" ht="23.25">
      <c r="A142" s="1319">
        <v>183</v>
      </c>
      <c r="B142" s="1320"/>
      <c r="C142" s="1321" t="str">
        <f t="shared" ref="C142:C205" si="2">IF(C$12=F$12,F142,IF(C$12=G$12,G142,E142))</f>
        <v>Kälteleistung der Maschinen</v>
      </c>
      <c r="D142" s="1326"/>
      <c r="E142" s="1327" t="s">
        <v>281</v>
      </c>
      <c r="F142" s="1328" t="s">
        <v>727</v>
      </c>
      <c r="G142" s="1329" t="s">
        <v>1458</v>
      </c>
      <c r="I142" s="1388"/>
    </row>
    <row r="143" spans="1:9" s="1390" customFormat="1" ht="23.25">
      <c r="A143" s="1319">
        <v>184</v>
      </c>
      <c r="B143" s="1320"/>
      <c r="C143" s="1321" t="str">
        <f t="shared" si="2"/>
        <v>Kälteleistung installiert</v>
      </c>
      <c r="D143" s="1326"/>
      <c r="E143" s="1327" t="s">
        <v>261</v>
      </c>
      <c r="F143" s="1328" t="s">
        <v>728</v>
      </c>
      <c r="G143" s="1329" t="s">
        <v>1459</v>
      </c>
      <c r="I143" s="1388"/>
    </row>
    <row r="144" spans="1:9" s="1390" customFormat="1" ht="23.25">
      <c r="A144" s="1319">
        <v>185</v>
      </c>
      <c r="B144" s="1320"/>
      <c r="C144" s="1321" t="str">
        <f t="shared" si="2"/>
        <v>Kälteleistung Verdichter</v>
      </c>
      <c r="D144" s="1326"/>
      <c r="E144" s="1327" t="s">
        <v>354</v>
      </c>
      <c r="F144" s="1328" t="s">
        <v>729</v>
      </c>
      <c r="G144" s="1329" t="s">
        <v>1460</v>
      </c>
      <c r="I144" s="1388"/>
    </row>
    <row r="145" spans="1:9" s="1390" customFormat="1" ht="23.25">
      <c r="A145" s="1319">
        <v>186</v>
      </c>
      <c r="B145" s="1320"/>
      <c r="C145" s="1321" t="str">
        <f t="shared" si="2"/>
        <v>Kältemittel</v>
      </c>
      <c r="D145" s="1326"/>
      <c r="E145" s="1327" t="s">
        <v>18</v>
      </c>
      <c r="F145" s="1328" t="s">
        <v>543</v>
      </c>
      <c r="G145" s="1329" t="s">
        <v>1461</v>
      </c>
      <c r="I145" s="1388"/>
    </row>
    <row r="146" spans="1:9" s="1390" customFormat="1" ht="23.25">
      <c r="A146" s="1319">
        <v>187</v>
      </c>
      <c r="B146" s="1320"/>
      <c r="C146" s="1321" t="str">
        <f t="shared" si="2"/>
        <v>Kälteträgerpumpen</v>
      </c>
      <c r="D146" s="1326"/>
      <c r="E146" s="1327" t="s">
        <v>192</v>
      </c>
      <c r="F146" s="1328" t="s">
        <v>544</v>
      </c>
      <c r="G146" s="1329" t="s">
        <v>1462</v>
      </c>
      <c r="I146" s="1388"/>
    </row>
    <row r="147" spans="1:9" s="1390" customFormat="1" ht="23.25">
      <c r="A147" s="1319">
        <v>188</v>
      </c>
      <c r="B147" s="1320"/>
      <c r="C147" s="1321" t="str">
        <f t="shared" si="2"/>
        <v>Kaltwassertemperatur</v>
      </c>
      <c r="D147" s="1326"/>
      <c r="E147" s="1327" t="s">
        <v>343</v>
      </c>
      <c r="F147" s="1328" t="s">
        <v>730</v>
      </c>
      <c r="G147" s="1329" t="s">
        <v>1463</v>
      </c>
      <c r="I147" s="1388"/>
    </row>
    <row r="148" spans="1:9" s="1390" customFormat="1" ht="23.25">
      <c r="A148" s="1319">
        <v>189</v>
      </c>
      <c r="B148" s="1320"/>
      <c r="C148" s="1335" t="str">
        <f t="shared" si="2"/>
        <v>Effiziente Kälte</v>
      </c>
      <c r="D148" s="1326"/>
      <c r="E148" s="1327" t="s">
        <v>1327</v>
      </c>
      <c r="F148" s="1328" t="s">
        <v>1328</v>
      </c>
      <c r="G148" s="1333" t="s">
        <v>1329</v>
      </c>
      <c r="I148" s="1388"/>
    </row>
    <row r="149" spans="1:9" s="1390" customFormat="1" ht="30">
      <c r="A149" s="1319">
        <v>194</v>
      </c>
      <c r="B149" s="1320"/>
      <c r="C149" s="1321" t="str">
        <f t="shared" si="2"/>
        <v>Klima-Kälte (luftgekühlte Kaltwassersätze)</v>
      </c>
      <c r="D149" s="1326"/>
      <c r="E149" s="1327" t="s">
        <v>302</v>
      </c>
      <c r="F149" s="1328" t="s">
        <v>665</v>
      </c>
      <c r="G149" s="1329" t="s">
        <v>1464</v>
      </c>
      <c r="I149" s="1388"/>
    </row>
    <row r="150" spans="1:9" s="1390" customFormat="1" ht="30">
      <c r="A150" s="1319">
        <v>195</v>
      </c>
      <c r="B150" s="1320"/>
      <c r="C150" s="1321" t="str">
        <f t="shared" si="2"/>
        <v>Klima-Kälte (wassergekühlte Kaltwassersätze)</v>
      </c>
      <c r="D150" s="1326"/>
      <c r="E150" s="1327" t="s">
        <v>301</v>
      </c>
      <c r="F150" s="1328" t="s">
        <v>666</v>
      </c>
      <c r="G150" s="1333" t="s">
        <v>1118</v>
      </c>
      <c r="I150" s="1388"/>
    </row>
    <row r="151" spans="1:9" s="1390" customFormat="1" ht="30">
      <c r="A151" s="1319">
        <v>196</v>
      </c>
      <c r="B151" s="1320"/>
      <c r="C151" s="1321" t="str">
        <f t="shared" si="2"/>
        <v>Klima-Kälte Direktverdampfung (VRV-, VRF-Systeme)</v>
      </c>
      <c r="D151" s="1326"/>
      <c r="E151" s="1327" t="s">
        <v>71</v>
      </c>
      <c r="F151" s="1328" t="s">
        <v>668</v>
      </c>
      <c r="G151" s="1329" t="s">
        <v>1465</v>
      </c>
      <c r="I151" s="1388"/>
    </row>
    <row r="152" spans="1:9" s="1390" customFormat="1" ht="23.25">
      <c r="A152" s="1319">
        <v>197</v>
      </c>
      <c r="B152" s="1320"/>
      <c r="C152" s="1321" t="str">
        <f t="shared" si="2"/>
        <v>Klimarelevante Belastung (TEWI)</v>
      </c>
      <c r="D152" s="1326"/>
      <c r="E152" s="1327" t="s">
        <v>268</v>
      </c>
      <c r="F152" s="1328" t="s">
        <v>731</v>
      </c>
      <c r="G152" s="1329" t="s">
        <v>1466</v>
      </c>
      <c r="I152" s="1388"/>
    </row>
    <row r="153" spans="1:9" s="1390" customFormat="1" ht="23.25">
      <c r="A153" s="1319">
        <v>198</v>
      </c>
      <c r="B153" s="1320"/>
      <c r="C153" s="1321" t="str">
        <f t="shared" si="2"/>
        <v>Kompensationskosten</v>
      </c>
      <c r="D153" s="1326"/>
      <c r="E153" s="1327" t="s">
        <v>105</v>
      </c>
      <c r="F153" s="1328" t="s">
        <v>545</v>
      </c>
      <c r="G153" s="1329" t="s">
        <v>1467</v>
      </c>
      <c r="I153" s="1388"/>
    </row>
    <row r="154" spans="1:9" s="1390" customFormat="1" ht="23.25">
      <c r="A154" s="1319">
        <v>199</v>
      </c>
      <c r="B154" s="1320"/>
      <c r="C154" s="1321" t="str">
        <f t="shared" si="2"/>
        <v>Genf</v>
      </c>
      <c r="D154" s="1326"/>
      <c r="E154" s="1327" t="s">
        <v>129</v>
      </c>
      <c r="F154" s="1328" t="s">
        <v>378</v>
      </c>
      <c r="G154" s="1334" t="s">
        <v>1437</v>
      </c>
      <c r="I154" s="1388"/>
    </row>
    <row r="155" spans="1:9" s="1390" customFormat="1" ht="23.25">
      <c r="A155" s="1319">
        <v>200</v>
      </c>
      <c r="B155" s="1320"/>
      <c r="C155" s="1321" t="str">
        <f t="shared" si="2"/>
        <v>Konzept Kälteerzeugung</v>
      </c>
      <c r="D155" s="1326"/>
      <c r="E155" s="1327" t="s">
        <v>336</v>
      </c>
      <c r="F155" s="1328" t="s">
        <v>546</v>
      </c>
      <c r="G155" s="1329" t="s">
        <v>1468</v>
      </c>
      <c r="I155" s="1388"/>
    </row>
    <row r="156" spans="1:9" s="1390" customFormat="1" ht="23.25">
      <c r="A156" s="1319">
        <v>201</v>
      </c>
      <c r="B156" s="1320"/>
      <c r="C156" s="1321" t="str">
        <f t="shared" si="2"/>
        <v xml:space="preserve">Kosten </v>
      </c>
      <c r="D156" s="1326"/>
      <c r="E156" s="1327" t="s">
        <v>314</v>
      </c>
      <c r="F156" s="1328" t="s">
        <v>547</v>
      </c>
      <c r="G156" s="1329" t="s">
        <v>1469</v>
      </c>
      <c r="I156" s="1388"/>
    </row>
    <row r="157" spans="1:9" s="1390" customFormat="1" ht="23.25">
      <c r="A157" s="1319">
        <v>202</v>
      </c>
      <c r="B157" s="1320"/>
      <c r="C157" s="1321" t="str">
        <f t="shared" si="2"/>
        <v>Kosten CO2-Kompensation</v>
      </c>
      <c r="D157" s="1326"/>
      <c r="E157" s="1327" t="s">
        <v>285</v>
      </c>
      <c r="F157" s="1328" t="s">
        <v>548</v>
      </c>
      <c r="G157" s="1329" t="s">
        <v>1470</v>
      </c>
      <c r="I157" s="1388"/>
    </row>
    <row r="158" spans="1:9" s="1390" customFormat="1" ht="23.25">
      <c r="A158" s="1319">
        <v>203</v>
      </c>
      <c r="B158" s="1320"/>
      <c r="C158" s="1321" t="str">
        <f t="shared" si="2"/>
        <v>Kosten Präventiv-Wartung ohne Material</v>
      </c>
      <c r="D158" s="1326"/>
      <c r="E158" s="1327" t="s">
        <v>324</v>
      </c>
      <c r="F158" s="1328" t="s">
        <v>549</v>
      </c>
      <c r="G158" s="1329" t="s">
        <v>1471</v>
      </c>
      <c r="I158" s="1388"/>
    </row>
    <row r="159" spans="1:9" s="1390" customFormat="1" ht="23.25">
      <c r="A159" s="1331">
        <v>204</v>
      </c>
      <c r="B159" s="1320"/>
      <c r="C159" s="1321" t="str">
        <f t="shared" si="2"/>
        <v>mit Kältemaschine</v>
      </c>
      <c r="D159" s="1326"/>
      <c r="E159" s="1332" t="s">
        <v>839</v>
      </c>
      <c r="F159" s="1328" t="s">
        <v>1310</v>
      </c>
      <c r="G159" s="1333" t="s">
        <v>1304</v>
      </c>
      <c r="I159" s="1388"/>
    </row>
    <row r="160" spans="1:9" s="1390" customFormat="1" ht="23.25">
      <c r="A160" s="1319">
        <v>206</v>
      </c>
      <c r="B160" s="1320"/>
      <c r="C160" s="1321" t="str">
        <f t="shared" si="2"/>
        <v>Kühlleistungsbedarf</v>
      </c>
      <c r="D160" s="1326"/>
      <c r="E160" s="1327" t="s">
        <v>197</v>
      </c>
      <c r="F160" s="1328" t="s">
        <v>732</v>
      </c>
      <c r="G160" s="1329" t="s">
        <v>1472</v>
      </c>
      <c r="I160" s="1388"/>
    </row>
    <row r="161" spans="1:9" s="1390" customFormat="1" ht="23.25">
      <c r="A161" s="1319">
        <v>207</v>
      </c>
      <c r="B161" s="1320"/>
      <c r="C161" s="1321" t="str">
        <f t="shared" si="2"/>
        <v>Kühlleistungsbedarf (Gebäude)</v>
      </c>
      <c r="D161" s="1326"/>
      <c r="E161" s="1327" t="s">
        <v>141</v>
      </c>
      <c r="F161" s="1328" t="s">
        <v>733</v>
      </c>
      <c r="G161" s="1329" t="s">
        <v>1473</v>
      </c>
      <c r="I161" s="1388"/>
    </row>
    <row r="162" spans="1:9" s="1390" customFormat="1" ht="23.25">
      <c r="A162" s="1319">
        <v>209</v>
      </c>
      <c r="B162" s="1320"/>
      <c r="C162" s="1321" t="str">
        <f t="shared" si="2"/>
        <v>Last-Profile</v>
      </c>
      <c r="D162" s="1326"/>
      <c r="E162" s="1327" t="s">
        <v>133</v>
      </c>
      <c r="F162" s="1328" t="s">
        <v>550</v>
      </c>
      <c r="G162" s="1329" t="s">
        <v>1474</v>
      </c>
      <c r="I162" s="1388"/>
    </row>
    <row r="163" spans="1:9" s="1390" customFormat="1" ht="23.25">
      <c r="A163" s="1319">
        <v>211</v>
      </c>
      <c r="B163" s="1320"/>
      <c r="C163" s="1321" t="str">
        <f t="shared" si="2"/>
        <v>Laufzeit</v>
      </c>
      <c r="D163" s="1326"/>
      <c r="E163" s="1327" t="s">
        <v>137</v>
      </c>
      <c r="F163" s="1328" t="s">
        <v>551</v>
      </c>
      <c r="G163" s="1329" t="s">
        <v>1475</v>
      </c>
      <c r="I163" s="1388"/>
    </row>
    <row r="164" spans="1:9" s="1390" customFormat="1" ht="23.25">
      <c r="A164" s="1319">
        <v>213</v>
      </c>
      <c r="B164" s="1320"/>
      <c r="C164" s="1321" t="str">
        <f t="shared" si="2"/>
        <v>Laufzeit (effektive Dimensionierung)</v>
      </c>
      <c r="D164" s="1326"/>
      <c r="E164" s="1327" t="s">
        <v>142</v>
      </c>
      <c r="F164" s="1328" t="s">
        <v>734</v>
      </c>
      <c r="G164" s="1329" t="s">
        <v>1476</v>
      </c>
      <c r="I164" s="1388"/>
    </row>
    <row r="165" spans="1:9" s="1390" customFormat="1" ht="23.25">
      <c r="A165" s="1319">
        <v>214</v>
      </c>
      <c r="B165" s="1320"/>
      <c r="C165" s="1321" t="str">
        <f t="shared" si="2"/>
        <v>Laufzeit Maschine (pro Tag)</v>
      </c>
      <c r="D165" s="1326"/>
      <c r="E165" s="1327" t="s">
        <v>158</v>
      </c>
      <c r="F165" s="1328" t="s">
        <v>552</v>
      </c>
      <c r="G165" s="1329" t="s">
        <v>1477</v>
      </c>
      <c r="I165" s="1388"/>
    </row>
    <row r="166" spans="1:9" s="1390" customFormat="1" ht="23.25">
      <c r="A166" s="1319">
        <v>217</v>
      </c>
      <c r="B166" s="1320"/>
      <c r="C166" s="1321" t="str">
        <f t="shared" si="2"/>
        <v>Nutzungsdauer</v>
      </c>
      <c r="D166" s="1326"/>
      <c r="E166" s="1327" t="s">
        <v>1041</v>
      </c>
      <c r="F166" s="1328" t="s">
        <v>553</v>
      </c>
      <c r="G166" s="1329" t="s">
        <v>1478</v>
      </c>
      <c r="I166" s="1391"/>
    </row>
    <row r="167" spans="1:9" s="1390" customFormat="1" ht="23.25">
      <c r="A167" s="1319">
        <v>218</v>
      </c>
      <c r="B167" s="1320"/>
      <c r="C167" s="1321" t="str">
        <f t="shared" si="2"/>
        <v>Nutzungsdauer der Anlage</v>
      </c>
      <c r="D167" s="1326"/>
      <c r="E167" s="1327" t="s">
        <v>1042</v>
      </c>
      <c r="F167" s="1328" t="s">
        <v>735</v>
      </c>
      <c r="G167" s="1329" t="s">
        <v>697</v>
      </c>
      <c r="I167" s="1391"/>
    </row>
    <row r="168" spans="1:9" s="1390" customFormat="1" ht="30">
      <c r="A168" s="1319">
        <v>220</v>
      </c>
      <c r="B168" s="1320"/>
      <c r="C168" s="1321" t="str">
        <f t="shared" si="2"/>
        <v>Lebenszykluskosten CO2-neutraler Betrieb</v>
      </c>
      <c r="D168" s="1326"/>
      <c r="E168" s="1327" t="s">
        <v>365</v>
      </c>
      <c r="F168" s="1328" t="s">
        <v>650</v>
      </c>
      <c r="G168" s="1329" t="s">
        <v>1479</v>
      </c>
      <c r="I168" s="1388"/>
    </row>
    <row r="169" spans="1:9" s="1390" customFormat="1" ht="23.25">
      <c r="A169" s="1319">
        <v>221</v>
      </c>
      <c r="B169" s="1320"/>
      <c r="C169" s="1321" t="str">
        <f t="shared" si="2"/>
        <v>Lebenszykluskosten</v>
      </c>
      <c r="D169" s="1326"/>
      <c r="E169" s="1327" t="s">
        <v>273</v>
      </c>
      <c r="F169" s="1328" t="s">
        <v>649</v>
      </c>
      <c r="G169" s="1329" t="s">
        <v>1480</v>
      </c>
      <c r="I169" s="1388"/>
    </row>
    <row r="170" spans="1:9" s="1390" customFormat="1" ht="23.25">
      <c r="A170" s="1319">
        <v>222</v>
      </c>
      <c r="B170" s="1320"/>
      <c r="C170" s="1321" t="str">
        <f t="shared" si="2"/>
        <v>Lebenszykluskosten (Life Cycle Cost LCC)</v>
      </c>
      <c r="D170" s="1326"/>
      <c r="E170" s="1327" t="s">
        <v>275</v>
      </c>
      <c r="F170" s="1328" t="s">
        <v>1036</v>
      </c>
      <c r="G170" s="1329" t="s">
        <v>1481</v>
      </c>
      <c r="I170" s="1388"/>
    </row>
    <row r="171" spans="1:9" s="1390" customFormat="1" ht="23.25">
      <c r="A171" s="1319">
        <v>223</v>
      </c>
      <c r="B171" s="1320"/>
      <c r="C171" s="1321" t="str">
        <f t="shared" si="2"/>
        <v>Lebenszykluskosten (ökonomisch)</v>
      </c>
      <c r="D171" s="1326"/>
      <c r="E171" s="1327" t="s">
        <v>347</v>
      </c>
      <c r="F171" s="1328" t="s">
        <v>1037</v>
      </c>
      <c r="G171" s="1329" t="s">
        <v>1482</v>
      </c>
      <c r="I171" s="1388"/>
    </row>
    <row r="172" spans="1:9" s="1390" customFormat="1" ht="30">
      <c r="A172" s="1319">
        <v>224</v>
      </c>
      <c r="B172" s="1320"/>
      <c r="C172" s="1321" t="str">
        <f t="shared" si="2"/>
        <v>Lebenszykluskosten (CO2-neutraler Betrieb)</v>
      </c>
      <c r="D172" s="1326"/>
      <c r="E172" s="1327" t="s">
        <v>1033</v>
      </c>
      <c r="F172" s="1328" t="s">
        <v>1038</v>
      </c>
      <c r="G172" s="1333" t="s">
        <v>1035</v>
      </c>
      <c r="I172" s="1388"/>
    </row>
    <row r="173" spans="1:9" s="1390" customFormat="1" ht="23.25">
      <c r="A173" s="1319">
        <v>226</v>
      </c>
      <c r="B173" s="1320"/>
      <c r="C173" s="1321" t="str">
        <f t="shared" si="2"/>
        <v>Leckagerate pro Jahr</v>
      </c>
      <c r="D173" s="1326"/>
      <c r="E173" s="1327" t="s">
        <v>29</v>
      </c>
      <c r="F173" s="1328" t="s">
        <v>554</v>
      </c>
      <c r="G173" s="1329" t="s">
        <v>1483</v>
      </c>
      <c r="I173" s="1388"/>
    </row>
    <row r="174" spans="1:9" s="1390" customFormat="1" ht="23.25">
      <c r="A174" s="1319">
        <v>230</v>
      </c>
      <c r="B174" s="1320"/>
      <c r="C174" s="1321" t="str">
        <f t="shared" si="2"/>
        <v>Lugano</v>
      </c>
      <c r="D174" s="1326"/>
      <c r="E174" s="1327" t="s">
        <v>130</v>
      </c>
      <c r="F174" s="1328" t="s">
        <v>130</v>
      </c>
      <c r="G174" s="1334" t="s">
        <v>1484</v>
      </c>
      <c r="I174" s="1388"/>
    </row>
    <row r="175" spans="1:9" s="1390" customFormat="1" ht="23.25">
      <c r="A175" s="1319">
        <v>231</v>
      </c>
      <c r="B175" s="1320"/>
      <c r="C175" s="1321" t="str">
        <f t="shared" si="2"/>
        <v>manuelle Eingabe</v>
      </c>
      <c r="D175" s="1326"/>
      <c r="E175" s="1327" t="s">
        <v>96</v>
      </c>
      <c r="F175" s="1328" t="s">
        <v>555</v>
      </c>
      <c r="G175" s="1329" t="s">
        <v>1485</v>
      </c>
      <c r="I175" s="1388"/>
    </row>
    <row r="176" spans="1:9" s="1390" customFormat="1" ht="23.25">
      <c r="A176" s="1319">
        <v>232</v>
      </c>
      <c r="B176" s="1320"/>
      <c r="C176" s="1321" t="str">
        <f t="shared" si="2"/>
        <v>Maschine</v>
      </c>
      <c r="D176" s="1326"/>
      <c r="E176" s="1327" t="s">
        <v>160</v>
      </c>
      <c r="F176" s="1328" t="s">
        <v>556</v>
      </c>
      <c r="G176" s="1329" t="s">
        <v>1486</v>
      </c>
      <c r="I176" s="1388"/>
    </row>
    <row r="177" spans="1:9" s="1390" customFormat="1" ht="23.25">
      <c r="A177" s="1319">
        <v>233</v>
      </c>
      <c r="B177" s="1320"/>
      <c r="C177" s="1321" t="str">
        <f t="shared" si="2"/>
        <v>Technische Daten</v>
      </c>
      <c r="D177" s="1326"/>
      <c r="E177" s="1327" t="s">
        <v>672</v>
      </c>
      <c r="F177" s="1328" t="s">
        <v>673</v>
      </c>
      <c r="G177" s="1333" t="s">
        <v>674</v>
      </c>
      <c r="I177" s="1388"/>
    </row>
    <row r="178" spans="1:9" s="1390" customFormat="1" ht="23.25">
      <c r="A178" s="1319">
        <v>237</v>
      </c>
      <c r="B178" s="1320"/>
      <c r="C178" s="1321" t="str">
        <f t="shared" si="2"/>
        <v>Material (gerundet)</v>
      </c>
      <c r="D178" s="1326"/>
      <c r="E178" s="1327" t="s">
        <v>320</v>
      </c>
      <c r="F178" s="1328" t="s">
        <v>557</v>
      </c>
      <c r="G178" s="1329" t="s">
        <v>1487</v>
      </c>
      <c r="I178" s="1388"/>
    </row>
    <row r="179" spans="1:9" s="1390" customFormat="1" ht="23.25">
      <c r="A179" s="1319">
        <v>238</v>
      </c>
      <c r="B179" s="1320"/>
      <c r="C179" s="1321" t="str">
        <f t="shared" si="2"/>
        <v>Mittlere Aussentemperatur (0-24h)</v>
      </c>
      <c r="D179" s="1326"/>
      <c r="E179" s="1327" t="s">
        <v>355</v>
      </c>
      <c r="F179" s="1328" t="s">
        <v>558</v>
      </c>
      <c r="G179" s="1329" t="s">
        <v>1488</v>
      </c>
      <c r="I179" s="1388"/>
    </row>
    <row r="180" spans="1:9" s="1390" customFormat="1" ht="23.25">
      <c r="A180" s="1319">
        <v>239</v>
      </c>
      <c r="B180" s="1320"/>
      <c r="C180" s="1321" t="str">
        <f t="shared" si="2"/>
        <v>mittlere Kälteleistung Verdichter</v>
      </c>
      <c r="D180" s="1326"/>
      <c r="E180" s="1327" t="s">
        <v>198</v>
      </c>
      <c r="F180" s="1328" t="s">
        <v>757</v>
      </c>
      <c r="G180" s="1329" t="s">
        <v>645</v>
      </c>
      <c r="I180" s="1388"/>
    </row>
    <row r="181" spans="1:9" s="1390" customFormat="1" ht="23.25">
      <c r="A181" s="1319">
        <v>240</v>
      </c>
      <c r="B181" s="1320"/>
      <c r="C181" s="1321" t="str">
        <f t="shared" si="2"/>
        <v>Mittlere Temperaturen</v>
      </c>
      <c r="D181" s="1326"/>
      <c r="E181" s="1327" t="s">
        <v>126</v>
      </c>
      <c r="F181" s="1328" t="s">
        <v>559</v>
      </c>
      <c r="G181" s="1329" t="s">
        <v>1489</v>
      </c>
      <c r="I181" s="1388"/>
    </row>
    <row r="182" spans="1:9" s="1390" customFormat="1" ht="23.25">
      <c r="A182" s="1319">
        <v>241</v>
      </c>
      <c r="B182" s="1320"/>
      <c r="C182" s="1321" t="str">
        <f t="shared" si="2"/>
        <v>Montage auf Platz</v>
      </c>
      <c r="D182" s="1326"/>
      <c r="E182" s="1327" t="s">
        <v>304</v>
      </c>
      <c r="F182" s="1328" t="s">
        <v>560</v>
      </c>
      <c r="G182" s="1329" t="s">
        <v>1490</v>
      </c>
      <c r="I182" s="1388"/>
    </row>
    <row r="183" spans="1:9" s="1390" customFormat="1" ht="23.25">
      <c r="A183" s="1319">
        <v>242</v>
      </c>
      <c r="B183" s="1320"/>
      <c r="C183" s="1321" t="str">
        <f t="shared" si="2"/>
        <v>Name</v>
      </c>
      <c r="D183" s="1326"/>
      <c r="E183" s="1327" t="s">
        <v>5</v>
      </c>
      <c r="F183" s="1328" t="s">
        <v>379</v>
      </c>
      <c r="G183" s="1334" t="s">
        <v>1491</v>
      </c>
      <c r="I183" s="1388"/>
    </row>
    <row r="184" spans="1:9" s="1390" customFormat="1" ht="23.25">
      <c r="A184" s="1319">
        <v>243</v>
      </c>
      <c r="B184" s="1320"/>
      <c r="C184" s="1321" t="str">
        <f t="shared" si="2"/>
        <v>Name des Stromprodukts</v>
      </c>
      <c r="D184" s="1326"/>
      <c r="E184" s="1327" t="s">
        <v>77</v>
      </c>
      <c r="F184" s="1328" t="s">
        <v>561</v>
      </c>
      <c r="G184" s="1329" t="s">
        <v>1492</v>
      </c>
      <c r="I184" s="1388"/>
    </row>
    <row r="185" spans="1:9" s="1390" customFormat="1" ht="23.25">
      <c r="A185" s="1319">
        <v>244</v>
      </c>
      <c r="B185" s="1320"/>
      <c r="C185" s="1321" t="str">
        <f t="shared" si="2"/>
        <v>Naturmade Star Photovoltaik</v>
      </c>
      <c r="D185" s="1326"/>
      <c r="E185" s="1327" t="s">
        <v>88</v>
      </c>
      <c r="F185" s="1328" t="s">
        <v>562</v>
      </c>
      <c r="G185" s="1329" t="s">
        <v>1493</v>
      </c>
      <c r="I185" s="1388"/>
    </row>
    <row r="186" spans="1:9" s="1390" customFormat="1" ht="23.25">
      <c r="A186" s="1319">
        <v>245</v>
      </c>
      <c r="B186" s="1320"/>
      <c r="C186" s="1321" t="str">
        <f t="shared" si="2"/>
        <v>Naturmade Star Wasserkraft</v>
      </c>
      <c r="D186" s="1326"/>
      <c r="E186" s="1327" t="s">
        <v>86</v>
      </c>
      <c r="F186" s="1328" t="s">
        <v>563</v>
      </c>
      <c r="G186" s="1329" t="s">
        <v>1494</v>
      </c>
      <c r="I186" s="1388"/>
    </row>
    <row r="187" spans="1:9" s="1390" customFormat="1" ht="23.25">
      <c r="A187" s="1319">
        <v>246</v>
      </c>
      <c r="B187" s="1320"/>
      <c r="C187" s="1321" t="str">
        <f t="shared" si="2"/>
        <v>Naturmade Star Windkraft</v>
      </c>
      <c r="D187" s="1326"/>
      <c r="E187" s="1327" t="s">
        <v>87</v>
      </c>
      <c r="F187" s="1328" t="s">
        <v>564</v>
      </c>
      <c r="G187" s="1329" t="s">
        <v>1495</v>
      </c>
      <c r="I187" s="1388"/>
    </row>
    <row r="188" spans="1:9" s="1390" customFormat="1" ht="23.25">
      <c r="A188" s="1319">
        <v>247</v>
      </c>
      <c r="B188" s="1320"/>
      <c r="C188" s="1321" t="str">
        <f t="shared" si="2"/>
        <v>Nein</v>
      </c>
      <c r="D188" s="1326"/>
      <c r="E188" s="1327" t="s">
        <v>239</v>
      </c>
      <c r="F188" s="1328" t="s">
        <v>565</v>
      </c>
      <c r="G188" s="1329" t="s">
        <v>1496</v>
      </c>
      <c r="I188" s="1388"/>
    </row>
    <row r="189" spans="1:9" s="1390" customFormat="1" ht="23.25">
      <c r="A189" s="1319">
        <v>248</v>
      </c>
      <c r="B189" s="1320"/>
      <c r="C189" s="1321" t="str">
        <f t="shared" si="2"/>
        <v>Nutztemperatur</v>
      </c>
      <c r="D189" s="1326"/>
      <c r="E189" s="1327" t="s">
        <v>107</v>
      </c>
      <c r="F189" s="1328" t="s">
        <v>380</v>
      </c>
      <c r="G189" s="1334" t="s">
        <v>1497</v>
      </c>
      <c r="I189" s="1388"/>
    </row>
    <row r="190" spans="1:9" s="1390" customFormat="1" ht="23.25">
      <c r="A190" s="1319">
        <v>249</v>
      </c>
      <c r="B190" s="1320"/>
      <c r="C190" s="1321" t="str">
        <f t="shared" si="2"/>
        <v>Objekt</v>
      </c>
      <c r="D190" s="1326"/>
      <c r="E190" s="1327" t="s">
        <v>287</v>
      </c>
      <c r="F190" s="1328" t="s">
        <v>381</v>
      </c>
      <c r="G190" s="1334" t="s">
        <v>1498</v>
      </c>
      <c r="I190" s="1388"/>
    </row>
    <row r="191" spans="1:9" s="1390" customFormat="1" ht="23.25">
      <c r="A191" s="1319">
        <v>250</v>
      </c>
      <c r="B191" s="1320"/>
      <c r="C191" s="1321" t="str">
        <f t="shared" si="2"/>
        <v>P elektrisch</v>
      </c>
      <c r="D191" s="1326"/>
      <c r="E191" s="1327" t="s">
        <v>111</v>
      </c>
      <c r="F191" s="1328" t="s">
        <v>382</v>
      </c>
      <c r="G191" s="1334" t="s">
        <v>1499</v>
      </c>
      <c r="I191" s="1388"/>
    </row>
    <row r="192" spans="1:9" s="1390" customFormat="1" ht="23.25">
      <c r="A192" s="1319">
        <v>251</v>
      </c>
      <c r="B192" s="1320"/>
      <c r="C192" s="1321" t="str">
        <f t="shared" si="2"/>
        <v>Pe (korr.)</v>
      </c>
      <c r="D192" s="1326"/>
      <c r="E192" s="1327" t="s">
        <v>366</v>
      </c>
      <c r="F192" s="1328" t="s">
        <v>383</v>
      </c>
      <c r="G192" s="1334" t="s">
        <v>1500</v>
      </c>
      <c r="I192" s="1388"/>
    </row>
    <row r="193" spans="1:9" s="1390" customFormat="1" ht="23.25">
      <c r="A193" s="1319">
        <v>252</v>
      </c>
      <c r="B193" s="1320"/>
      <c r="C193" s="1321" t="str">
        <f t="shared" si="2"/>
        <v>Präventiv-Wartung &amp; Material</v>
      </c>
      <c r="D193" s="1326"/>
      <c r="E193" s="1327" t="s">
        <v>323</v>
      </c>
      <c r="F193" s="1328" t="s">
        <v>566</v>
      </c>
      <c r="G193" s="1329" t="s">
        <v>1501</v>
      </c>
      <c r="I193" s="1388"/>
    </row>
    <row r="194" spans="1:9" s="1390" customFormat="1" ht="23.25">
      <c r="A194" s="1319">
        <v>253</v>
      </c>
      <c r="B194" s="1320"/>
      <c r="C194" s="1321" t="str">
        <f t="shared" si="2"/>
        <v>Präventiv-Wartung ohne Material</v>
      </c>
      <c r="D194" s="1326"/>
      <c r="E194" s="1327" t="s">
        <v>326</v>
      </c>
      <c r="F194" s="1328" t="s">
        <v>567</v>
      </c>
      <c r="G194" s="1329" t="s">
        <v>1502</v>
      </c>
      <c r="I194" s="1388"/>
    </row>
    <row r="195" spans="1:9" s="1390" customFormat="1" ht="23.25">
      <c r="A195" s="1319">
        <v>254</v>
      </c>
      <c r="B195" s="1320"/>
      <c r="C195" s="1321" t="str">
        <f t="shared" si="2"/>
        <v>Preis CO2-Kompensation</v>
      </c>
      <c r="D195" s="1326"/>
      <c r="E195" s="1327" t="s">
        <v>81</v>
      </c>
      <c r="F195" s="1328" t="s">
        <v>568</v>
      </c>
      <c r="G195" s="1329" t="s">
        <v>1503</v>
      </c>
      <c r="I195" s="1388"/>
    </row>
    <row r="196" spans="1:9" s="1390" customFormat="1" ht="23.25">
      <c r="A196" s="1319">
        <v>255</v>
      </c>
      <c r="B196" s="1320"/>
      <c r="C196" s="1321" t="str">
        <f t="shared" si="2"/>
        <v xml:space="preserve">Pumpen im Rückkühlkreis </v>
      </c>
      <c r="D196" s="1326"/>
      <c r="E196" s="1327" t="s">
        <v>113</v>
      </c>
      <c r="F196" s="1328" t="s">
        <v>646</v>
      </c>
      <c r="G196" s="1329" t="s">
        <v>644</v>
      </c>
      <c r="I196" s="1388"/>
    </row>
    <row r="197" spans="1:9" s="1390" customFormat="1" ht="23.25">
      <c r="A197" s="1319">
        <v>256</v>
      </c>
      <c r="B197" s="1320"/>
      <c r="C197" s="1321" t="str">
        <f t="shared" si="2"/>
        <v>Quartal</v>
      </c>
      <c r="D197" s="1326"/>
      <c r="E197" s="1327" t="s">
        <v>138</v>
      </c>
      <c r="F197" s="1328" t="s">
        <v>569</v>
      </c>
      <c r="G197" s="1329" t="s">
        <v>1504</v>
      </c>
      <c r="I197" s="1388"/>
    </row>
    <row r="198" spans="1:9" s="1390" customFormat="1" ht="23.25">
      <c r="A198" s="1319">
        <v>257</v>
      </c>
      <c r="B198" s="1320"/>
      <c r="C198" s="1321" t="str">
        <f t="shared" si="2"/>
        <v>Quelle prüfen</v>
      </c>
      <c r="D198" s="1326"/>
      <c r="E198" s="1327" t="s">
        <v>256</v>
      </c>
      <c r="F198" s="1328" t="s">
        <v>570</v>
      </c>
      <c r="G198" s="1329" t="s">
        <v>1505</v>
      </c>
      <c r="I198" s="1388"/>
    </row>
    <row r="199" spans="1:9" s="1390" customFormat="1" ht="23.25">
      <c r="A199" s="1319">
        <v>258</v>
      </c>
      <c r="B199" s="1320"/>
      <c r="C199" s="1321" t="str">
        <f t="shared" si="2"/>
        <v>R1270 (Propylen)</v>
      </c>
      <c r="D199" s="1326"/>
      <c r="E199" s="1327" t="s">
        <v>308</v>
      </c>
      <c r="F199" s="1328" t="s">
        <v>571</v>
      </c>
      <c r="G199" s="1329" t="s">
        <v>1506</v>
      </c>
      <c r="I199" s="1388"/>
    </row>
    <row r="200" spans="1:9" s="1390" customFormat="1" ht="23.25">
      <c r="A200" s="1319">
        <v>259</v>
      </c>
      <c r="B200" s="1320"/>
      <c r="C200" s="1321" t="str">
        <f t="shared" si="2"/>
        <v>R290 (Propan)</v>
      </c>
      <c r="D200" s="1326"/>
      <c r="E200" s="1327" t="s">
        <v>307</v>
      </c>
      <c r="F200" s="1328" t="s">
        <v>572</v>
      </c>
      <c r="G200" s="1329" t="s">
        <v>1507</v>
      </c>
      <c r="I200" s="1388"/>
    </row>
    <row r="201" spans="1:9" s="1390" customFormat="1" ht="23.25">
      <c r="A201" s="1319">
        <v>260</v>
      </c>
      <c r="B201" s="1320"/>
      <c r="C201" s="1321" t="str">
        <f t="shared" si="2"/>
        <v>R717 (Ammoniak - NH3)</v>
      </c>
      <c r="D201" s="1326"/>
      <c r="E201" s="1327" t="s">
        <v>359</v>
      </c>
      <c r="F201" s="1328" t="s">
        <v>573</v>
      </c>
      <c r="G201" s="1329" t="s">
        <v>1508</v>
      </c>
      <c r="I201" s="1388"/>
    </row>
    <row r="202" spans="1:9" s="1390" customFormat="1" ht="23.25">
      <c r="A202" s="1319">
        <v>261</v>
      </c>
      <c r="B202" s="1320"/>
      <c r="C202" s="1321" t="str">
        <f t="shared" si="2"/>
        <v>R744  (CO2)</v>
      </c>
      <c r="D202" s="1326"/>
      <c r="E202" s="1327" t="s">
        <v>67</v>
      </c>
      <c r="F202" s="1328" t="s">
        <v>67</v>
      </c>
      <c r="G202" s="1329" t="s">
        <v>1509</v>
      </c>
      <c r="I202" s="1388"/>
    </row>
    <row r="203" spans="1:9" s="1390" customFormat="1" ht="23.25">
      <c r="A203" s="1319">
        <v>262</v>
      </c>
      <c r="B203" s="1320"/>
      <c r="C203" s="1321" t="str">
        <f t="shared" si="2"/>
        <v>Raumlufttemperatur</v>
      </c>
      <c r="D203" s="1326"/>
      <c r="E203" s="1327" t="s">
        <v>342</v>
      </c>
      <c r="F203" s="1328" t="s">
        <v>574</v>
      </c>
      <c r="G203" s="1329" t="s">
        <v>1510</v>
      </c>
      <c r="I203" s="1388"/>
    </row>
    <row r="204" spans="1:9" s="1390" customFormat="1" ht="23.25">
      <c r="A204" s="1319">
        <v>264</v>
      </c>
      <c r="B204" s="1320"/>
      <c r="C204" s="1321" t="str">
        <f t="shared" si="2"/>
        <v>Recycling-Faktor</v>
      </c>
      <c r="D204" s="1326"/>
      <c r="E204" s="1327" t="s">
        <v>72</v>
      </c>
      <c r="F204" s="1328" t="s">
        <v>575</v>
      </c>
      <c r="G204" s="1329" t="s">
        <v>1511</v>
      </c>
      <c r="I204" s="1388"/>
    </row>
    <row r="205" spans="1:9" s="1390" customFormat="1" ht="23.25">
      <c r="A205" s="1319">
        <v>265</v>
      </c>
      <c r="B205" s="1320"/>
      <c r="C205" s="1321" t="str">
        <f t="shared" si="2"/>
        <v>Regelung</v>
      </c>
      <c r="D205" s="1326"/>
      <c r="E205" s="1327" t="s">
        <v>151</v>
      </c>
      <c r="F205" s="1328" t="s">
        <v>576</v>
      </c>
      <c r="G205" s="1329" t="s">
        <v>1512</v>
      </c>
      <c r="I205" s="1388"/>
    </row>
    <row r="206" spans="1:9" s="1390" customFormat="1" ht="23.25">
      <c r="A206" s="1319">
        <v>266</v>
      </c>
      <c r="B206" s="1320"/>
      <c r="C206" s="1321" t="str">
        <f t="shared" ref="C206:C269" si="3">IF(C$12=F$12,F206,IF(C$12=G$12,G206,E206))</f>
        <v>Regelungsart</v>
      </c>
      <c r="D206" s="1326"/>
      <c r="E206" s="1327" t="s">
        <v>112</v>
      </c>
      <c r="F206" s="1328" t="s">
        <v>384</v>
      </c>
      <c r="G206" s="1334" t="s">
        <v>1513</v>
      </c>
      <c r="I206" s="1388"/>
    </row>
    <row r="207" spans="1:9" s="1390" customFormat="1" ht="30">
      <c r="A207" s="1319">
        <v>268</v>
      </c>
      <c r="B207" s="1320"/>
      <c r="C207" s="1321" t="str">
        <f t="shared" si="3"/>
        <v>Rückkühlmediums-Temperatur</v>
      </c>
      <c r="D207" s="1326"/>
      <c r="E207" s="1327" t="s">
        <v>1125</v>
      </c>
      <c r="F207" s="1328" t="s">
        <v>654</v>
      </c>
      <c r="G207" s="1333" t="s">
        <v>696</v>
      </c>
      <c r="I207" s="1388"/>
    </row>
    <row r="208" spans="1:9" s="1390" customFormat="1" ht="23.25">
      <c r="A208" s="1319">
        <v>271</v>
      </c>
      <c r="B208" s="1320"/>
      <c r="C208" s="1321" t="str">
        <f t="shared" si="3"/>
        <v>Schweizer Verbrauchsmix</v>
      </c>
      <c r="D208" s="1326"/>
      <c r="E208" s="1327" t="s">
        <v>68</v>
      </c>
      <c r="F208" s="1328" t="s">
        <v>810</v>
      </c>
      <c r="G208" s="1329" t="s">
        <v>1514</v>
      </c>
      <c r="I208" s="1388"/>
    </row>
    <row r="209" spans="1:9" s="1390" customFormat="1" ht="45">
      <c r="A209" s="1319">
        <v>272</v>
      </c>
      <c r="B209" s="1320"/>
      <c r="C209" s="1321" t="str">
        <f t="shared" si="3"/>
        <v>So viele Kilometer können Sie mit einem Mittelklassewagen (7.5 Liter/100 km) pro Jahr fahren</v>
      </c>
      <c r="D209" s="1326"/>
      <c r="E209" s="1327" t="s">
        <v>40</v>
      </c>
      <c r="F209" s="1328" t="s">
        <v>577</v>
      </c>
      <c r="G209" s="1329" t="s">
        <v>1515</v>
      </c>
      <c r="I209" s="1388"/>
    </row>
    <row r="210" spans="1:9" s="1390" customFormat="1" ht="25.5">
      <c r="A210" s="1319">
        <v>273</v>
      </c>
      <c r="B210" s="1320"/>
      <c r="C210" s="1321" t="str">
        <f t="shared" si="3"/>
        <v>So viele kosten die Kompensation des CO2 pro Jahr</v>
      </c>
      <c r="D210" s="1326"/>
      <c r="E210" s="1327" t="s">
        <v>785</v>
      </c>
      <c r="F210" s="1328" t="s">
        <v>786</v>
      </c>
      <c r="G210" s="1329" t="s">
        <v>1516</v>
      </c>
      <c r="I210" s="1388"/>
    </row>
    <row r="211" spans="1:9" s="1390" customFormat="1" ht="23.25">
      <c r="A211" s="1319">
        <v>274</v>
      </c>
      <c r="B211" s="1320"/>
      <c r="C211" s="1321" t="str">
        <f t="shared" si="3"/>
        <v>So viele Lastwagen mit ...</v>
      </c>
      <c r="D211" s="1326"/>
      <c r="E211" s="1327" t="s">
        <v>45</v>
      </c>
      <c r="F211" s="1328" t="s">
        <v>578</v>
      </c>
      <c r="G211" s="1329" t="s">
        <v>1517</v>
      </c>
      <c r="I211" s="1388"/>
    </row>
    <row r="212" spans="1:9" s="1390" customFormat="1" ht="23.25">
      <c r="A212" s="1319">
        <v>275</v>
      </c>
      <c r="B212" s="1320"/>
      <c r="C212" s="1321" t="str">
        <f t="shared" si="3"/>
        <v>Sommer</v>
      </c>
      <c r="D212" s="1326"/>
      <c r="E212" s="1327" t="s">
        <v>120</v>
      </c>
      <c r="F212" s="1328" t="s">
        <v>385</v>
      </c>
      <c r="G212" s="1334" t="s">
        <v>1518</v>
      </c>
      <c r="I212" s="1388"/>
    </row>
    <row r="213" spans="1:9" s="1390" customFormat="1" ht="23.25">
      <c r="A213" s="1319">
        <v>276</v>
      </c>
      <c r="B213" s="1320"/>
      <c r="C213" s="1321" t="str">
        <f t="shared" si="3"/>
        <v>St. Gallen</v>
      </c>
      <c r="D213" s="1326"/>
      <c r="E213" s="1327" t="s">
        <v>131</v>
      </c>
      <c r="F213" s="1328" t="s">
        <v>386</v>
      </c>
      <c r="G213" s="1334" t="s">
        <v>1519</v>
      </c>
      <c r="I213" s="1388"/>
    </row>
    <row r="214" spans="1:9" s="1390" customFormat="1" ht="23.25">
      <c r="A214" s="1319">
        <v>277</v>
      </c>
      <c r="B214" s="1320"/>
      <c r="C214" s="1321" t="str">
        <f t="shared" si="3"/>
        <v>Standard-Profil</v>
      </c>
      <c r="D214" s="1326"/>
      <c r="E214" s="1327" t="s">
        <v>180</v>
      </c>
      <c r="F214" s="1328" t="s">
        <v>579</v>
      </c>
      <c r="G214" s="1329" t="s">
        <v>1520</v>
      </c>
      <c r="I214" s="1388"/>
    </row>
    <row r="215" spans="1:9" s="1390" customFormat="1" ht="23.25">
      <c r="A215" s="1319">
        <v>278</v>
      </c>
      <c r="B215" s="1320"/>
      <c r="C215" s="1321" t="str">
        <f t="shared" si="3"/>
        <v>Standard-Werte</v>
      </c>
      <c r="D215" s="1326"/>
      <c r="E215" s="1327" t="s">
        <v>315</v>
      </c>
      <c r="F215" s="1328" t="s">
        <v>580</v>
      </c>
      <c r="G215" s="1329" t="s">
        <v>1521</v>
      </c>
      <c r="I215" s="1388"/>
    </row>
    <row r="216" spans="1:9" s="1390" customFormat="1" ht="23.25">
      <c r="A216" s="1319">
        <v>279</v>
      </c>
      <c r="B216" s="1320"/>
      <c r="C216" s="1321" t="str">
        <f t="shared" si="3"/>
        <v>Standard-Werte für Berechnung</v>
      </c>
      <c r="D216" s="1326"/>
      <c r="E216" s="1327" t="s">
        <v>50</v>
      </c>
      <c r="F216" s="1328" t="s">
        <v>581</v>
      </c>
      <c r="G216" s="1329" t="s">
        <v>1522</v>
      </c>
      <c r="I216" s="1388"/>
    </row>
    <row r="217" spans="1:9" s="1390" customFormat="1" ht="23.25">
      <c r="A217" s="1319">
        <v>280</v>
      </c>
      <c r="B217" s="1320"/>
      <c r="C217" s="1321" t="str">
        <f t="shared" si="3"/>
        <v>Standort (Klima entspricht etwa...)</v>
      </c>
      <c r="D217" s="1326"/>
      <c r="E217" s="1327" t="s">
        <v>115</v>
      </c>
      <c r="F217" s="1328" t="s">
        <v>582</v>
      </c>
      <c r="G217" s="1329" t="s">
        <v>1523</v>
      </c>
      <c r="I217" s="1388"/>
    </row>
    <row r="218" spans="1:9" s="1390" customFormat="1" ht="23.25">
      <c r="A218" s="1319">
        <v>282</v>
      </c>
      <c r="B218" s="1320"/>
      <c r="C218" s="1321" t="str">
        <f t="shared" si="3"/>
        <v>Strom-Mix</v>
      </c>
      <c r="D218" s="1326"/>
      <c r="E218" s="1327" t="s">
        <v>23</v>
      </c>
      <c r="F218" s="1328" t="s">
        <v>583</v>
      </c>
      <c r="G218" s="1329" t="s">
        <v>1524</v>
      </c>
      <c r="I218" s="1388"/>
    </row>
    <row r="219" spans="1:9" s="1390" customFormat="1" ht="23.25">
      <c r="A219" s="1319">
        <v>284</v>
      </c>
      <c r="B219" s="1320"/>
      <c r="C219" s="1321" t="str">
        <f t="shared" si="3"/>
        <v>Strompreis</v>
      </c>
      <c r="D219" s="1326"/>
      <c r="E219" s="1327" t="s">
        <v>233</v>
      </c>
      <c r="F219" s="1328" t="s">
        <v>584</v>
      </c>
      <c r="G219" s="1329" t="s">
        <v>1525</v>
      </c>
      <c r="I219" s="1388"/>
    </row>
    <row r="220" spans="1:9" s="1390" customFormat="1" ht="23.25">
      <c r="A220" s="1319">
        <v>285</v>
      </c>
      <c r="B220" s="1320"/>
      <c r="C220" s="1321" t="str">
        <f t="shared" si="3"/>
        <v>Stromprodukte</v>
      </c>
      <c r="D220" s="1326"/>
      <c r="E220" s="1327" t="s">
        <v>76</v>
      </c>
      <c r="F220" s="1328" t="s">
        <v>585</v>
      </c>
      <c r="G220" s="1329" t="s">
        <v>1526</v>
      </c>
      <c r="I220" s="1388"/>
    </row>
    <row r="221" spans="1:9" s="1390" customFormat="1" ht="23.25">
      <c r="A221" s="1319">
        <v>286</v>
      </c>
      <c r="B221" s="1320"/>
      <c r="C221" s="1321" t="str">
        <f t="shared" si="3"/>
        <v>Stromverbrauch Maschine</v>
      </c>
      <c r="D221" s="1326"/>
      <c r="E221" s="1327" t="s">
        <v>149</v>
      </c>
      <c r="F221" s="1328" t="s">
        <v>586</v>
      </c>
      <c r="G221" s="1329" t="s">
        <v>1527</v>
      </c>
      <c r="I221" s="1388"/>
    </row>
    <row r="222" spans="1:9" s="1390" customFormat="1" ht="23.25">
      <c r="A222" s="1319">
        <v>287</v>
      </c>
      <c r="B222" s="1320"/>
      <c r="C222" s="1321" t="str">
        <f t="shared" si="3"/>
        <v>Stromverbrauch Verdichter</v>
      </c>
      <c r="D222" s="1326"/>
      <c r="E222" s="1327" t="s">
        <v>216</v>
      </c>
      <c r="F222" s="1328" t="s">
        <v>587</v>
      </c>
      <c r="G222" s="1329" t="s">
        <v>1528</v>
      </c>
      <c r="I222" s="1388"/>
    </row>
    <row r="223" spans="1:9" s="1390" customFormat="1" ht="23.25">
      <c r="A223" s="1319">
        <v>288</v>
      </c>
      <c r="B223" s="1320"/>
      <c r="C223" s="1321" t="str">
        <f t="shared" si="3"/>
        <v>Stunden pro Quartal</v>
      </c>
      <c r="D223" s="1326"/>
      <c r="E223" s="1327" t="s">
        <v>200</v>
      </c>
      <c r="F223" s="1328" t="s">
        <v>588</v>
      </c>
      <c r="G223" s="1329" t="s">
        <v>1529</v>
      </c>
      <c r="I223" s="1388"/>
    </row>
    <row r="224" spans="1:9" s="1390" customFormat="1" ht="23.25">
      <c r="A224" s="1319">
        <v>289</v>
      </c>
      <c r="B224" s="1320"/>
      <c r="C224" s="1321" t="str">
        <f t="shared" si="3"/>
        <v>Supermarkt</v>
      </c>
      <c r="D224" s="1326"/>
      <c r="E224" s="1327" t="s">
        <v>17</v>
      </c>
      <c r="F224" s="1328" t="s">
        <v>589</v>
      </c>
      <c r="G224" s="1329" t="s">
        <v>1530</v>
      </c>
      <c r="I224" s="1388"/>
    </row>
    <row r="225" spans="1:9" s="1390" customFormat="1" ht="23.25">
      <c r="A225" s="1319">
        <v>290</v>
      </c>
      <c r="B225" s="1320"/>
      <c r="C225" s="1321" t="str">
        <f t="shared" si="3"/>
        <v>Tage pro Quartal</v>
      </c>
      <c r="D225" s="1326"/>
      <c r="E225" s="1327" t="s">
        <v>147</v>
      </c>
      <c r="F225" s="1328" t="s">
        <v>590</v>
      </c>
      <c r="G225" s="1329" t="s">
        <v>1531</v>
      </c>
      <c r="I225" s="1388"/>
    </row>
    <row r="226" spans="1:9" s="1390" customFormat="1" ht="30">
      <c r="A226" s="1319">
        <v>291</v>
      </c>
      <c r="B226" s="1320"/>
      <c r="C226" s="1321" t="str">
        <f t="shared" si="3"/>
        <v>Tagesmitteltemperaturen (5:40 bis 17:40 Uhr)</v>
      </c>
      <c r="D226" s="1326"/>
      <c r="E226" s="1327" t="s">
        <v>293</v>
      </c>
      <c r="F226" s="1328" t="s">
        <v>591</v>
      </c>
      <c r="G226" s="1329" t="s">
        <v>1532</v>
      </c>
      <c r="I226" s="1388"/>
    </row>
    <row r="227" spans="1:9" s="1390" customFormat="1" ht="23.25">
      <c r="A227" s="1319">
        <v>292</v>
      </c>
      <c r="B227" s="1320"/>
      <c r="C227" s="1321" t="str">
        <f t="shared" si="3"/>
        <v>Tanklastwagen</v>
      </c>
      <c r="D227" s="1326"/>
      <c r="E227" s="1327" t="s">
        <v>74</v>
      </c>
      <c r="F227" s="1328" t="s">
        <v>592</v>
      </c>
      <c r="G227" s="1329" t="s">
        <v>1533</v>
      </c>
      <c r="I227" s="1388"/>
    </row>
    <row r="228" spans="1:9" s="1390" customFormat="1" ht="23.25">
      <c r="A228" s="1319">
        <v>293</v>
      </c>
      <c r="B228" s="1320"/>
      <c r="C228" s="1321" t="str">
        <f t="shared" si="3"/>
        <v>«Teillast-Bonus»</v>
      </c>
      <c r="D228" s="1326"/>
      <c r="E228" s="1327" t="s">
        <v>356</v>
      </c>
      <c r="F228" s="1328" t="s">
        <v>593</v>
      </c>
      <c r="G228" s="1329" t="s">
        <v>1534</v>
      </c>
      <c r="I228" s="1388"/>
    </row>
    <row r="229" spans="1:9" s="1390" customFormat="1" ht="23.25">
      <c r="A229" s="1319">
        <v>294</v>
      </c>
      <c r="B229" s="1320"/>
      <c r="C229" s="1321" t="str">
        <f t="shared" si="3"/>
        <v>Temperaturen</v>
      </c>
      <c r="D229" s="1326"/>
      <c r="E229" s="1327" t="s">
        <v>334</v>
      </c>
      <c r="F229" s="1328" t="s">
        <v>387</v>
      </c>
      <c r="G229" s="1334" t="s">
        <v>1535</v>
      </c>
      <c r="I229" s="1388"/>
    </row>
    <row r="230" spans="1:9" s="1390" customFormat="1" ht="30">
      <c r="A230" s="1319">
        <v>295</v>
      </c>
      <c r="B230" s="1320"/>
      <c r="C230" s="1321" t="str">
        <f t="shared" si="3"/>
        <v>TEWI (Total Equivalent Warming Impact = Treibhauseffekt)</v>
      </c>
      <c r="D230" s="1326"/>
      <c r="E230" s="1327" t="s">
        <v>406</v>
      </c>
      <c r="F230" s="1328" t="s">
        <v>594</v>
      </c>
      <c r="G230" s="1329" t="s">
        <v>1536</v>
      </c>
      <c r="I230" s="1388"/>
    </row>
    <row r="231" spans="1:9" s="1390" customFormat="1" ht="23.25">
      <c r="A231" s="1319">
        <v>296</v>
      </c>
      <c r="B231" s="1320"/>
      <c r="C231" s="1321" t="str">
        <f t="shared" si="3"/>
        <v>TEWI-Tool</v>
      </c>
      <c r="D231" s="1326"/>
      <c r="E231" s="1327" t="s">
        <v>83</v>
      </c>
      <c r="F231" s="1328" t="s">
        <v>595</v>
      </c>
      <c r="G231" s="1329" t="s">
        <v>1537</v>
      </c>
      <c r="I231" s="1388"/>
    </row>
    <row r="232" spans="1:9" s="1390" customFormat="1" ht="23.25">
      <c r="A232" s="1319">
        <v>299</v>
      </c>
      <c r="B232" s="1320"/>
      <c r="C232" s="1321" t="str">
        <f t="shared" si="3"/>
        <v>Total</v>
      </c>
      <c r="D232" s="1326"/>
      <c r="E232" s="1327" t="s">
        <v>123</v>
      </c>
      <c r="F232" s="1328" t="s">
        <v>123</v>
      </c>
      <c r="G232" s="1329" t="s">
        <v>1538</v>
      </c>
      <c r="I232" s="1388"/>
    </row>
    <row r="233" spans="1:9" s="1390" customFormat="1" ht="23.25">
      <c r="A233" s="1319">
        <v>300</v>
      </c>
      <c r="B233" s="1320"/>
      <c r="C233" s="1321" t="str">
        <f t="shared" si="3"/>
        <v>Total CO2-Emissionen</v>
      </c>
      <c r="D233" s="1326"/>
      <c r="E233" s="1327" t="s">
        <v>258</v>
      </c>
      <c r="F233" s="1328" t="s">
        <v>596</v>
      </c>
      <c r="G233" s="1329" t="s">
        <v>1539</v>
      </c>
      <c r="I233" s="1388"/>
    </row>
    <row r="234" spans="1:9" s="1390" customFormat="1" ht="23.25">
      <c r="A234" s="1319">
        <v>301</v>
      </c>
      <c r="B234" s="1320"/>
      <c r="C234" s="1321" t="str">
        <f t="shared" si="3"/>
        <v>Total Elektrizitätsverbrauch</v>
      </c>
      <c r="D234" s="1326"/>
      <c r="E234" s="1327" t="s">
        <v>165</v>
      </c>
      <c r="F234" s="1328" t="s">
        <v>388</v>
      </c>
      <c r="G234" s="1334" t="s">
        <v>1540</v>
      </c>
      <c r="I234" s="1388"/>
    </row>
    <row r="235" spans="1:9" s="1390" customFormat="1" ht="23.25">
      <c r="A235" s="1319">
        <v>302</v>
      </c>
      <c r="B235" s="1320"/>
      <c r="C235" s="1321" t="str">
        <f t="shared" si="3"/>
        <v>Übersicht der Tools</v>
      </c>
      <c r="D235" s="1326"/>
      <c r="E235" s="1327" t="s">
        <v>290</v>
      </c>
      <c r="F235" s="1328" t="s">
        <v>597</v>
      </c>
      <c r="G235" s="1329" t="s">
        <v>1541</v>
      </c>
      <c r="I235" s="1388"/>
    </row>
    <row r="236" spans="1:9" s="1390" customFormat="1" ht="23.25">
      <c r="A236" s="1319">
        <v>309</v>
      </c>
      <c r="B236" s="1320"/>
      <c r="C236" s="1321" t="str">
        <f t="shared" si="3"/>
        <v>unten Werte eingeben</v>
      </c>
      <c r="D236" s="1326"/>
      <c r="E236" s="1327" t="s">
        <v>78</v>
      </c>
      <c r="F236" s="1328" t="s">
        <v>598</v>
      </c>
      <c r="G236" s="1329" t="s">
        <v>1542</v>
      </c>
      <c r="I236" s="1388"/>
    </row>
    <row r="237" spans="1:9" s="1390" customFormat="1" ht="23.25">
      <c r="A237" s="1319">
        <v>310</v>
      </c>
      <c r="B237" s="1320"/>
      <c r="C237" s="1321" t="str">
        <f t="shared" si="3"/>
        <v>Unterhaltskosten</v>
      </c>
      <c r="D237" s="1326"/>
      <c r="E237" s="1327" t="s">
        <v>750</v>
      </c>
      <c r="F237" s="1328" t="s">
        <v>751</v>
      </c>
      <c r="G237" s="1329" t="s">
        <v>1543</v>
      </c>
      <c r="I237" s="1388"/>
    </row>
    <row r="238" spans="1:9" s="1390" customFormat="1" ht="23.25">
      <c r="A238" s="1319">
        <v>311</v>
      </c>
      <c r="B238" s="1320"/>
      <c r="C238" s="1321" t="str">
        <f t="shared" si="3"/>
        <v>Unterhaltskosten</v>
      </c>
      <c r="D238" s="1326"/>
      <c r="E238" s="1327" t="s">
        <v>750</v>
      </c>
      <c r="F238" s="1328" t="s">
        <v>769</v>
      </c>
      <c r="G238" s="1329" t="s">
        <v>1543</v>
      </c>
      <c r="I238" s="1388"/>
    </row>
    <row r="239" spans="1:9" s="1390" customFormat="1" ht="23.25">
      <c r="A239" s="1319">
        <v>312</v>
      </c>
      <c r="B239" s="1320"/>
      <c r="C239" s="1321" t="str">
        <f t="shared" si="3"/>
        <v>Variante A</v>
      </c>
      <c r="D239" s="1326"/>
      <c r="E239" s="1327" t="s">
        <v>270</v>
      </c>
      <c r="F239" s="1328" t="s">
        <v>270</v>
      </c>
      <c r="G239" s="1329" t="s">
        <v>1544</v>
      </c>
      <c r="I239" s="1388"/>
    </row>
    <row r="240" spans="1:9" s="1390" customFormat="1" ht="23.25">
      <c r="A240" s="1319">
        <v>313</v>
      </c>
      <c r="B240" s="1320"/>
      <c r="C240" s="1321" t="str">
        <f t="shared" si="3"/>
        <v>Variante B</v>
      </c>
      <c r="D240" s="1326"/>
      <c r="E240" s="1327" t="s">
        <v>271</v>
      </c>
      <c r="F240" s="1328" t="s">
        <v>271</v>
      </c>
      <c r="G240" s="1329" t="s">
        <v>1545</v>
      </c>
      <c r="I240" s="1388"/>
    </row>
    <row r="241" spans="1:9" s="1390" customFormat="1" ht="23.25">
      <c r="A241" s="1319">
        <v>314</v>
      </c>
      <c r="B241" s="1320"/>
      <c r="C241" s="1321" t="str">
        <f t="shared" si="3"/>
        <v>Ventilatoren Kühler</v>
      </c>
      <c r="D241" s="1326"/>
      <c r="E241" s="1327" t="s">
        <v>191</v>
      </c>
      <c r="F241" s="1328" t="s">
        <v>753</v>
      </c>
      <c r="G241" s="1329" t="s">
        <v>1546</v>
      </c>
      <c r="I241" s="1388"/>
    </row>
    <row r="242" spans="1:9" s="1390" customFormat="1" ht="23.25">
      <c r="A242" s="1319">
        <v>315</v>
      </c>
      <c r="B242" s="1320"/>
      <c r="C242" s="1321" t="str">
        <f t="shared" si="3"/>
        <v>Ventilatoren Rückkühler/Kondensator</v>
      </c>
      <c r="D242" s="1326"/>
      <c r="E242" s="1327" t="s">
        <v>114</v>
      </c>
      <c r="F242" s="1328" t="s">
        <v>599</v>
      </c>
      <c r="G242" s="1329" t="s">
        <v>1547</v>
      </c>
      <c r="I242" s="1389"/>
    </row>
    <row r="243" spans="1:9" s="1390" customFormat="1" ht="23.25">
      <c r="A243" s="1319">
        <v>316</v>
      </c>
      <c r="B243" s="1320"/>
      <c r="C243" s="1321" t="str">
        <f t="shared" si="3"/>
        <v>Ventilatoren Rückkühler/Verflüssiger</v>
      </c>
      <c r="D243" s="1326"/>
      <c r="E243" s="1327" t="s">
        <v>299</v>
      </c>
      <c r="F243" s="1328" t="s">
        <v>749</v>
      </c>
      <c r="G243" s="1329" t="s">
        <v>1547</v>
      </c>
      <c r="I243" s="1389"/>
    </row>
    <row r="244" spans="1:9" s="1390" customFormat="1" ht="23.25">
      <c r="A244" s="1319">
        <v>318</v>
      </c>
      <c r="B244" s="1320"/>
      <c r="C244" s="1321" t="str">
        <f t="shared" si="3"/>
        <v>Verbesserung gesamt COP</v>
      </c>
      <c r="D244" s="1326"/>
      <c r="E244" s="1327" t="s">
        <v>230</v>
      </c>
      <c r="F244" s="1328" t="s">
        <v>600</v>
      </c>
      <c r="G244" s="1329" t="s">
        <v>1548</v>
      </c>
      <c r="I244" s="1388"/>
    </row>
    <row r="245" spans="1:9" s="1390" customFormat="1" ht="23.25">
      <c r="A245" s="1319">
        <v>319</v>
      </c>
      <c r="B245" s="1320"/>
      <c r="C245" s="1321" t="str">
        <f t="shared" si="3"/>
        <v>Verbesserung im Teillastbetrieb</v>
      </c>
      <c r="D245" s="1326"/>
      <c r="E245" s="1327" t="s">
        <v>229</v>
      </c>
      <c r="F245" s="1328" t="s">
        <v>601</v>
      </c>
      <c r="G245" s="1329" t="s">
        <v>643</v>
      </c>
      <c r="I245" s="1388"/>
    </row>
    <row r="246" spans="1:9" s="1390" customFormat="1" ht="23.25">
      <c r="A246" s="1319">
        <v>320</v>
      </c>
      <c r="B246" s="1320"/>
      <c r="C246" s="1321" t="str">
        <f t="shared" si="3"/>
        <v>Verdampfungstemperatur</v>
      </c>
      <c r="D246" s="1326"/>
      <c r="E246" s="1327" t="s">
        <v>109</v>
      </c>
      <c r="F246" s="1328" t="s">
        <v>389</v>
      </c>
      <c r="G246" s="1334" t="s">
        <v>1549</v>
      </c>
      <c r="I246" s="1388"/>
    </row>
    <row r="247" spans="1:9" s="1390" customFormat="1" ht="23.25">
      <c r="A247" s="1319">
        <v>321</v>
      </c>
      <c r="B247" s="1320"/>
      <c r="C247" s="1321" t="str">
        <f t="shared" si="3"/>
        <v>Verdichter</v>
      </c>
      <c r="D247" s="1326"/>
      <c r="E247" s="1327" t="s">
        <v>214</v>
      </c>
      <c r="F247" s="1328" t="s">
        <v>394</v>
      </c>
      <c r="G247" s="1334" t="s">
        <v>1550</v>
      </c>
      <c r="I247" s="1388"/>
    </row>
    <row r="248" spans="1:9" s="1390" customFormat="1" ht="23.25">
      <c r="A248" s="1319">
        <v>322</v>
      </c>
      <c r="B248" s="1320"/>
      <c r="C248" s="1321" t="str">
        <f t="shared" si="3"/>
        <v>Verdichter 1</v>
      </c>
      <c r="D248" s="1326"/>
      <c r="E248" s="1327" t="s">
        <v>185</v>
      </c>
      <c r="F248" s="1328" t="s">
        <v>390</v>
      </c>
      <c r="G248" s="1334" t="s">
        <v>1551</v>
      </c>
      <c r="I248" s="1388"/>
    </row>
    <row r="249" spans="1:9" s="1390" customFormat="1" ht="23.25">
      <c r="A249" s="1319">
        <v>323</v>
      </c>
      <c r="B249" s="1320"/>
      <c r="C249" s="1321" t="str">
        <f t="shared" si="3"/>
        <v>Verdichter 2</v>
      </c>
      <c r="D249" s="1326"/>
      <c r="E249" s="1327" t="s">
        <v>187</v>
      </c>
      <c r="F249" s="1328" t="s">
        <v>391</v>
      </c>
      <c r="G249" s="1334" t="s">
        <v>1552</v>
      </c>
      <c r="I249" s="1388"/>
    </row>
    <row r="250" spans="1:9" s="1390" customFormat="1" ht="23.25">
      <c r="A250" s="1319">
        <v>324</v>
      </c>
      <c r="B250" s="1320"/>
      <c r="C250" s="1321" t="str">
        <f t="shared" si="3"/>
        <v>Verdichter 3</v>
      </c>
      <c r="D250" s="1326"/>
      <c r="E250" s="1327" t="s">
        <v>188</v>
      </c>
      <c r="F250" s="1328" t="s">
        <v>392</v>
      </c>
      <c r="G250" s="1334" t="s">
        <v>1553</v>
      </c>
      <c r="I250" s="1388"/>
    </row>
    <row r="251" spans="1:9" s="1390" customFormat="1" ht="23.25">
      <c r="A251" s="1319">
        <v>325</v>
      </c>
      <c r="B251" s="1320"/>
      <c r="C251" s="1321" t="str">
        <f t="shared" si="3"/>
        <v>Verdichter 4</v>
      </c>
      <c r="D251" s="1326"/>
      <c r="E251" s="1327" t="s">
        <v>189</v>
      </c>
      <c r="F251" s="1328" t="s">
        <v>393</v>
      </c>
      <c r="G251" s="1334" t="s">
        <v>1554</v>
      </c>
      <c r="I251" s="1388"/>
    </row>
    <row r="252" spans="1:9" s="1390" customFormat="1" ht="23.25">
      <c r="A252" s="1319">
        <v>326</v>
      </c>
      <c r="B252" s="1320"/>
      <c r="C252" s="1321" t="str">
        <f t="shared" si="3"/>
        <v>Verdichter mit max. Leistung</v>
      </c>
      <c r="D252" s="1326"/>
      <c r="E252" s="1327" t="s">
        <v>227</v>
      </c>
      <c r="F252" s="1328" t="s">
        <v>602</v>
      </c>
      <c r="G252" s="1329" t="s">
        <v>1555</v>
      </c>
      <c r="I252" s="1388"/>
    </row>
    <row r="253" spans="1:9" s="1390" customFormat="1" ht="23.25">
      <c r="A253" s="1319">
        <v>327</v>
      </c>
      <c r="B253" s="1320"/>
      <c r="C253" s="1321" t="str">
        <f t="shared" si="3"/>
        <v>Verdichterstufen-Abschaltung</v>
      </c>
      <c r="D253" s="1326"/>
      <c r="E253" s="1327" t="s">
        <v>1126</v>
      </c>
      <c r="F253" s="1328" t="s">
        <v>603</v>
      </c>
      <c r="G253" s="1329" t="s">
        <v>1556</v>
      </c>
      <c r="I253" s="1388"/>
    </row>
    <row r="254" spans="1:9" s="1390" customFormat="1" ht="23.25">
      <c r="A254" s="1319">
        <v>328</v>
      </c>
      <c r="B254" s="1320"/>
      <c r="C254" s="1321" t="str">
        <f t="shared" si="3"/>
        <v>Verflüssigungstemperatur</v>
      </c>
      <c r="D254" s="1326"/>
      <c r="E254" s="1327" t="s">
        <v>300</v>
      </c>
      <c r="F254" s="1328" t="s">
        <v>655</v>
      </c>
      <c r="G254" s="1329" t="s">
        <v>1557</v>
      </c>
      <c r="I254" s="1388"/>
    </row>
    <row r="255" spans="1:9" s="1390" customFormat="1" ht="23.25">
      <c r="A255" s="1319">
        <v>329</v>
      </c>
      <c r="B255" s="1320"/>
      <c r="C255" s="1321" t="str">
        <f t="shared" si="3"/>
        <v>Version: 2016/V1</v>
      </c>
      <c r="D255" s="1326"/>
      <c r="E255" s="1327" t="s">
        <v>9</v>
      </c>
      <c r="F255" s="1328" t="s">
        <v>9</v>
      </c>
      <c r="G255" s="1329" t="s">
        <v>1558</v>
      </c>
      <c r="I255" s="1388"/>
    </row>
    <row r="256" spans="1:9" s="1390" customFormat="1" ht="23.25">
      <c r="A256" s="1319">
        <v>330</v>
      </c>
      <c r="B256" s="1320"/>
      <c r="C256" s="1321" t="str">
        <f t="shared" si="3"/>
        <v>Vollbetriebsstunden</v>
      </c>
      <c r="D256" s="1326"/>
      <c r="E256" s="1327" t="s">
        <v>367</v>
      </c>
      <c r="F256" s="1328" t="s">
        <v>604</v>
      </c>
      <c r="G256" s="1329" t="s">
        <v>1559</v>
      </c>
      <c r="I256" s="1388"/>
    </row>
    <row r="257" spans="1:9" s="1390" customFormat="1" ht="23.25">
      <c r="A257" s="1319">
        <v>331</v>
      </c>
      <c r="B257" s="1320"/>
      <c r="C257" s="1321" t="str">
        <f t="shared" si="3"/>
        <v>Vollbetriebsstunden (effektiv)</v>
      </c>
      <c r="D257" s="1326"/>
      <c r="E257" s="1327" t="s">
        <v>206</v>
      </c>
      <c r="F257" s="1328" t="s">
        <v>756</v>
      </c>
      <c r="G257" s="1329" t="s">
        <v>1560</v>
      </c>
      <c r="I257" s="1388"/>
    </row>
    <row r="258" spans="1:9" s="1390" customFormat="1" ht="23.25">
      <c r="A258" s="1319">
        <v>332</v>
      </c>
      <c r="B258" s="1320"/>
      <c r="C258" s="1321" t="str">
        <f t="shared" si="3"/>
        <v>Vollbetriebsstunden der Maschine</v>
      </c>
      <c r="D258" s="1326"/>
      <c r="E258" s="1327" t="s">
        <v>182</v>
      </c>
      <c r="F258" s="1328" t="s">
        <v>755</v>
      </c>
      <c r="G258" s="1329" t="s">
        <v>1561</v>
      </c>
      <c r="I258" s="1388"/>
    </row>
    <row r="259" spans="1:9" s="1390" customFormat="1" ht="23.25">
      <c r="A259" s="1319">
        <v>333</v>
      </c>
      <c r="B259" s="1320"/>
      <c r="C259" s="1321" t="str">
        <f t="shared" si="3"/>
        <v>Vollbetriebsstunden pro Quartal</v>
      </c>
      <c r="D259" s="1326"/>
      <c r="E259" s="1327" t="s">
        <v>204</v>
      </c>
      <c r="F259" s="1328" t="s">
        <v>754</v>
      </c>
      <c r="G259" s="1329" t="s">
        <v>1562</v>
      </c>
      <c r="I259" s="1388"/>
    </row>
    <row r="260" spans="1:9" s="1390" customFormat="1" ht="23.25">
      <c r="A260" s="1319">
        <v>334</v>
      </c>
      <c r="B260" s="1320"/>
      <c r="C260" s="1321" t="str">
        <f t="shared" si="3"/>
        <v>Vollbetriebsstunden pro Tag</v>
      </c>
      <c r="D260" s="1326"/>
      <c r="E260" s="1327" t="s">
        <v>205</v>
      </c>
      <c r="F260" s="1328" t="s">
        <v>605</v>
      </c>
      <c r="G260" s="1329" t="s">
        <v>1563</v>
      </c>
      <c r="I260" s="1388"/>
    </row>
    <row r="261" spans="1:9" s="1390" customFormat="1" ht="23.25">
      <c r="A261" s="1319">
        <v>335</v>
      </c>
      <c r="B261" s="1320"/>
      <c r="C261" s="1321" t="str">
        <f t="shared" si="3"/>
        <v>Vollservice</v>
      </c>
      <c r="D261" s="1326"/>
      <c r="E261" s="1327" t="s">
        <v>325</v>
      </c>
      <c r="F261" s="1328" t="s">
        <v>606</v>
      </c>
      <c r="G261" s="1329" t="s">
        <v>1564</v>
      </c>
      <c r="I261" s="1388"/>
    </row>
    <row r="262" spans="1:9" s="1390" customFormat="1" ht="23.25">
      <c r="A262" s="1319">
        <v>337</v>
      </c>
      <c r="B262" s="1320"/>
      <c r="C262" s="1321" t="str">
        <f t="shared" si="3"/>
        <v>Vollservice (inkl. Material)</v>
      </c>
      <c r="D262" s="1326"/>
      <c r="E262" s="1327" t="s">
        <v>316</v>
      </c>
      <c r="F262" s="1328" t="s">
        <v>607</v>
      </c>
      <c r="G262" s="1329" t="s">
        <v>1565</v>
      </c>
      <c r="I262" s="1388"/>
    </row>
    <row r="263" spans="1:9" s="1390" customFormat="1" ht="23.25">
      <c r="A263" s="1319">
        <v>339</v>
      </c>
      <c r="B263" s="1320"/>
      <c r="C263" s="1321" t="str">
        <f t="shared" si="3"/>
        <v>Wärmeträgerpumpen</v>
      </c>
      <c r="D263" s="1326"/>
      <c r="E263" s="1327" t="s">
        <v>190</v>
      </c>
      <c r="F263" s="1328" t="s">
        <v>608</v>
      </c>
      <c r="G263" s="1329" t="s">
        <v>1566</v>
      </c>
      <c r="I263" s="1388"/>
    </row>
    <row r="264" spans="1:9" s="1390" customFormat="1" ht="23.25">
      <c r="A264" s="1319">
        <v>340</v>
      </c>
      <c r="B264" s="1320"/>
      <c r="C264" s="1321" t="str">
        <f t="shared" si="3"/>
        <v>Wartungskosten</v>
      </c>
      <c r="D264" s="1326"/>
      <c r="E264" s="1327" t="s">
        <v>272</v>
      </c>
      <c r="F264" s="1328" t="s">
        <v>609</v>
      </c>
      <c r="G264" s="1329" t="s">
        <v>1543</v>
      </c>
      <c r="I264" s="1388"/>
    </row>
    <row r="265" spans="1:9" s="1390" customFormat="1" ht="23.25">
      <c r="A265" s="1319">
        <v>341</v>
      </c>
      <c r="B265" s="1320"/>
      <c r="C265" s="1321" t="str">
        <f t="shared" si="3"/>
        <v>Was wollen Sie berechnen?</v>
      </c>
      <c r="D265" s="1326"/>
      <c r="E265" s="1327" t="s">
        <v>289</v>
      </c>
      <c r="F265" s="1328" t="s">
        <v>610</v>
      </c>
      <c r="G265" s="1329" t="s">
        <v>1567</v>
      </c>
      <c r="I265" s="1388"/>
    </row>
    <row r="266" spans="1:9" s="1390" customFormat="1" ht="23.25">
      <c r="A266" s="1319">
        <v>342</v>
      </c>
      <c r="B266" s="1320"/>
      <c r="C266" s="1321" t="str">
        <f t="shared" si="3"/>
        <v>Werksgefertigt</v>
      </c>
      <c r="D266" s="1326"/>
      <c r="E266" s="1327" t="s">
        <v>305</v>
      </c>
      <c r="F266" s="1328" t="s">
        <v>611</v>
      </c>
      <c r="G266" s="1329" t="s">
        <v>1568</v>
      </c>
      <c r="I266" s="1388"/>
    </row>
    <row r="267" spans="1:9" s="1390" customFormat="1" ht="23.25">
      <c r="A267" s="1319">
        <v>343</v>
      </c>
      <c r="B267" s="1320"/>
      <c r="C267" s="1321" t="str">
        <f t="shared" si="3"/>
        <v>Werksgefertigt hermetisiert</v>
      </c>
      <c r="D267" s="1326"/>
      <c r="E267" s="1327" t="s">
        <v>306</v>
      </c>
      <c r="F267" s="1328" t="s">
        <v>612</v>
      </c>
      <c r="G267" s="1329" t="s">
        <v>1569</v>
      </c>
      <c r="I267" s="1388"/>
    </row>
    <row r="268" spans="1:9" s="1390" customFormat="1" ht="23.25">
      <c r="A268" s="1319">
        <v>344</v>
      </c>
      <c r="B268" s="1320"/>
      <c r="C268" s="1321" t="str">
        <f t="shared" si="3"/>
        <v>Wert eingeben</v>
      </c>
      <c r="D268" s="1326"/>
      <c r="E268" s="1327" t="s">
        <v>79</v>
      </c>
      <c r="F268" s="1328" t="s">
        <v>613</v>
      </c>
      <c r="G268" s="1329" t="s">
        <v>1570</v>
      </c>
      <c r="I268" s="1388"/>
    </row>
    <row r="269" spans="1:9" s="1390" customFormat="1" ht="23.25">
      <c r="A269" s="1319">
        <v>345</v>
      </c>
      <c r="B269" s="1320"/>
      <c r="C269" s="1321" t="str">
        <f t="shared" si="3"/>
        <v>Winter</v>
      </c>
      <c r="D269" s="1326"/>
      <c r="E269" s="1327" t="s">
        <v>122</v>
      </c>
      <c r="F269" s="1328" t="s">
        <v>395</v>
      </c>
      <c r="G269" s="1334" t="s">
        <v>1571</v>
      </c>
      <c r="I269" s="1388"/>
    </row>
    <row r="270" spans="1:9" s="1390" customFormat="1" ht="23.25">
      <c r="A270" s="1319">
        <v>346</v>
      </c>
      <c r="B270" s="1320"/>
      <c r="C270" s="1321" t="str">
        <f t="shared" ref="C270:C289" si="4">IF(C$12=F$12,F270,IF(C$12=G$12,G270,E270))</f>
        <v>Wirtschaftlichkeit</v>
      </c>
      <c r="D270" s="1326"/>
      <c r="E270" s="1327" t="s">
        <v>7</v>
      </c>
      <c r="F270" s="1328" t="s">
        <v>614</v>
      </c>
      <c r="G270" s="1329" t="s">
        <v>1572</v>
      </c>
      <c r="I270" s="1388"/>
    </row>
    <row r="271" spans="1:9" s="1390" customFormat="1" ht="25.5">
      <c r="A271" s="1319">
        <v>347</v>
      </c>
      <c r="B271" s="1320"/>
      <c r="C271" s="1321" t="str">
        <f t="shared" si="4"/>
        <v>Wollen Sie den Elektrizitätsbedarf mit diesem Tool abschätzen?</v>
      </c>
      <c r="D271" s="1326"/>
      <c r="E271" s="1327" t="s">
        <v>669</v>
      </c>
      <c r="F271" s="1328" t="s">
        <v>615</v>
      </c>
      <c r="G271" s="1329" t="s">
        <v>1573</v>
      </c>
      <c r="I271" s="1388"/>
    </row>
    <row r="272" spans="1:9" s="1390" customFormat="1" ht="23.25">
      <c r="A272" s="1319">
        <v>348</v>
      </c>
      <c r="B272" s="1320"/>
      <c r="C272" s="1321" t="str">
        <f t="shared" si="4"/>
        <v>Wollen Sie zwei Varianten vergleichen</v>
      </c>
      <c r="D272" s="1326"/>
      <c r="E272" s="1327" t="s">
        <v>1116</v>
      </c>
      <c r="F272" s="1328" t="s">
        <v>616</v>
      </c>
      <c r="G272" s="1329" t="s">
        <v>1574</v>
      </c>
      <c r="I272" s="1388"/>
    </row>
    <row r="273" spans="1:35" s="1390" customFormat="1" ht="23.25">
      <c r="A273" s="1319">
        <v>349</v>
      </c>
      <c r="B273" s="1320"/>
      <c r="C273" s="1321" t="str">
        <f>IF(C$12=F$12,F273,IF(C$12=G$12,G273,E273))</f>
        <v>A: Klimakälte (2'000 h/a)</v>
      </c>
      <c r="D273" s="1326"/>
      <c r="E273" s="1327" t="s">
        <v>832</v>
      </c>
      <c r="F273" s="1328" t="s">
        <v>1117</v>
      </c>
      <c r="G273" s="1333" t="s">
        <v>1119</v>
      </c>
      <c r="I273" s="1388"/>
    </row>
    <row r="274" spans="1:35" s="1390" customFormat="1" ht="23.25">
      <c r="A274" s="1319">
        <v>350</v>
      </c>
      <c r="B274" s="1320"/>
      <c r="C274" s="1321" t="str">
        <f t="shared" si="4"/>
        <v>Zuordnung Leckagen an Bauweise</v>
      </c>
      <c r="D274" s="1326"/>
      <c r="E274" s="1327" t="s">
        <v>349</v>
      </c>
      <c r="F274" s="1328" t="s">
        <v>736</v>
      </c>
      <c r="G274" s="1329" t="s">
        <v>1575</v>
      </c>
      <c r="I274" s="1388"/>
    </row>
    <row r="275" spans="1:35" s="1390" customFormat="1" ht="23.25">
      <c r="A275" s="1319">
        <v>351</v>
      </c>
      <c r="B275" s="1320"/>
      <c r="C275" s="1321" t="str">
        <f t="shared" si="4"/>
        <v>Zürich</v>
      </c>
      <c r="D275" s="1326"/>
      <c r="E275" s="1327" t="s">
        <v>132</v>
      </c>
      <c r="F275" s="1328" t="s">
        <v>396</v>
      </c>
      <c r="G275" s="1334" t="s">
        <v>1576</v>
      </c>
      <c r="I275" s="1388"/>
    </row>
    <row r="276" spans="1:35" s="1390" customFormat="1" ht="23.25">
      <c r="A276" s="1319">
        <v>352</v>
      </c>
      <c r="B276" s="1320"/>
      <c r="C276" s="1321" t="str">
        <f t="shared" si="4"/>
        <v>Zusammenfassung</v>
      </c>
      <c r="D276" s="1326"/>
      <c r="E276" s="1327" t="s">
        <v>259</v>
      </c>
      <c r="F276" s="1328" t="s">
        <v>617</v>
      </c>
      <c r="G276" s="1329" t="s">
        <v>1577</v>
      </c>
      <c r="I276" s="1388"/>
    </row>
    <row r="277" spans="1:35" s="1390" customFormat="1" ht="23.25">
      <c r="A277" s="1319">
        <v>353</v>
      </c>
      <c r="B277" s="1320"/>
      <c r="C277" s="1321" t="str">
        <f t="shared" si="4"/>
        <v>Zusammenstellung Ergebnisse</v>
      </c>
      <c r="D277" s="1326"/>
      <c r="E277" s="1327" t="s">
        <v>339</v>
      </c>
      <c r="F277" s="1328" t="s">
        <v>618</v>
      </c>
      <c r="G277" s="1329" t="s">
        <v>1578</v>
      </c>
      <c r="I277" s="1388"/>
    </row>
    <row r="278" spans="1:35" s="1390" customFormat="1" ht="23.25">
      <c r="A278" s="1319">
        <v>354</v>
      </c>
      <c r="B278" s="1320"/>
      <c r="C278" s="1321" t="str">
        <f t="shared" si="4"/>
        <v>LKW</v>
      </c>
      <c r="D278" s="1336"/>
      <c r="E278" s="1337" t="s">
        <v>47</v>
      </c>
      <c r="F278" s="1328" t="s">
        <v>619</v>
      </c>
      <c r="G278" s="1338" t="s">
        <v>1579</v>
      </c>
      <c r="I278" s="1392"/>
    </row>
    <row r="279" spans="1:35" s="1390" customFormat="1" ht="75" customHeight="1">
      <c r="A279" s="1319">
        <v>355</v>
      </c>
      <c r="B279" s="1320"/>
      <c r="C279" s="1321" t="str">
        <f t="shared" si="4"/>
        <v xml:space="preserve">Der Planer hat weniger Vollbetriebsstunden eingerechnet, als dass die Standard-Werte für diese Anwendung vorgeben. Dadurch wird der abgeschätzte Energieverbrauch tiefer. </v>
      </c>
      <c r="D279" s="1336"/>
      <c r="E279" s="1337" t="s">
        <v>250</v>
      </c>
      <c r="F279" s="1328" t="s">
        <v>620</v>
      </c>
      <c r="G279" s="1338" t="s">
        <v>1580</v>
      </c>
      <c r="I279" s="1392"/>
    </row>
    <row r="280" spans="1:35" s="1390" customFormat="1" ht="75" customHeight="1">
      <c r="A280" s="1319">
        <v>356</v>
      </c>
      <c r="B280" s="1320"/>
      <c r="C280" s="1321" t="str">
        <f t="shared" si="4"/>
        <v>Der Planer hat erheblich weniger Vollbetriebsstunden eingerechnet, als dass die Standard-Werte für diese Anwendung vorgeben. Dadurch wird der abgeschätzte Energieverbrauch tiefer.</v>
      </c>
      <c r="D280" s="1336"/>
      <c r="E280" s="1337" t="s">
        <v>251</v>
      </c>
      <c r="F280" s="1328" t="s">
        <v>621</v>
      </c>
      <c r="G280" s="1338" t="s">
        <v>1581</v>
      </c>
      <c r="I280" s="1392"/>
    </row>
    <row r="281" spans="1:35" s="1390" customFormat="1" ht="42" customHeight="1">
      <c r="A281" s="1319">
        <v>357</v>
      </c>
      <c r="B281" s="1320"/>
      <c r="C281" s="1321" t="str">
        <f t="shared" si="4"/>
        <v>Klären Sie mit dem Planer, warum er diese Vollbetriebsstunden gewählt hat.</v>
      </c>
      <c r="D281" s="1336"/>
      <c r="E281" s="1337" t="s">
        <v>358</v>
      </c>
      <c r="F281" s="1328" t="s">
        <v>622</v>
      </c>
      <c r="G281" s="1338" t="s">
        <v>1582</v>
      </c>
      <c r="I281" s="1392"/>
    </row>
    <row r="282" spans="1:35" s="1390" customFormat="1" ht="23.25">
      <c r="A282" s="1319">
        <v>369</v>
      </c>
      <c r="B282" s="1320"/>
      <c r="C282" s="1321" t="str">
        <f t="shared" si="4"/>
        <v>Wirtschaftlichkeit</v>
      </c>
      <c r="D282" s="1336"/>
      <c r="E282" s="1339" t="s">
        <v>7</v>
      </c>
      <c r="F282" s="1328" t="s">
        <v>614</v>
      </c>
      <c r="G282" s="1340" t="s">
        <v>1572</v>
      </c>
      <c r="H282" s="1392"/>
      <c r="I282" s="1393"/>
      <c r="J282" s="1392"/>
      <c r="K282" s="1392"/>
      <c r="L282" s="1392"/>
      <c r="M282" s="1392"/>
      <c r="N282" s="1392"/>
      <c r="O282" s="1392"/>
      <c r="P282" s="1392"/>
      <c r="Q282" s="1392"/>
      <c r="R282" s="1392"/>
      <c r="S282" s="1392"/>
      <c r="T282" s="1392"/>
      <c r="U282" s="1392"/>
      <c r="V282" s="1392"/>
      <c r="W282" s="1392"/>
      <c r="X282" s="1392"/>
      <c r="Y282" s="1392"/>
      <c r="Z282" s="1392"/>
      <c r="AA282" s="1392"/>
      <c r="AB282" s="1392"/>
      <c r="AC282" s="1392"/>
      <c r="AD282" s="1392"/>
      <c r="AE282" s="1392"/>
      <c r="AF282" s="1392"/>
      <c r="AG282" s="1392"/>
      <c r="AH282" s="1392"/>
      <c r="AI282" s="1392"/>
    </row>
    <row r="283" spans="1:35" s="1390" customFormat="1" ht="23.25">
      <c r="A283" s="1319">
        <v>370</v>
      </c>
      <c r="B283" s="1320"/>
      <c r="C283" s="1321" t="str">
        <f t="shared" si="4"/>
        <v>Ergebnisse</v>
      </c>
      <c r="D283" s="1336"/>
      <c r="E283" s="1339" t="s">
        <v>8</v>
      </c>
      <c r="F283" s="1328" t="s">
        <v>520</v>
      </c>
      <c r="G283" s="1340" t="s">
        <v>1426</v>
      </c>
      <c r="H283" s="1392"/>
      <c r="I283" s="1393"/>
      <c r="J283" s="1392"/>
      <c r="K283" s="1392"/>
      <c r="L283" s="1392"/>
      <c r="M283" s="1392"/>
      <c r="N283" s="1392"/>
      <c r="O283" s="1392"/>
      <c r="P283" s="1392"/>
      <c r="Q283" s="1392"/>
      <c r="R283" s="1392"/>
      <c r="S283" s="1392"/>
      <c r="T283" s="1392"/>
      <c r="U283" s="1392"/>
      <c r="V283" s="1392"/>
      <c r="W283" s="1392"/>
      <c r="X283" s="1392"/>
      <c r="Y283" s="1392"/>
      <c r="Z283" s="1392"/>
      <c r="AA283" s="1392"/>
      <c r="AB283" s="1392"/>
      <c r="AC283" s="1392"/>
      <c r="AD283" s="1392"/>
      <c r="AE283" s="1392"/>
      <c r="AF283" s="1392"/>
      <c r="AG283" s="1392"/>
      <c r="AH283" s="1392"/>
      <c r="AI283" s="1392"/>
    </row>
    <row r="284" spans="1:35" s="1390" customFormat="1" ht="23.25">
      <c r="A284" s="1319">
        <v>371</v>
      </c>
      <c r="B284" s="1320"/>
      <c r="C284" s="1321" t="str">
        <f t="shared" si="4"/>
        <v>zur TEWI-Berechnung (3)</v>
      </c>
      <c r="D284" s="1336"/>
      <c r="E284" s="1341" t="s">
        <v>701</v>
      </c>
      <c r="F284" s="1328" t="s">
        <v>702</v>
      </c>
      <c r="G284" s="1342" t="s">
        <v>1583</v>
      </c>
      <c r="H284" s="1392"/>
      <c r="I284" s="1394"/>
      <c r="J284" s="1392"/>
      <c r="K284" s="1392"/>
      <c r="L284" s="1392"/>
      <c r="M284" s="1392"/>
      <c r="N284" s="1392"/>
      <c r="O284" s="1392"/>
      <c r="P284" s="1392"/>
      <c r="Q284" s="1392"/>
      <c r="R284" s="1392"/>
      <c r="S284" s="1392"/>
      <c r="T284" s="1392"/>
      <c r="U284" s="1392"/>
      <c r="V284" s="1392"/>
      <c r="W284" s="1392"/>
      <c r="X284" s="1392"/>
      <c r="Y284" s="1392"/>
      <c r="Z284" s="1392"/>
      <c r="AA284" s="1392"/>
      <c r="AB284" s="1392"/>
      <c r="AC284" s="1392"/>
      <c r="AD284" s="1392"/>
      <c r="AE284" s="1392"/>
      <c r="AF284" s="1392"/>
      <c r="AG284" s="1392"/>
      <c r="AH284" s="1392"/>
      <c r="AI284" s="1392"/>
    </row>
    <row r="285" spans="1:35" s="1390" customFormat="1" ht="23.25">
      <c r="A285" s="1319">
        <v>372</v>
      </c>
      <c r="B285" s="1320"/>
      <c r="C285" s="1321" t="str">
        <f t="shared" si="4"/>
        <v>zurück zur Übersicht (1)</v>
      </c>
      <c r="D285" s="1336"/>
      <c r="E285" s="1339" t="s">
        <v>703</v>
      </c>
      <c r="F285" s="1328" t="s">
        <v>704</v>
      </c>
      <c r="G285" s="1340" t="s">
        <v>1584</v>
      </c>
      <c r="H285" s="1392"/>
      <c r="I285" s="1393"/>
      <c r="J285" s="1392"/>
      <c r="K285" s="1392"/>
      <c r="L285" s="1392"/>
      <c r="M285" s="1392"/>
      <c r="N285" s="1392"/>
      <c r="O285" s="1392"/>
      <c r="P285" s="1392"/>
      <c r="Q285" s="1392"/>
      <c r="R285" s="1392"/>
      <c r="S285" s="1392"/>
      <c r="T285" s="1392"/>
      <c r="U285" s="1392"/>
      <c r="V285" s="1392"/>
      <c r="W285" s="1392"/>
      <c r="X285" s="1392"/>
      <c r="Y285" s="1392"/>
      <c r="Z285" s="1392"/>
      <c r="AA285" s="1392"/>
      <c r="AB285" s="1392"/>
      <c r="AC285" s="1392"/>
      <c r="AD285" s="1392"/>
      <c r="AE285" s="1392"/>
      <c r="AF285" s="1392"/>
      <c r="AG285" s="1392"/>
      <c r="AH285" s="1392"/>
      <c r="AI285" s="1392"/>
    </row>
    <row r="286" spans="1:35" s="1390" customFormat="1" ht="23.25">
      <c r="A286" s="1319">
        <v>373</v>
      </c>
      <c r="B286" s="1320"/>
      <c r="C286" s="1321" t="str">
        <f t="shared" si="4"/>
        <v>zur Wirtschaftlichkeitsberechnung (4)</v>
      </c>
      <c r="D286" s="1336"/>
      <c r="E286" s="1341" t="s">
        <v>705</v>
      </c>
      <c r="F286" s="1328" t="s">
        <v>706</v>
      </c>
      <c r="G286" s="1342" t="s">
        <v>1585</v>
      </c>
      <c r="H286" s="1392"/>
      <c r="I286" s="1394"/>
      <c r="J286" s="1392"/>
      <c r="K286" s="1392"/>
      <c r="L286" s="1392"/>
      <c r="M286" s="1392"/>
      <c r="N286" s="1392"/>
      <c r="O286" s="1392"/>
      <c r="P286" s="1392"/>
      <c r="Q286" s="1392"/>
      <c r="R286" s="1392"/>
      <c r="S286" s="1392"/>
      <c r="T286" s="1392"/>
      <c r="U286" s="1392"/>
      <c r="V286" s="1392"/>
      <c r="W286" s="1392"/>
      <c r="X286" s="1392"/>
      <c r="Y286" s="1392"/>
      <c r="Z286" s="1392"/>
      <c r="AA286" s="1392"/>
      <c r="AB286" s="1392"/>
      <c r="AC286" s="1392"/>
      <c r="AD286" s="1392"/>
      <c r="AE286" s="1392"/>
      <c r="AF286" s="1392"/>
      <c r="AG286" s="1392"/>
      <c r="AH286" s="1392"/>
      <c r="AI286" s="1392"/>
    </row>
    <row r="287" spans="1:35" s="1390" customFormat="1" ht="23.25">
      <c r="A287" s="1319">
        <v>374</v>
      </c>
      <c r="B287" s="1320"/>
      <c r="C287" s="1321" t="str">
        <f t="shared" si="4"/>
        <v>zu den Ergebnissen (5)</v>
      </c>
      <c r="D287" s="1336"/>
      <c r="E287" s="1339" t="s">
        <v>707</v>
      </c>
      <c r="F287" s="1328" t="s">
        <v>708</v>
      </c>
      <c r="G287" s="1340" t="s">
        <v>1586</v>
      </c>
      <c r="H287" s="1392"/>
      <c r="I287" s="1393"/>
      <c r="J287" s="1392"/>
      <c r="K287" s="1392"/>
      <c r="L287" s="1392"/>
      <c r="M287" s="1392"/>
      <c r="N287" s="1392"/>
      <c r="O287" s="1392"/>
      <c r="P287" s="1392"/>
      <c r="Q287" s="1392"/>
      <c r="R287" s="1392"/>
      <c r="S287" s="1392"/>
      <c r="T287" s="1392"/>
      <c r="U287" s="1392"/>
      <c r="V287" s="1392"/>
      <c r="W287" s="1392"/>
      <c r="X287" s="1392"/>
      <c r="Y287" s="1392"/>
      <c r="Z287" s="1392"/>
      <c r="AA287" s="1392"/>
      <c r="AB287" s="1392"/>
      <c r="AC287" s="1392"/>
      <c r="AD287" s="1392"/>
      <c r="AE287" s="1392"/>
      <c r="AF287" s="1392"/>
      <c r="AG287" s="1392"/>
      <c r="AH287" s="1392"/>
      <c r="AI287" s="1392"/>
    </row>
    <row r="288" spans="1:35" s="1390" customFormat="1" ht="23.25">
      <c r="A288" s="1319">
        <v>375</v>
      </c>
      <c r="B288" s="1320"/>
      <c r="C288" s="1321" t="str">
        <f t="shared" si="4"/>
        <v>zur TEWI-Berechnung (3)</v>
      </c>
      <c r="D288" s="1336"/>
      <c r="E288" s="1341" t="s">
        <v>701</v>
      </c>
      <c r="F288" s="1328" t="s">
        <v>702</v>
      </c>
      <c r="G288" s="1342" t="s">
        <v>1583</v>
      </c>
      <c r="I288" s="1394"/>
    </row>
    <row r="289" spans="1:9" s="1390" customFormat="1" ht="23.25">
      <c r="A289" s="1319">
        <v>376</v>
      </c>
      <c r="B289" s="1320"/>
      <c r="C289" s="1321" t="str">
        <f t="shared" si="4"/>
        <v>zurück zur Anlagespezifikation (1)</v>
      </c>
      <c r="D289" s="1336"/>
      <c r="E289" s="1337" t="s">
        <v>709</v>
      </c>
      <c r="F289" s="1328" t="s">
        <v>710</v>
      </c>
      <c r="G289" s="1343" t="s">
        <v>1587</v>
      </c>
      <c r="I289" s="1392"/>
    </row>
    <row r="290" spans="1:9" s="1390" customFormat="1" ht="45">
      <c r="A290" s="1331">
        <v>377</v>
      </c>
      <c r="B290" s="1320"/>
      <c r="C290" s="1321" t="str">
        <f t="shared" ref="C290:C405" si="5">IF(C$12=F$12,F290,IF(C$12=G$12,G290,E290))</f>
        <v>zur Berechnung des Elektrizitätsbedarfs von einfachen Komfort-Klimakälteanlagen (2B)</v>
      </c>
      <c r="D290" s="1336"/>
      <c r="E290" s="1337" t="s">
        <v>1026</v>
      </c>
      <c r="F290" s="1328" t="s">
        <v>1311</v>
      </c>
      <c r="G290" s="1333" t="s">
        <v>1305</v>
      </c>
      <c r="I290" s="1392"/>
    </row>
    <row r="291" spans="1:9" s="1390" customFormat="1" ht="23.25">
      <c r="A291" s="1319">
        <v>378</v>
      </c>
      <c r="B291" s="1320"/>
      <c r="C291" s="1321" t="str">
        <f>IF(C$12=F$12,F291,IF(C$12=G$12,G291,E291))</f>
        <v>nach oben</v>
      </c>
      <c r="D291" s="1336"/>
      <c r="E291" s="1337" t="s">
        <v>671</v>
      </c>
      <c r="F291" s="1328" t="s">
        <v>679</v>
      </c>
      <c r="G291" s="1329" t="s">
        <v>680</v>
      </c>
      <c r="I291" s="1392"/>
    </row>
    <row r="292" spans="1:9" s="1390" customFormat="1" ht="63.75">
      <c r="A292" s="1319">
        <v>379</v>
      </c>
      <c r="B292" s="1320"/>
      <c r="C292" s="1321" t="str">
        <f t="shared" si="5"/>
        <v>Wählen Sie zuerst die Sprache. Danach diese nicht mehr verändern. 
Falls Sie die Sprache nachträglich ändern, müssen Sie alle Eingaben aus den Auswahlfelder nochmals überprüfen.</v>
      </c>
      <c r="D292" s="1336"/>
      <c r="E292" s="1337" t="s">
        <v>685</v>
      </c>
      <c r="F292" s="1328" t="s">
        <v>686</v>
      </c>
      <c r="G292" s="1329" t="s">
        <v>687</v>
      </c>
      <c r="I292" s="1392"/>
    </row>
    <row r="293" spans="1:9" s="1390" customFormat="1" ht="25.5">
      <c r="A293" s="1319">
        <v>380</v>
      </c>
      <c r="B293" s="1320"/>
      <c r="C293" s="1321" t="str">
        <f t="shared" si="5"/>
        <v>Prüfen Sie ob das Expansionsventil bei diesen Bedingungen noch korrekt arbeitet</v>
      </c>
      <c r="D293" s="1336"/>
      <c r="E293" s="1337" t="s">
        <v>801</v>
      </c>
      <c r="F293" s="1328" t="s">
        <v>684</v>
      </c>
      <c r="G293" s="1329" t="s">
        <v>683</v>
      </c>
      <c r="I293" s="1392"/>
    </row>
    <row r="294" spans="1:9" s="1390" customFormat="1" ht="23.25">
      <c r="A294" s="1319">
        <v>381</v>
      </c>
      <c r="B294" s="1320"/>
      <c r="C294" s="1321" t="str">
        <f t="shared" si="5"/>
        <v>Rp./kWh</v>
      </c>
      <c r="D294" s="1336"/>
      <c r="E294" s="1337" t="s">
        <v>234</v>
      </c>
      <c r="F294" s="1328" t="s">
        <v>745</v>
      </c>
      <c r="G294" s="1329" t="s">
        <v>746</v>
      </c>
      <c r="I294" s="1392"/>
    </row>
    <row r="295" spans="1:9" s="1390" customFormat="1" ht="23.25">
      <c r="A295" s="1319">
        <v>382</v>
      </c>
      <c r="B295" s="1320"/>
      <c r="C295" s="1321" t="str">
        <f t="shared" si="5"/>
        <v>Anzahl</v>
      </c>
      <c r="D295" s="1336"/>
      <c r="E295" s="1327" t="s">
        <v>747</v>
      </c>
      <c r="F295" s="1328" t="s">
        <v>748</v>
      </c>
      <c r="G295" s="1329" t="s">
        <v>1588</v>
      </c>
      <c r="I295" s="1392"/>
    </row>
    <row r="296" spans="1:9" s="1390" customFormat="1" ht="23.25">
      <c r="A296" s="1331">
        <v>383</v>
      </c>
      <c r="B296" s="1320"/>
      <c r="C296" s="1321" t="str">
        <f t="shared" si="5"/>
        <v>zur Berechnung des Elektrizitätsbedarfs (2A)</v>
      </c>
      <c r="D296" s="1336"/>
      <c r="E296" s="1327" t="s">
        <v>1025</v>
      </c>
      <c r="F296" s="1328" t="s">
        <v>1312</v>
      </c>
      <c r="G296" s="1333" t="s">
        <v>1306</v>
      </c>
      <c r="I296" s="1392"/>
    </row>
    <row r="297" spans="1:9" s="1390" customFormat="1" ht="23.25">
      <c r="A297" s="1319">
        <v>384</v>
      </c>
      <c r="B297" s="1320"/>
      <c r="C297" s="1344" t="str">
        <f>IF(C$12=F$12,F297,IF(C$12=G$12,G297,E297))</f>
        <v>Version 5.6 (2021): gültig bis 15. August 2021</v>
      </c>
      <c r="D297" s="1336"/>
      <c r="E297" s="1327" t="s">
        <v>1612</v>
      </c>
      <c r="F297" s="1328" t="s">
        <v>1613</v>
      </c>
      <c r="G297" s="1329" t="s">
        <v>1614</v>
      </c>
      <c r="I297" s="1392"/>
    </row>
    <row r="298" spans="1:9" s="1390" customFormat="1" ht="25.5">
      <c r="A298" s="1319">
        <v>385</v>
      </c>
      <c r="B298" s="1320"/>
      <c r="C298" s="1321" t="str">
        <f t="shared" si="5"/>
        <v xml:space="preserve">Hinweis: Für Hilfsbetriebe die mittlere Leistung berechnen. </v>
      </c>
      <c r="D298" s="1336"/>
      <c r="E298" s="1327" t="s">
        <v>1127</v>
      </c>
      <c r="F298" s="1328" t="s">
        <v>761</v>
      </c>
      <c r="G298" s="1329" t="s">
        <v>759</v>
      </c>
      <c r="I298" s="1392"/>
    </row>
    <row r="299" spans="1:9" s="1390" customFormat="1" ht="89.25">
      <c r="A299" s="1319">
        <v>386</v>
      </c>
      <c r="B299" s="1320"/>
      <c r="C299" s="1321" t="str">
        <f t="shared" si="5"/>
        <v xml:space="preserve">Beispiel Kälteanlage mit 5'000 Betriebsstunden: Für eine Abtauheizung mit einer Leistung von 1 kW, die täglich 2 x 40 Minuten in Betrieb ist (500 h/a resp. während 10% der Betriebsstunden) beträgt die mittlere Leistung 10% von 1 kW = 0.1 kW. </v>
      </c>
      <c r="D299" s="1336"/>
      <c r="E299" s="1327" t="s">
        <v>1128</v>
      </c>
      <c r="F299" s="1328" t="s">
        <v>762</v>
      </c>
      <c r="G299" s="1329" t="s">
        <v>760</v>
      </c>
      <c r="I299" s="1392"/>
    </row>
    <row r="300" spans="1:9" s="1390" customFormat="1" ht="23.25">
      <c r="A300" s="1319">
        <v>387</v>
      </c>
      <c r="B300" s="1320"/>
      <c r="C300" s="1321" t="str">
        <f>IF(C$12=F$12,F300,IF(C$12=G$12,G300,E300))</f>
        <v>Schweizer Produktionsmix</v>
      </c>
      <c r="D300" s="1336"/>
      <c r="E300" s="1327" t="s">
        <v>795</v>
      </c>
      <c r="F300" s="1328" t="s">
        <v>811</v>
      </c>
      <c r="G300" s="1329" t="s">
        <v>796</v>
      </c>
      <c r="I300" s="1392"/>
    </row>
    <row r="301" spans="1:9" s="1390" customFormat="1" ht="23.25">
      <c r="A301" s="1319">
        <v>388</v>
      </c>
      <c r="B301" s="1320"/>
      <c r="C301" s="1321" t="str">
        <f t="shared" si="5"/>
        <v>Art der CO2-Kompensation</v>
      </c>
      <c r="D301" s="1336"/>
      <c r="E301" s="1327" t="s">
        <v>788</v>
      </c>
      <c r="F301" s="1328" t="s">
        <v>809</v>
      </c>
      <c r="G301" s="1329" t="s">
        <v>797</v>
      </c>
      <c r="I301" s="1392"/>
    </row>
    <row r="302" spans="1:9" s="1390" customFormat="1" ht="23.25">
      <c r="A302" s="1319">
        <v>389</v>
      </c>
      <c r="B302" s="1320"/>
      <c r="C302" s="1321" t="str">
        <f>IF(C$12=F$12,F302,IF(C$12=G$12,G302,E302))</f>
        <v>Kompensation mit ausländischen Zertifikaten</v>
      </c>
      <c r="D302" s="1336"/>
      <c r="E302" s="1327" t="s">
        <v>787</v>
      </c>
      <c r="F302" s="1328" t="s">
        <v>806</v>
      </c>
      <c r="G302" s="1329" t="s">
        <v>800</v>
      </c>
      <c r="I302" s="1392"/>
    </row>
    <row r="303" spans="1:9" s="1390" customFormat="1" ht="25.5">
      <c r="A303" s="1319">
        <v>390</v>
      </c>
      <c r="B303" s="1320"/>
      <c r="C303" s="1321" t="str">
        <f>IF(C$12=F$12,F303,IF(C$12=G$12,G303,E303))</f>
        <v>Aktueller CO2-Abgabesatz der Schweiz</v>
      </c>
      <c r="D303" s="1336"/>
      <c r="E303" s="1327" t="s">
        <v>792</v>
      </c>
      <c r="F303" s="1328" t="s">
        <v>807</v>
      </c>
      <c r="G303" s="1329" t="s">
        <v>799</v>
      </c>
      <c r="I303" s="1392"/>
    </row>
    <row r="304" spans="1:9" s="1390" customFormat="1" ht="23.25">
      <c r="A304" s="1319">
        <v>391</v>
      </c>
      <c r="B304" s="1320"/>
      <c r="C304" s="1321" t="str">
        <f>IF(C$12=F$12,F304,IF(C$12=G$12,G304,E304))</f>
        <v>Globale Vermeidungskosten</v>
      </c>
      <c r="D304" s="1336"/>
      <c r="E304" s="1327" t="s">
        <v>790</v>
      </c>
      <c r="F304" s="1328" t="s">
        <v>808</v>
      </c>
      <c r="G304" s="1329" t="s">
        <v>798</v>
      </c>
      <c r="I304" s="1392"/>
    </row>
    <row r="305" spans="1:9" s="1396" customFormat="1" ht="14.1" customHeight="1">
      <c r="A305" s="1345">
        <v>392</v>
      </c>
      <c r="B305" s="1346"/>
      <c r="C305" s="1347">
        <f>IF(C$12=F$12,F305,IF(C$12=G$12,G305,E305))</f>
        <v>0</v>
      </c>
      <c r="D305" s="1348"/>
      <c r="E305" s="1349"/>
      <c r="F305" s="1350"/>
      <c r="G305" s="1349"/>
      <c r="I305" s="1395"/>
    </row>
    <row r="306" spans="1:9" s="1390" customFormat="1" ht="25.5">
      <c r="A306" s="1331">
        <v>393</v>
      </c>
      <c r="B306" s="1320"/>
      <c r="C306" s="1321" t="str">
        <f>IF(C$12=F$12,F306,IF(C$12=G$12,G306,E306))</f>
        <v>Free-Cooling und Wärmenutzung (Zusatzfunktion)</v>
      </c>
      <c r="D306" s="1336"/>
      <c r="E306" s="1327" t="s">
        <v>1063</v>
      </c>
      <c r="F306" s="1328" t="s">
        <v>1134</v>
      </c>
      <c r="G306" s="1329" t="s">
        <v>1217</v>
      </c>
      <c r="I306" s="1392"/>
    </row>
    <row r="307" spans="1:9" s="1390" customFormat="1" ht="36" customHeight="1">
      <c r="A307" s="1331">
        <v>394</v>
      </c>
      <c r="B307" s="1320"/>
      <c r="C307" s="1321" t="str">
        <f t="shared" ref="C307" si="6">IF(C$12=F$12,F307,IF(C$12=G$12,G307,E307))</f>
        <v>Im Kälte-Tool können Sie eine Anlage mit Free-Cooling-Funktion oder mit einer Wärmenutzung betrachten.</v>
      </c>
      <c r="D307" s="1336"/>
      <c r="E307" s="1327" t="s">
        <v>1062</v>
      </c>
      <c r="F307" s="1328" t="s">
        <v>1135</v>
      </c>
      <c r="G307" s="1329" t="s">
        <v>1218</v>
      </c>
      <c r="I307" s="1392"/>
    </row>
    <row r="308" spans="1:9" s="1390" customFormat="1" ht="25.5">
      <c r="A308" s="1331">
        <v>395</v>
      </c>
      <c r="B308" s="1320"/>
      <c r="C308" s="1321" t="str">
        <f>IF(C$12=F$12,F308,IF(C$12=G$12,G308,E308))</f>
        <v>Welche Zusatzfunktion wolle Sie berechnen?</v>
      </c>
      <c r="D308" s="1336"/>
      <c r="E308" s="1327" t="s">
        <v>842</v>
      </c>
      <c r="F308" s="1328" t="s">
        <v>1136</v>
      </c>
      <c r="G308" s="1329" t="s">
        <v>1219</v>
      </c>
      <c r="I308" s="1392"/>
    </row>
    <row r="309" spans="1:9" s="1390" customFormat="1" ht="23.25">
      <c r="A309" s="1331">
        <v>396</v>
      </c>
      <c r="B309" s="1320"/>
      <c r="C309" s="1321" t="str">
        <f>IF(C$12=F$12,F309,IF(C$12=G$12,G309,E309))</f>
        <v>VL-Temperatur Kaltwasser</v>
      </c>
      <c r="D309" s="1336"/>
      <c r="E309" s="1327" t="s">
        <v>821</v>
      </c>
      <c r="F309" s="1328" t="s">
        <v>1333</v>
      </c>
      <c r="G309" s="1329" t="s">
        <v>1220</v>
      </c>
      <c r="I309" s="1392"/>
    </row>
    <row r="310" spans="1:9" s="1398" customFormat="1" ht="23.25">
      <c r="A310" s="1351">
        <v>397</v>
      </c>
      <c r="B310" s="1352"/>
      <c r="C310" s="1353" t="str">
        <f t="shared" ref="C310" si="7">IF(C$12=F$12,F310,IF(C$12=G$12,G310,E310))</f>
        <v>Rückkühler</v>
      </c>
      <c r="D310" s="1354"/>
      <c r="E310" s="1355" t="s">
        <v>1093</v>
      </c>
      <c r="F310" s="1356" t="s">
        <v>1137</v>
      </c>
      <c r="G310" s="1357" t="s">
        <v>1221</v>
      </c>
      <c r="I310" s="1397"/>
    </row>
    <row r="311" spans="1:9" s="1390" customFormat="1" ht="23.25">
      <c r="A311" s="1331">
        <v>398</v>
      </c>
      <c r="B311" s="1320"/>
      <c r="C311" s="1321" t="str">
        <f>IF(C$12=F$12,F311,IF(C$12=G$12,G311,E311))</f>
        <v>zusätzliche Hilfsbetriebe</v>
      </c>
      <c r="D311" s="1336"/>
      <c r="E311" s="1327" t="s">
        <v>960</v>
      </c>
      <c r="F311" s="1328" t="s">
        <v>1138</v>
      </c>
      <c r="G311" s="1329" t="s">
        <v>1222</v>
      </c>
      <c r="I311" s="1392"/>
    </row>
    <row r="312" spans="1:9" s="1390" customFormat="1" ht="23.25">
      <c r="A312" s="1331">
        <v>399</v>
      </c>
      <c r="B312" s="1320"/>
      <c r="C312" s="1321" t="str">
        <f>IF(C$12=F$12,F312,IF(C$12=G$12,G312,E312))</f>
        <v>Wärmenutzung</v>
      </c>
      <c r="D312" s="1336"/>
      <c r="E312" s="1327" t="s">
        <v>962</v>
      </c>
      <c r="F312" s="1328" t="s">
        <v>1139</v>
      </c>
      <c r="G312" s="1329" t="s">
        <v>1223</v>
      </c>
      <c r="I312" s="1392"/>
    </row>
    <row r="313" spans="1:9" s="1390" customFormat="1" ht="23.25">
      <c r="A313" s="1331">
        <v>400</v>
      </c>
      <c r="B313" s="1320"/>
      <c r="C313" s="1321" t="str">
        <f t="shared" ref="C313" si="8">IF(C$12=F$12,F313,IF(C$12=G$12,G313,E313))</f>
        <v>Abschätzung des Wärmebedarfs</v>
      </c>
      <c r="D313" s="1336"/>
      <c r="E313" s="1327" t="s">
        <v>992</v>
      </c>
      <c r="F313" s="1328" t="s">
        <v>1140</v>
      </c>
      <c r="G313" s="1329" t="s">
        <v>1224</v>
      </c>
      <c r="I313" s="1392"/>
    </row>
    <row r="314" spans="1:9" s="1390" customFormat="1" ht="23.25">
      <c r="A314" s="1331">
        <v>401</v>
      </c>
      <c r="B314" s="1320"/>
      <c r="C314" s="1321" t="str">
        <f>IF(C$12=F$12,F314,IF(C$12=G$12,G314,E314))</f>
        <v>benötigte Trinkwarmwasser-Menge</v>
      </c>
      <c r="D314" s="1336"/>
      <c r="E314" s="1327" t="s">
        <v>937</v>
      </c>
      <c r="F314" s="1328" t="s">
        <v>1315</v>
      </c>
      <c r="G314" s="1329" t="s">
        <v>1316</v>
      </c>
      <c r="I314" s="1392"/>
    </row>
    <row r="315" spans="1:9" s="1390" customFormat="1" ht="23.25">
      <c r="A315" s="1331">
        <v>402</v>
      </c>
      <c r="B315" s="1320"/>
      <c r="C315" s="1321" t="str">
        <f>IF(C$12=F$12,F315,IF(C$12=G$12,G315,E315))</f>
        <v>andere (z.B. für Prozesse)</v>
      </c>
      <c r="D315" s="1336"/>
      <c r="E315" s="1327" t="s">
        <v>938</v>
      </c>
      <c r="F315" s="1328" t="s">
        <v>1317</v>
      </c>
      <c r="G315" s="1329" t="s">
        <v>1318</v>
      </c>
      <c r="I315" s="1392"/>
    </row>
    <row r="316" spans="1:9" s="1390" customFormat="1" ht="23.25">
      <c r="A316" s="1331">
        <v>403</v>
      </c>
      <c r="B316" s="1320"/>
      <c r="C316" s="1321" t="str">
        <f t="shared" ref="C316" si="9">IF(C$12=F$12,F316,IF(C$12=G$12,G316,E316))</f>
        <v>für Heizung: beheizte Gebäudefläche</v>
      </c>
      <c r="D316" s="1336"/>
      <c r="E316" s="1327" t="s">
        <v>946</v>
      </c>
      <c r="F316" s="1328" t="s">
        <v>1319</v>
      </c>
      <c r="G316" s="1329" t="s">
        <v>1320</v>
      </c>
      <c r="I316" s="1392"/>
    </row>
    <row r="317" spans="1:9" s="1390" customFormat="1" ht="23.25">
      <c r="A317" s="1331">
        <v>404</v>
      </c>
      <c r="B317" s="1320"/>
      <c r="C317" s="1321" t="str">
        <f>IF(C$12=F$12,F317,IF(C$12=G$12,G317,E317))</f>
        <v>Heizenergiebedarf (Vorschlag)</v>
      </c>
      <c r="D317" s="1336"/>
      <c r="E317" s="1327" t="s">
        <v>929</v>
      </c>
      <c r="F317" s="1328" t="s">
        <v>1321</v>
      </c>
      <c r="G317" s="1329" t="s">
        <v>1324</v>
      </c>
      <c r="I317" s="1392"/>
    </row>
    <row r="318" spans="1:9" s="1390" customFormat="1" ht="23.25">
      <c r="A318" s="1331">
        <v>405</v>
      </c>
      <c r="B318" s="1320"/>
      <c r="C318" s="1321" t="str">
        <f>IF(C$12=F$12,F318,IF(C$12=G$12,G318,E318))</f>
        <v>Heizenergiebedarf Planer (fakultativ)</v>
      </c>
      <c r="D318" s="1336"/>
      <c r="E318" s="1327" t="s">
        <v>993</v>
      </c>
      <c r="F318" s="1328" t="s">
        <v>1322</v>
      </c>
      <c r="G318" s="1329" t="s">
        <v>1323</v>
      </c>
      <c r="I318" s="1392"/>
    </row>
    <row r="319" spans="1:9" s="1390" customFormat="1" ht="25.5">
      <c r="A319" s="1331">
        <v>406</v>
      </c>
      <c r="B319" s="1320"/>
      <c r="C319" s="1321" t="str">
        <f t="shared" ref="C319" si="10">IF(C$12=F$12,F319,IF(C$12=G$12,G319,E319))</f>
        <v>Welche Temperatur muss die Wärme aufweisen? (nur eine Temperatur möglich)</v>
      </c>
      <c r="D319" s="1336"/>
      <c r="E319" s="1327" t="s">
        <v>1064</v>
      </c>
      <c r="F319" s="1328" t="s">
        <v>1141</v>
      </c>
      <c r="G319" s="1329" t="s">
        <v>1225</v>
      </c>
      <c r="I319" s="1392"/>
    </row>
    <row r="320" spans="1:9" s="1390" customFormat="1" ht="23.25">
      <c r="A320" s="1331">
        <v>407</v>
      </c>
      <c r="B320" s="1320"/>
      <c r="C320" s="1321" t="str">
        <f>IF(C$12=F$12,F320,IF(C$12=G$12,G320,E320))</f>
        <v>Temperatur</v>
      </c>
      <c r="D320" s="1336"/>
      <c r="E320" s="1327" t="s">
        <v>964</v>
      </c>
      <c r="F320" s="1328" t="s">
        <v>1142</v>
      </c>
      <c r="G320" s="1329" t="s">
        <v>1226</v>
      </c>
      <c r="I320" s="1392"/>
    </row>
    <row r="321" spans="1:9" s="1390" customFormat="1" ht="25.5">
      <c r="A321" s="1331">
        <v>408</v>
      </c>
      <c r="B321" s="1320"/>
      <c r="C321" s="1321" t="str">
        <f>IF(C$12=F$12,F321,IF(C$12=G$12,G321,E321))</f>
        <v xml:space="preserve">Für die Wärmenutzung muss die Verflüssigungstemperatur angehoben werden. </v>
      </c>
      <c r="D321" s="1336"/>
      <c r="E321" s="1327" t="s">
        <v>1065</v>
      </c>
      <c r="F321" s="1328" t="s">
        <v>1143</v>
      </c>
      <c r="G321" s="1329" t="s">
        <v>1227</v>
      </c>
      <c r="I321" s="1392"/>
    </row>
    <row r="322" spans="1:9" s="1390" customFormat="1" ht="89.25">
      <c r="A322" s="1331">
        <v>409</v>
      </c>
      <c r="B322" s="1320"/>
      <c r="C322" s="1321" t="str">
        <f t="shared" ref="C322" si="11">IF(C$12=F$12,F322,IF(C$12=G$12,G322,E322))</f>
        <v>Klären Sie, ob die hohe Verflüssigungstemperatur mit dem eingesetzten Kältemittel technisch möglich ist (Einsatzgrenze). Überprüfen Sie weiter, ob in den Zeiten mit angehobener Verflüssigungstemperatur ihre Kälteanwendungen mit einer reduzierten Kälteleistung funktionieren.</v>
      </c>
      <c r="D322" s="1336"/>
      <c r="E322" s="1327" t="s">
        <v>847</v>
      </c>
      <c r="F322" s="1328" t="s">
        <v>1144</v>
      </c>
      <c r="G322" s="1329" t="s">
        <v>1228</v>
      </c>
      <c r="I322" s="1392"/>
    </row>
    <row r="323" spans="1:9" s="1390" customFormat="1" ht="23.25">
      <c r="A323" s="1331">
        <v>410</v>
      </c>
      <c r="B323" s="1320"/>
      <c r="C323" s="1321" t="str">
        <f>IF(C$12=F$12,F323,IF(C$12=G$12,G323,E323))</f>
        <v>Kälte</v>
      </c>
      <c r="D323" s="1336"/>
      <c r="E323" s="1327" t="s">
        <v>850</v>
      </c>
      <c r="F323" s="1328" t="s">
        <v>1145</v>
      </c>
      <c r="G323" s="1329" t="s">
        <v>1229</v>
      </c>
      <c r="I323" s="1392"/>
    </row>
    <row r="324" spans="1:9" s="1390" customFormat="1" ht="23.25">
      <c r="A324" s="1331">
        <v>411</v>
      </c>
      <c r="B324" s="1320"/>
      <c r="C324" s="1321" t="str">
        <f>IF(C$12=F$12,F324,IF(C$12=G$12,G324,E324))</f>
        <v>Kühlung mit der Kältemaschine</v>
      </c>
      <c r="D324" s="1336"/>
      <c r="E324" s="1327" t="s">
        <v>855</v>
      </c>
      <c r="F324" s="1328" t="s">
        <v>1146</v>
      </c>
      <c r="G324" s="1329" t="s">
        <v>1230</v>
      </c>
      <c r="I324" s="1392"/>
    </row>
    <row r="325" spans="1:9" s="1390" customFormat="1" ht="23.25">
      <c r="A325" s="1331">
        <v>412</v>
      </c>
      <c r="B325" s="1320"/>
      <c r="C325" s="1321" t="str">
        <f t="shared" ref="C325" si="12">IF(C$12=F$12,F325,IF(C$12=G$12,G325,E325))</f>
        <v>Kühlung mit Free-Cooling</v>
      </c>
      <c r="D325" s="1336"/>
      <c r="E325" s="1327" t="s">
        <v>854</v>
      </c>
      <c r="F325" s="1328" t="s">
        <v>1147</v>
      </c>
      <c r="G325" s="1329" t="s">
        <v>1231</v>
      </c>
      <c r="I325" s="1392"/>
    </row>
    <row r="326" spans="1:9" s="1390" customFormat="1" ht="23.25">
      <c r="A326" s="1331">
        <v>413</v>
      </c>
      <c r="B326" s="1320"/>
      <c r="C326" s="1321" t="str">
        <f>IF(C$12=F$12,F326,IF(C$12=G$12,G326,E326))</f>
        <v>Genutzte Kälte</v>
      </c>
      <c r="D326" s="1336"/>
      <c r="E326" s="1327" t="s">
        <v>995</v>
      </c>
      <c r="F326" s="1328" t="s">
        <v>1148</v>
      </c>
      <c r="G326" s="1329" t="s">
        <v>1232</v>
      </c>
      <c r="I326" s="1392"/>
    </row>
    <row r="327" spans="1:9" s="1390" customFormat="1" ht="23.25">
      <c r="A327" s="1331">
        <v>414</v>
      </c>
      <c r="B327" s="1320"/>
      <c r="C327" s="1321" t="str">
        <f>IF(C$12=F$12,F327,IF(C$12=G$12,G327,E327))</f>
        <v>Elektrizitätsverbrauch Kälte</v>
      </c>
      <c r="D327" s="1336"/>
      <c r="E327" s="1327" t="s">
        <v>849</v>
      </c>
      <c r="F327" s="1328" t="s">
        <v>1149</v>
      </c>
      <c r="G327" s="1329" t="s">
        <v>1233</v>
      </c>
      <c r="I327" s="1392"/>
    </row>
    <row r="328" spans="1:9" s="1390" customFormat="1" ht="23.25">
      <c r="A328" s="1331">
        <v>415</v>
      </c>
      <c r="B328" s="1320"/>
      <c r="C328" s="1321" t="str">
        <f t="shared" ref="C328:C356" si="13">IF(C$12=F$12,F328,IF(C$12=G$12,G328,E328))</f>
        <v>Energieeffizienz-Zahl (Kälte)</v>
      </c>
      <c r="D328" s="1336"/>
      <c r="E328" s="1327" t="s">
        <v>972</v>
      </c>
      <c r="F328" s="1328" t="s">
        <v>1150</v>
      </c>
      <c r="G328" s="1329" t="s">
        <v>1234</v>
      </c>
      <c r="I328" s="1392"/>
    </row>
    <row r="329" spans="1:9" s="1390" customFormat="1" ht="25.5">
      <c r="A329" s="1331">
        <v>416</v>
      </c>
      <c r="B329" s="1320"/>
      <c r="C329" s="1321" t="str">
        <f t="shared" si="13"/>
        <v>(Total Kälte / Elektrizitätsverbrauch Kälte)</v>
      </c>
      <c r="D329" s="1336"/>
      <c r="E329" s="1327" t="s">
        <v>994</v>
      </c>
      <c r="F329" s="1328" t="s">
        <v>1151</v>
      </c>
      <c r="G329" s="1329" t="s">
        <v>1235</v>
      </c>
      <c r="I329" s="1392"/>
    </row>
    <row r="330" spans="1:9" s="1390" customFormat="1" ht="23.25">
      <c r="A330" s="1331">
        <v>417</v>
      </c>
      <c r="B330" s="1320"/>
      <c r="C330" s="1321" t="str">
        <f t="shared" si="13"/>
        <v>Wärme</v>
      </c>
      <c r="D330" s="1336"/>
      <c r="E330" s="1327" t="s">
        <v>851</v>
      </c>
      <c r="F330" s="1328" t="s">
        <v>1152</v>
      </c>
      <c r="G330" s="1329" t="s">
        <v>1236</v>
      </c>
      <c r="I330" s="1392"/>
    </row>
    <row r="331" spans="1:9" s="1390" customFormat="1" ht="23.25">
      <c r="A331" s="1331">
        <v>418</v>
      </c>
      <c r="B331" s="1320"/>
      <c r="C331" s="1321" t="str">
        <f t="shared" si="13"/>
        <v>Genutzte Wärme</v>
      </c>
      <c r="D331" s="1336"/>
      <c r="E331" s="1327" t="s">
        <v>973</v>
      </c>
      <c r="F331" s="1328" t="s">
        <v>1153</v>
      </c>
      <c r="G331" s="1329" t="s">
        <v>1237</v>
      </c>
      <c r="I331" s="1392"/>
    </row>
    <row r="332" spans="1:9" s="1390" customFormat="1" ht="23.25">
      <c r="A332" s="1331">
        <v>419</v>
      </c>
      <c r="B332" s="1320"/>
      <c r="C332" s="1321" t="str">
        <f t="shared" si="13"/>
        <v>Energieeffizienz-Zahl (Wärme)</v>
      </c>
      <c r="D332" s="1336"/>
      <c r="E332" s="1359" t="s">
        <v>971</v>
      </c>
      <c r="F332" s="1328" t="s">
        <v>1154</v>
      </c>
      <c r="G332" s="1329" t="s">
        <v>1238</v>
      </c>
      <c r="I332" s="1392"/>
    </row>
    <row r="333" spans="1:9" s="1390" customFormat="1" ht="25.5">
      <c r="A333" s="1331">
        <v>420</v>
      </c>
      <c r="B333" s="1320"/>
      <c r="C333" s="1321" t="str">
        <f t="shared" si="13"/>
        <v>(genutzte Wärme / Elektrizitätsverbrauch Wärme)</v>
      </c>
      <c r="D333" s="1336"/>
      <c r="E333" s="1327" t="s">
        <v>858</v>
      </c>
      <c r="F333" s="1328" t="s">
        <v>1155</v>
      </c>
      <c r="G333" s="1329" t="s">
        <v>1239</v>
      </c>
      <c r="I333" s="1392"/>
    </row>
    <row r="334" spans="1:9" s="1390" customFormat="1" ht="23.25">
      <c r="A334" s="1331">
        <v>421</v>
      </c>
      <c r="B334" s="1320"/>
      <c r="C334" s="1321" t="str">
        <f t="shared" si="13"/>
        <v>Gesamtsystem (Kälte + Wärme)</v>
      </c>
      <c r="D334" s="1336"/>
      <c r="E334" s="1327" t="s">
        <v>853</v>
      </c>
      <c r="F334" s="1328" t="s">
        <v>1156</v>
      </c>
      <c r="G334" s="1329" t="s">
        <v>1240</v>
      </c>
      <c r="I334" s="1392"/>
    </row>
    <row r="335" spans="1:9" s="1390" customFormat="1" ht="23.25">
      <c r="A335" s="1331">
        <v>422</v>
      </c>
      <c r="B335" s="1320"/>
      <c r="C335" s="1321" t="str">
        <f t="shared" si="13"/>
        <v>Genutzte Wärme + Kälte</v>
      </c>
      <c r="D335" s="1336"/>
      <c r="E335" s="1327" t="s">
        <v>974</v>
      </c>
      <c r="F335" s="1328" t="s">
        <v>1157</v>
      </c>
      <c r="G335" s="1329" t="s">
        <v>1241</v>
      </c>
      <c r="I335" s="1392"/>
    </row>
    <row r="336" spans="1:9" s="1390" customFormat="1" ht="23.25">
      <c r="A336" s="1331">
        <v>423</v>
      </c>
      <c r="B336" s="1320"/>
      <c r="C336" s="1321" t="str">
        <f t="shared" si="13"/>
        <v>Elektrizitätsverbrauch Wärme und Kälte</v>
      </c>
      <c r="D336" s="1336"/>
      <c r="E336" s="1327" t="s">
        <v>852</v>
      </c>
      <c r="F336" s="1328" t="s">
        <v>1158</v>
      </c>
      <c r="G336" s="1329" t="s">
        <v>1242</v>
      </c>
      <c r="I336" s="1392"/>
    </row>
    <row r="337" spans="1:9" s="1390" customFormat="1" ht="23.25">
      <c r="A337" s="1331">
        <v>424</v>
      </c>
      <c r="B337" s="1320"/>
      <c r="C337" s="1321" t="str">
        <f>IF(C$12=F$12,F337,IF(C$12=G$12,G337,E337))</f>
        <v>Energieeffizienz-Zahl (Kälte + Wärme)</v>
      </c>
      <c r="D337" s="1336"/>
      <c r="E337" s="1327" t="s">
        <v>970</v>
      </c>
      <c r="F337" s="1328" t="s">
        <v>1159</v>
      </c>
      <c r="G337" s="1329" t="s">
        <v>1243</v>
      </c>
      <c r="I337" s="1392"/>
    </row>
    <row r="338" spans="1:9" s="1390" customFormat="1" ht="25.5">
      <c r="A338" s="1331">
        <v>425</v>
      </c>
      <c r="B338" s="1320"/>
      <c r="C338" s="1321" t="str">
        <f t="shared" si="13"/>
        <v>((genutzte Wärme + Kälte) / Gesamter Elektrizitätsverbrauch)</v>
      </c>
      <c r="D338" s="1336"/>
      <c r="E338" s="1327" t="s">
        <v>996</v>
      </c>
      <c r="F338" s="1328" t="s">
        <v>1160</v>
      </c>
      <c r="G338" s="1329" t="s">
        <v>1244</v>
      </c>
      <c r="I338" s="1392"/>
    </row>
    <row r="339" spans="1:9" s="1390" customFormat="1" ht="23.25">
      <c r="A339" s="1331">
        <v>426</v>
      </c>
      <c r="B339" s="1320"/>
      <c r="C339" s="1321" t="str">
        <f t="shared" si="13"/>
        <v>Wärmebedarf (Schätzung)</v>
      </c>
      <c r="D339" s="1336"/>
      <c r="E339" s="1327" t="s">
        <v>959</v>
      </c>
      <c r="F339" s="1328" t="s">
        <v>1161</v>
      </c>
      <c r="G339" s="1329" t="s">
        <v>1245</v>
      </c>
      <c r="I339" s="1392"/>
    </row>
    <row r="340" spans="1:9" s="1390" customFormat="1" ht="23.25">
      <c r="A340" s="1331">
        <v>427</v>
      </c>
      <c r="B340" s="1320"/>
      <c r="C340" s="1321" t="str">
        <f t="shared" si="13"/>
        <v>für Trinkwarmwasser</v>
      </c>
      <c r="D340" s="1336"/>
      <c r="E340" s="1327" t="s">
        <v>955</v>
      </c>
      <c r="F340" s="1328" t="s">
        <v>1162</v>
      </c>
      <c r="G340" s="1329" t="s">
        <v>1246</v>
      </c>
      <c r="I340" s="1392"/>
    </row>
    <row r="341" spans="1:9" s="1390" customFormat="1" ht="23.25">
      <c r="A341" s="1331">
        <v>428</v>
      </c>
      <c r="B341" s="1320"/>
      <c r="C341" s="1321" t="str">
        <f t="shared" si="13"/>
        <v>für die Heizung</v>
      </c>
      <c r="D341" s="1336"/>
      <c r="E341" s="1327" t="s">
        <v>956</v>
      </c>
      <c r="F341" s="1328" t="s">
        <v>1163</v>
      </c>
      <c r="G341" s="1329" t="s">
        <v>1247</v>
      </c>
      <c r="I341" s="1392"/>
    </row>
    <row r="342" spans="1:9" s="1390" customFormat="1" ht="23.25">
      <c r="A342" s="1331">
        <v>429</v>
      </c>
      <c r="B342" s="1320"/>
      <c r="C342" s="1321" t="str">
        <f t="shared" si="13"/>
        <v>für Anderes (z.B. Prozesse)</v>
      </c>
      <c r="D342" s="1336"/>
      <c r="E342" s="1327" t="s">
        <v>957</v>
      </c>
      <c r="F342" s="1328" t="s">
        <v>1164</v>
      </c>
      <c r="G342" s="1329" t="s">
        <v>1248</v>
      </c>
      <c r="I342" s="1392"/>
    </row>
    <row r="343" spans="1:9" s="1390" customFormat="1" ht="23.25">
      <c r="A343" s="1331">
        <v>430</v>
      </c>
      <c r="B343" s="1320"/>
      <c r="C343" s="1321" t="str">
        <f t="shared" si="13"/>
        <v>Total Bedarf</v>
      </c>
      <c r="D343" s="1336"/>
      <c r="E343" s="1327" t="s">
        <v>943</v>
      </c>
      <c r="F343" s="1328" t="s">
        <v>1165</v>
      </c>
      <c r="G343" s="1329" t="s">
        <v>1249</v>
      </c>
      <c r="I343" s="1392"/>
    </row>
    <row r="344" spans="1:9" s="1390" customFormat="1" ht="23.25">
      <c r="A344" s="1331">
        <v>431</v>
      </c>
      <c r="B344" s="1320"/>
      <c r="C344" s="1321" t="str">
        <f t="shared" si="13"/>
        <v>Kältebedarf</v>
      </c>
      <c r="D344" s="1336"/>
      <c r="E344" s="1327" t="s">
        <v>837</v>
      </c>
      <c r="F344" s="1328" t="s">
        <v>1166</v>
      </c>
      <c r="G344" s="1329" t="s">
        <v>1250</v>
      </c>
      <c r="I344" s="1392"/>
    </row>
    <row r="345" spans="1:9" s="1390" customFormat="1" ht="23.25">
      <c r="A345" s="1331">
        <v>432</v>
      </c>
      <c r="B345" s="1320"/>
      <c r="C345" s="1321" t="str">
        <f t="shared" si="13"/>
        <v>mit Free-Cooling</v>
      </c>
      <c r="D345" s="1336"/>
      <c r="E345" s="1327" t="s">
        <v>838</v>
      </c>
      <c r="F345" s="1328" t="s">
        <v>1167</v>
      </c>
      <c r="G345" s="1329" t="s">
        <v>1251</v>
      </c>
      <c r="I345" s="1392"/>
    </row>
    <row r="346" spans="1:9" s="1390" customFormat="1" ht="23.25">
      <c r="A346" s="1331">
        <v>433</v>
      </c>
      <c r="B346" s="1320"/>
      <c r="C346" s="1321" t="str">
        <f t="shared" si="13"/>
        <v>Stromverbrauch Verdichter</v>
      </c>
      <c r="D346" s="1336"/>
      <c r="E346" s="1327" t="s">
        <v>216</v>
      </c>
      <c r="F346" s="1328" t="s">
        <v>1168</v>
      </c>
      <c r="G346" s="1329" t="s">
        <v>1252</v>
      </c>
      <c r="I346" s="1392"/>
    </row>
    <row r="347" spans="1:9" s="1390" customFormat="1" ht="23.25">
      <c r="A347" s="1331">
        <v>434</v>
      </c>
      <c r="B347" s="1320"/>
      <c r="C347" s="1321" t="str">
        <f t="shared" si="13"/>
        <v>Reduktion dank Free-Cooling</v>
      </c>
      <c r="D347" s="1336"/>
      <c r="E347" s="1327" t="s">
        <v>840</v>
      </c>
      <c r="F347" s="1328" t="s">
        <v>1169</v>
      </c>
      <c r="G347" s="1329" t="s">
        <v>1253</v>
      </c>
      <c r="I347" s="1392"/>
    </row>
    <row r="348" spans="1:9" s="1390" customFormat="1" ht="25.5">
      <c r="A348" s="1331">
        <v>435</v>
      </c>
      <c r="B348" s="1320"/>
      <c r="C348" s="1321" t="str">
        <f>IF(C$12=F$12,F348,IF(C$12=G$12,G348,E348))</f>
        <v>Mehrverbrauch Wärmenutzung</v>
      </c>
      <c r="D348" s="1336"/>
      <c r="E348" s="1327" t="s">
        <v>952</v>
      </c>
      <c r="F348" s="1328" t="s">
        <v>1170</v>
      </c>
      <c r="G348" s="1329" t="s">
        <v>1254</v>
      </c>
      <c r="I348" s="1392"/>
    </row>
    <row r="349" spans="1:9" s="1390" customFormat="1" ht="23.25">
      <c r="A349" s="1331">
        <v>436</v>
      </c>
      <c r="B349" s="1320"/>
      <c r="C349" s="1321" t="str">
        <f t="shared" si="13"/>
        <v>Verfügbare Wärme</v>
      </c>
      <c r="D349" s="1336"/>
      <c r="E349" s="1327" t="s">
        <v>1066</v>
      </c>
      <c r="F349" s="1328" t="s">
        <v>1171</v>
      </c>
      <c r="G349" s="1329" t="s">
        <v>1255</v>
      </c>
      <c r="I349" s="1392"/>
    </row>
    <row r="350" spans="1:9" s="1390" customFormat="1" ht="25.5">
      <c r="A350" s="1331">
        <v>437</v>
      </c>
      <c r="B350" s="1320"/>
      <c r="C350" s="1321" t="str">
        <f t="shared" si="13"/>
        <v>Wärmebedarf (Heizung, TWW, Prozesse)</v>
      </c>
      <c r="D350" s="1336"/>
      <c r="E350" s="1327" t="s">
        <v>958</v>
      </c>
      <c r="F350" s="1328" t="s">
        <v>1172</v>
      </c>
      <c r="G350" s="1329" t="s">
        <v>1256</v>
      </c>
      <c r="I350" s="1392"/>
    </row>
    <row r="351" spans="1:9" s="1390" customFormat="1" ht="23.25">
      <c r="A351" s="1331">
        <v>438</v>
      </c>
      <c r="B351" s="1320"/>
      <c r="C351" s="1321" t="str">
        <f t="shared" si="13"/>
        <v>Effektiv genutzte Wärme</v>
      </c>
      <c r="D351" s="1336"/>
      <c r="E351" s="1327" t="s">
        <v>1067</v>
      </c>
      <c r="F351" s="1328" t="s">
        <v>1173</v>
      </c>
      <c r="G351" s="1329" t="s">
        <v>1257</v>
      </c>
      <c r="I351" s="1392"/>
    </row>
    <row r="352" spans="1:9" s="1390" customFormat="1" ht="23.25">
      <c r="A352" s="1331">
        <v>439</v>
      </c>
      <c r="B352" s="1320"/>
      <c r="C352" s="1321" t="str">
        <f t="shared" si="13"/>
        <v>Trocken</v>
      </c>
      <c r="D352" s="1336"/>
      <c r="E352" s="1327" t="s">
        <v>818</v>
      </c>
      <c r="F352" s="1328" t="s">
        <v>1174</v>
      </c>
      <c r="G352" s="1329" t="s">
        <v>1258</v>
      </c>
      <c r="I352" s="1392"/>
    </row>
    <row r="353" spans="1:9" s="1390" customFormat="1" ht="23.25">
      <c r="A353" s="1331">
        <v>440</v>
      </c>
      <c r="B353" s="1320"/>
      <c r="C353" s="1321" t="str">
        <f t="shared" si="13"/>
        <v>Hybrid</v>
      </c>
      <c r="D353" s="1336"/>
      <c r="E353" s="1327" t="s">
        <v>819</v>
      </c>
      <c r="F353" s="1328" t="s">
        <v>1175</v>
      </c>
      <c r="G353" s="1329" t="s">
        <v>1259</v>
      </c>
      <c r="I353" s="1392"/>
    </row>
    <row r="354" spans="1:9" s="1390" customFormat="1" ht="23.25">
      <c r="A354" s="1331">
        <v>441</v>
      </c>
      <c r="B354" s="1320"/>
      <c r="C354" s="1321" t="str">
        <f t="shared" si="13"/>
        <v>keine Zusatzfunktion</v>
      </c>
      <c r="D354" s="1336"/>
      <c r="E354" s="1327" t="s">
        <v>856</v>
      </c>
      <c r="F354" s="1328" t="s">
        <v>1176</v>
      </c>
      <c r="G354" s="1329" t="s">
        <v>1260</v>
      </c>
      <c r="I354" s="1392"/>
    </row>
    <row r="355" spans="1:9" s="1390" customFormat="1" ht="23.25">
      <c r="A355" s="1331">
        <v>442</v>
      </c>
      <c r="B355" s="1320"/>
      <c r="C355" s="1321" t="str">
        <f t="shared" si="13"/>
        <v>Anlage mit Free-Cooling</v>
      </c>
      <c r="D355" s="1336"/>
      <c r="E355" s="1327" t="s">
        <v>857</v>
      </c>
      <c r="F355" s="1328" t="s">
        <v>1177</v>
      </c>
      <c r="G355" s="1329" t="s">
        <v>1261</v>
      </c>
      <c r="I355" s="1392"/>
    </row>
    <row r="356" spans="1:9" s="1390" customFormat="1" ht="23.25">
      <c r="A356" s="1331">
        <v>443</v>
      </c>
      <c r="B356" s="1320"/>
      <c r="C356" s="1321" t="str">
        <f t="shared" si="13"/>
        <v>Anlage mit einer Wärmenutzung</v>
      </c>
      <c r="D356" s="1336"/>
      <c r="E356" s="1327" t="s">
        <v>1068</v>
      </c>
      <c r="F356" s="1328" t="s">
        <v>1178</v>
      </c>
      <c r="G356" s="1329" t="s">
        <v>1262</v>
      </c>
      <c r="I356" s="1392"/>
    </row>
    <row r="357" spans="1:9" s="1390" customFormat="1" ht="25.5">
      <c r="A357" s="1331">
        <v>444</v>
      </c>
      <c r="B357" s="1320"/>
      <c r="C357" s="1321" t="str">
        <f t="shared" ref="C357:C370" si="14">IF(C$12=F$12,F357,IF(C$12=G$12,G357,E357))</f>
        <v>Berechnung für einfache Komfort-Klimakälteanlagen</v>
      </c>
      <c r="D357" s="1336"/>
      <c r="E357" s="1327" t="s">
        <v>998</v>
      </c>
      <c r="F357" s="1328" t="s">
        <v>1179</v>
      </c>
      <c r="G357" s="1329" t="s">
        <v>1263</v>
      </c>
      <c r="I357" s="1392"/>
    </row>
    <row r="358" spans="1:9" s="1390" customFormat="1" ht="23.25">
      <c r="A358" s="1331">
        <v>445</v>
      </c>
      <c r="B358" s="1320"/>
      <c r="C358" s="1321" t="str">
        <f t="shared" si="14"/>
        <v>Davos</v>
      </c>
      <c r="D358" s="1336"/>
      <c r="E358" s="1327" t="s">
        <v>813</v>
      </c>
      <c r="F358" s="1328" t="s">
        <v>813</v>
      </c>
      <c r="G358" s="1329" t="s">
        <v>813</v>
      </c>
      <c r="I358" s="1392"/>
    </row>
    <row r="359" spans="1:9" s="1390" customFormat="1" ht="25.5">
      <c r="A359" s="1331">
        <v>446</v>
      </c>
      <c r="B359" s="1320"/>
      <c r="C359" s="1321" t="str">
        <f t="shared" si="14"/>
        <v>Die Wärme der Kältemaschine ersetzt Wärme aus einer...</v>
      </c>
      <c r="D359" s="1336"/>
      <c r="E359" s="1327" t="s">
        <v>1129</v>
      </c>
      <c r="F359" s="1328" t="s">
        <v>1180</v>
      </c>
      <c r="G359" s="1329" t="s">
        <v>1264</v>
      </c>
      <c r="I359" s="1392"/>
    </row>
    <row r="360" spans="1:9" s="1390" customFormat="1" ht="23.25">
      <c r="A360" s="1331">
        <v>447</v>
      </c>
      <c r="B360" s="1320"/>
      <c r="C360" s="1321" t="str">
        <f t="shared" si="14"/>
        <v>Reduktion durch Wärmenutzung</v>
      </c>
      <c r="D360" s="1336"/>
      <c r="E360" s="1327" t="s">
        <v>1069</v>
      </c>
      <c r="F360" s="1328" t="s">
        <v>1181</v>
      </c>
      <c r="G360" s="1329" t="s">
        <v>1265</v>
      </c>
      <c r="I360" s="1392"/>
    </row>
    <row r="361" spans="1:9" s="1390" customFormat="1" ht="38.25">
      <c r="A361" s="1331">
        <v>448</v>
      </c>
      <c r="B361" s="1320"/>
      <c r="C361" s="1321" t="str">
        <f t="shared" si="14"/>
        <v>Berechnung der CO2-Emissionen durch Kältemittelverluste (bei Reparaturarbeiten, Wartung und durch Leckagen)</v>
      </c>
      <c r="D361" s="1336"/>
      <c r="E361" s="1327" t="s">
        <v>978</v>
      </c>
      <c r="F361" s="1328" t="s">
        <v>1182</v>
      </c>
      <c r="G361" s="1329" t="s">
        <v>1266</v>
      </c>
      <c r="I361" s="1392"/>
    </row>
    <row r="362" spans="1:9" s="1390" customFormat="1" ht="23.25">
      <c r="A362" s="1331">
        <v>449</v>
      </c>
      <c r="B362" s="1320"/>
      <c r="C362" s="1321" t="str">
        <f t="shared" si="14"/>
        <v>Kältemittelverluste pro Jahr</v>
      </c>
      <c r="D362" s="1336"/>
      <c r="E362" s="1327" t="s">
        <v>934</v>
      </c>
      <c r="F362" s="1328" t="s">
        <v>1183</v>
      </c>
      <c r="G362" s="1329" t="s">
        <v>1267</v>
      </c>
      <c r="I362" s="1392"/>
    </row>
    <row r="363" spans="1:9" s="1390" customFormat="1" ht="25.5">
      <c r="A363" s="1331">
        <v>450</v>
      </c>
      <c r="B363" s="1320"/>
      <c r="C363" s="1321" t="str">
        <f t="shared" si="14"/>
        <v>CO2 Emissionen durch Kältemittel-Verluste</v>
      </c>
      <c r="D363" s="1336"/>
      <c r="E363" s="1327" t="s">
        <v>933</v>
      </c>
      <c r="F363" s="1328" t="s">
        <v>1184</v>
      </c>
      <c r="G363" s="1329" t="s">
        <v>1268</v>
      </c>
      <c r="I363" s="1392"/>
    </row>
    <row r="364" spans="1:9" s="1390" customFormat="1" ht="25.5">
      <c r="A364" s="1331">
        <v>451</v>
      </c>
      <c r="B364" s="1320"/>
      <c r="C364" s="1321" t="str">
        <f t="shared" si="14"/>
        <v>Berechnung der Reduktion der CO2-Emissionen durch die Wärmenutzung</v>
      </c>
      <c r="D364" s="1336"/>
      <c r="E364" s="1327" t="s">
        <v>1070</v>
      </c>
      <c r="F364" s="1328" t="s">
        <v>1185</v>
      </c>
      <c r="G364" s="1329" t="s">
        <v>1269</v>
      </c>
      <c r="I364" s="1392"/>
    </row>
    <row r="365" spans="1:9" s="1390" customFormat="1" ht="23.25">
      <c r="A365" s="1331">
        <v>452</v>
      </c>
      <c r="B365" s="1320"/>
      <c r="C365" s="1321" t="str">
        <f t="shared" si="14"/>
        <v>Heizungssystem</v>
      </c>
      <c r="D365" s="1336"/>
      <c r="E365" s="1327" t="s">
        <v>865</v>
      </c>
      <c r="F365" s="1328" t="s">
        <v>1186</v>
      </c>
      <c r="G365" s="1329" t="s">
        <v>1270</v>
      </c>
      <c r="I365" s="1392"/>
    </row>
    <row r="366" spans="1:9" s="1390" customFormat="1" ht="23.25">
      <c r="A366" s="1331">
        <v>453</v>
      </c>
      <c r="B366" s="1320"/>
      <c r="C366" s="1321" t="str">
        <f t="shared" si="14"/>
        <v>CO2-Emissionsfaktor</v>
      </c>
      <c r="D366" s="1336"/>
      <c r="E366" s="1327" t="s">
        <v>870</v>
      </c>
      <c r="F366" s="1328" t="s">
        <v>1187</v>
      </c>
      <c r="G366" s="1329" t="s">
        <v>1271</v>
      </c>
      <c r="I366" s="1392"/>
    </row>
    <row r="367" spans="1:9" s="1390" customFormat="1" ht="25.5">
      <c r="A367" s="1331">
        <v>454</v>
      </c>
      <c r="B367" s="1320"/>
      <c r="C367" s="1321" t="str">
        <f t="shared" si="14"/>
        <v>Ölheizung (Heizöl EL)</v>
      </c>
      <c r="D367" s="1336"/>
      <c r="E367" s="1327" t="s">
        <v>893</v>
      </c>
      <c r="F367" s="1328" t="s">
        <v>1188</v>
      </c>
      <c r="G367" s="1329" t="s">
        <v>1272</v>
      </c>
      <c r="I367" s="1392"/>
    </row>
    <row r="368" spans="1:9" s="1390" customFormat="1" ht="23.25">
      <c r="A368" s="1331">
        <v>455</v>
      </c>
      <c r="B368" s="1320"/>
      <c r="C368" s="1321" t="str">
        <f t="shared" si="14"/>
        <v>Erdgas-Heizung</v>
      </c>
      <c r="D368" s="1336"/>
      <c r="E368" s="1327" t="s">
        <v>867</v>
      </c>
      <c r="F368" s="1328" t="s">
        <v>1189</v>
      </c>
      <c r="G368" s="1329" t="s">
        <v>1273</v>
      </c>
      <c r="I368" s="1392"/>
    </row>
    <row r="369" spans="1:9" s="1390" customFormat="1" ht="23.25">
      <c r="A369" s="1331">
        <v>456</v>
      </c>
      <c r="B369" s="1320"/>
      <c r="C369" s="1321" t="str">
        <f t="shared" si="14"/>
        <v>Erdgas-Heizung mit 15% Biogasanteil</v>
      </c>
      <c r="D369" s="1336"/>
      <c r="E369" s="1327" t="s">
        <v>868</v>
      </c>
      <c r="F369" s="1328" t="s">
        <v>1190</v>
      </c>
      <c r="G369" s="1329" t="s">
        <v>1274</v>
      </c>
      <c r="I369" s="1392"/>
    </row>
    <row r="370" spans="1:9" s="1390" customFormat="1" ht="23.25">
      <c r="A370" s="1331">
        <v>457</v>
      </c>
      <c r="B370" s="1320"/>
      <c r="C370" s="1321" t="str">
        <f t="shared" si="14"/>
        <v>Biogas-Heizung</v>
      </c>
      <c r="D370" s="1336"/>
      <c r="E370" s="1327" t="s">
        <v>869</v>
      </c>
      <c r="F370" s="1328" t="s">
        <v>1191</v>
      </c>
      <c r="G370" s="1329" t="s">
        <v>1275</v>
      </c>
      <c r="I370" s="1392"/>
    </row>
    <row r="371" spans="1:9" s="1390" customFormat="1" ht="23.25">
      <c r="A371" s="1331">
        <v>458</v>
      </c>
      <c r="B371" s="1320"/>
      <c r="C371" s="1321" t="str">
        <f t="shared" ref="C371:C397" si="15">IF(C$12=F$12,F371,IF(C$12=G$12,G371,E371))</f>
        <v>Holzheizung (Pellet)</v>
      </c>
      <c r="D371" s="1336"/>
      <c r="E371" s="1327" t="s">
        <v>1130</v>
      </c>
      <c r="F371" s="1328" t="s">
        <v>1192</v>
      </c>
      <c r="G371" s="1329" t="s">
        <v>1276</v>
      </c>
      <c r="I371" s="1392"/>
    </row>
    <row r="372" spans="1:9" s="1390" customFormat="1" ht="23.25">
      <c r="A372" s="1331">
        <v>459</v>
      </c>
      <c r="B372" s="1320"/>
      <c r="C372" s="1321" t="str">
        <f t="shared" si="15"/>
        <v>Fernwärme-Heizung</v>
      </c>
      <c r="D372" s="1336"/>
      <c r="E372" s="1327" t="s">
        <v>897</v>
      </c>
      <c r="F372" s="1328" t="s">
        <v>1193</v>
      </c>
      <c r="G372" s="1329" t="s">
        <v>1277</v>
      </c>
      <c r="I372" s="1392"/>
    </row>
    <row r="373" spans="1:9" s="1390" customFormat="1" ht="23.25">
      <c r="A373" s="1331">
        <v>460</v>
      </c>
      <c r="B373" s="1320"/>
      <c r="C373" s="1321" t="str">
        <f t="shared" si="15"/>
        <v>Wärmepumpen-Heizung</v>
      </c>
      <c r="D373" s="1336"/>
      <c r="E373" s="1327" t="s">
        <v>899</v>
      </c>
      <c r="F373" s="1328" t="s">
        <v>1194</v>
      </c>
      <c r="G373" s="1329" t="s">
        <v>1278</v>
      </c>
      <c r="I373" s="1392"/>
    </row>
    <row r="374" spans="1:9" s="1390" customFormat="1" ht="25.5">
      <c r="A374" s="1331">
        <v>461</v>
      </c>
      <c r="B374" s="1320"/>
      <c r="C374" s="1321" t="str">
        <f t="shared" si="15"/>
        <v>Wollen Sie die vereinfachte Abschätzung über den SEER-Wert durchführen?</v>
      </c>
      <c r="D374" s="1336"/>
      <c r="E374" s="1327" t="s">
        <v>999</v>
      </c>
      <c r="F374" s="1328" t="s">
        <v>1195</v>
      </c>
      <c r="G374" s="1329" t="s">
        <v>1279</v>
      </c>
      <c r="I374" s="1392"/>
    </row>
    <row r="375" spans="1:9" s="1390" customFormat="1" ht="23.25">
      <c r="A375" s="1331">
        <v>462</v>
      </c>
      <c r="B375" s="1320"/>
      <c r="C375" s="1321" t="str">
        <f t="shared" si="15"/>
        <v>Heizölpreis</v>
      </c>
      <c r="D375" s="1336"/>
      <c r="E375" s="1327" t="s">
        <v>894</v>
      </c>
      <c r="F375" s="1328" t="s">
        <v>1196</v>
      </c>
      <c r="G375" s="1329" t="s">
        <v>1280</v>
      </c>
      <c r="I375" s="1392"/>
    </row>
    <row r="376" spans="1:9" s="1390" customFormat="1" ht="23.25">
      <c r="A376" s="1331">
        <v>463</v>
      </c>
      <c r="B376" s="1320"/>
      <c r="C376" s="1321" t="str">
        <f t="shared" si="15"/>
        <v>Erdgaspreis</v>
      </c>
      <c r="D376" s="1336"/>
      <c r="E376" s="1327" t="s">
        <v>895</v>
      </c>
      <c r="F376" s="1328" t="s">
        <v>1197</v>
      </c>
      <c r="G376" s="1329" t="s">
        <v>1281</v>
      </c>
      <c r="I376" s="1392"/>
    </row>
    <row r="377" spans="1:9" s="1390" customFormat="1" ht="23.25">
      <c r="A377" s="1331">
        <v>464</v>
      </c>
      <c r="B377" s="1320"/>
      <c r="C377" s="1321" t="str">
        <f t="shared" si="15"/>
        <v>Erdgaspreis</v>
      </c>
      <c r="D377" s="1336"/>
      <c r="E377" s="1327" t="s">
        <v>895</v>
      </c>
      <c r="F377" s="1328" t="s">
        <v>1197</v>
      </c>
      <c r="G377" s="1329" t="s">
        <v>1281</v>
      </c>
      <c r="I377" s="1392"/>
    </row>
    <row r="378" spans="1:9" s="1390" customFormat="1" ht="23.25">
      <c r="A378" s="1331">
        <v>465</v>
      </c>
      <c r="B378" s="1320"/>
      <c r="C378" s="1321" t="str">
        <f t="shared" si="15"/>
        <v>Biogaspreis</v>
      </c>
      <c r="D378" s="1336"/>
      <c r="E378" s="1327" t="s">
        <v>896</v>
      </c>
      <c r="F378" s="1328" t="s">
        <v>1198</v>
      </c>
      <c r="G378" s="1329" t="s">
        <v>1282</v>
      </c>
      <c r="I378" s="1392"/>
    </row>
    <row r="379" spans="1:9" s="1390" customFormat="1" ht="23.25">
      <c r="A379" s="1331">
        <v>466</v>
      </c>
      <c r="B379" s="1320"/>
      <c r="C379" s="1321" t="str">
        <f t="shared" si="15"/>
        <v>Pelletpreis</v>
      </c>
      <c r="D379" s="1336"/>
      <c r="E379" s="1327" t="s">
        <v>1216</v>
      </c>
      <c r="F379" s="1328" t="s">
        <v>1199</v>
      </c>
      <c r="G379" s="1329" t="s">
        <v>1283</v>
      </c>
      <c r="I379" s="1392"/>
    </row>
    <row r="380" spans="1:9" s="1390" customFormat="1" ht="23.25">
      <c r="A380" s="1331">
        <v>467</v>
      </c>
      <c r="B380" s="1320"/>
      <c r="C380" s="1321" t="str">
        <f t="shared" si="15"/>
        <v>Fernwärmpreis</v>
      </c>
      <c r="D380" s="1336"/>
      <c r="E380" s="1327" t="s">
        <v>898</v>
      </c>
      <c r="F380" s="1328" t="s">
        <v>1200</v>
      </c>
      <c r="G380" s="1329" t="s">
        <v>1284</v>
      </c>
      <c r="I380" s="1392"/>
    </row>
    <row r="381" spans="1:9" s="1390" customFormat="1" ht="23.25">
      <c r="A381" s="1331">
        <v>468</v>
      </c>
      <c r="B381" s="1320"/>
      <c r="C381" s="1321" t="str">
        <f t="shared" si="15"/>
        <v>Strompreis</v>
      </c>
      <c r="D381" s="1336"/>
      <c r="E381" s="1327" t="s">
        <v>233</v>
      </c>
      <c r="F381" s="1328" t="s">
        <v>584</v>
      </c>
      <c r="G381" s="1329" t="s">
        <v>1285</v>
      </c>
      <c r="I381" s="1392"/>
    </row>
    <row r="382" spans="1:9" s="1390" customFormat="1" ht="23.25">
      <c r="A382" s="1331">
        <v>469</v>
      </c>
      <c r="B382" s="1320"/>
      <c r="C382" s="1321" t="str">
        <f t="shared" si="15"/>
        <v>Fr./100 Liter</v>
      </c>
      <c r="D382" s="1336"/>
      <c r="E382" s="1327" t="s">
        <v>873</v>
      </c>
      <c r="F382" s="1328" t="s">
        <v>1201</v>
      </c>
      <c r="G382" s="1329" t="s">
        <v>1286</v>
      </c>
      <c r="I382" s="1392"/>
    </row>
    <row r="383" spans="1:9" s="1390" customFormat="1" ht="23.25">
      <c r="A383" s="1331">
        <v>470</v>
      </c>
      <c r="B383" s="1320"/>
      <c r="C383" s="1321" t="str">
        <f t="shared" si="15"/>
        <v>Fr./Tonne</v>
      </c>
      <c r="D383" s="1336"/>
      <c r="E383" s="1327" t="s">
        <v>874</v>
      </c>
      <c r="F383" s="1328" t="s">
        <v>1202</v>
      </c>
      <c r="G383" s="1329" t="s">
        <v>1287</v>
      </c>
      <c r="I383" s="1392"/>
    </row>
    <row r="384" spans="1:9" s="1390" customFormat="1" ht="23.25">
      <c r="A384" s="1331">
        <v>471</v>
      </c>
      <c r="B384" s="1320"/>
      <c r="C384" s="1321" t="str">
        <f t="shared" si="15"/>
        <v>Energiekosten Kälteanlage</v>
      </c>
      <c r="D384" s="1336"/>
      <c r="E384" s="1327" t="s">
        <v>877</v>
      </c>
      <c r="F384" s="1328" t="s">
        <v>1203</v>
      </c>
      <c r="G384" s="1329" t="s">
        <v>1288</v>
      </c>
      <c r="I384" s="1392"/>
    </row>
    <row r="385" spans="1:9" s="1390" customFormat="1" ht="23.25">
      <c r="A385" s="1331">
        <v>472</v>
      </c>
      <c r="B385" s="1320"/>
      <c r="C385" s="1321" t="str">
        <f t="shared" ref="C385:C395" si="16">IF(C$12=F$12,F385,IF(C$12=G$12,G385,E385))</f>
        <v>Einsparungen durch die Wärmenutzung</v>
      </c>
      <c r="D385" s="1336"/>
      <c r="E385" s="1327" t="s">
        <v>1071</v>
      </c>
      <c r="F385" s="1328" t="s">
        <v>1204</v>
      </c>
      <c r="G385" s="1329" t="s">
        <v>1289</v>
      </c>
      <c r="I385" s="1392"/>
    </row>
    <row r="386" spans="1:9" s="1390" customFormat="1" ht="23.25">
      <c r="A386" s="1331">
        <v>473</v>
      </c>
      <c r="B386" s="1320"/>
      <c r="C386" s="1321" t="str">
        <f t="shared" si="16"/>
        <v>gerundet</v>
      </c>
      <c r="D386" s="1336"/>
      <c r="E386" s="1327" t="s">
        <v>1040</v>
      </c>
      <c r="F386" s="1328" t="s">
        <v>1205</v>
      </c>
      <c r="G386" s="1329" t="s">
        <v>1290</v>
      </c>
      <c r="I386" s="1392"/>
    </row>
    <row r="387" spans="1:9" s="1390" customFormat="1" ht="23.25">
      <c r="A387" s="1331">
        <v>474</v>
      </c>
      <c r="B387" s="1320"/>
      <c r="C387" s="1321" t="str">
        <f t="shared" si="16"/>
        <v>Energieeffizienz</v>
      </c>
      <c r="D387" s="1336"/>
      <c r="E387" s="1327" t="s">
        <v>1046</v>
      </c>
      <c r="F387" s="1328" t="s">
        <v>1206</v>
      </c>
      <c r="G387" s="1329" t="s">
        <v>1291</v>
      </c>
      <c r="I387" s="1392"/>
    </row>
    <row r="388" spans="1:9" s="1390" customFormat="1" ht="25.5">
      <c r="A388" s="1331">
        <v>475</v>
      </c>
      <c r="B388" s="1320"/>
      <c r="C388" s="1321" t="str">
        <f t="shared" si="16"/>
        <v>Die Wärmenutzung ersetzt Wärme aus einer...</v>
      </c>
      <c r="D388" s="1336"/>
      <c r="E388" s="1327" t="s">
        <v>1107</v>
      </c>
      <c r="F388" s="1328" t="s">
        <v>1207</v>
      </c>
      <c r="G388" s="1329" t="s">
        <v>1292</v>
      </c>
      <c r="I388" s="1392"/>
    </row>
    <row r="389" spans="1:9" s="1390" customFormat="1" ht="38.1" customHeight="1">
      <c r="A389" s="1331">
        <v>476</v>
      </c>
      <c r="B389" s="1320"/>
      <c r="C389" s="1321" t="str">
        <f t="shared" si="16"/>
        <v>Wichtig: Das Tool kann keine Anlagen berechnen, die gleichzeitig über ein Free-Cooling und eine Wärmenutzung verfügen.</v>
      </c>
      <c r="D389" s="1336"/>
      <c r="E389" s="1327" t="s">
        <v>1108</v>
      </c>
      <c r="F389" s="1328" t="s">
        <v>1208</v>
      </c>
      <c r="G389" s="1329" t="s">
        <v>1293</v>
      </c>
      <c r="I389" s="1392"/>
    </row>
    <row r="390" spans="1:9" s="1390" customFormat="1" ht="54" customHeight="1">
      <c r="A390" s="1331">
        <v>477</v>
      </c>
      <c r="B390" s="1320"/>
      <c r="C390" s="1321" t="str">
        <f t="shared" si="16"/>
        <v xml:space="preserve">Hinweis: In Anlehnung an das Fachbuch «Klimakälte heute» verwenden wir im Kälte-Tool anstelle des abwertenden Begriffes «Abwärme» konsequent den Begriff «Wärme». </v>
      </c>
      <c r="D390" s="1336"/>
      <c r="E390" s="1327" t="s">
        <v>1072</v>
      </c>
      <c r="F390" s="1328" t="s">
        <v>1209</v>
      </c>
      <c r="G390" s="1329" t="s">
        <v>1294</v>
      </c>
      <c r="I390" s="1392"/>
    </row>
    <row r="391" spans="1:9" s="1390" customFormat="1" ht="23.25">
      <c r="A391" s="1331">
        <v>478</v>
      </c>
      <c r="B391" s="1320"/>
      <c r="C391" s="1321" t="str">
        <f t="shared" si="16"/>
        <v>keine Wärmenutzung!</v>
      </c>
      <c r="D391" s="1336"/>
      <c r="E391" s="1327" t="s">
        <v>1109</v>
      </c>
      <c r="F391" s="1328" t="s">
        <v>1210</v>
      </c>
      <c r="G391" s="1329" t="s">
        <v>1295</v>
      </c>
      <c r="I391" s="1392"/>
    </row>
    <row r="392" spans="1:9" s="1390" customFormat="1" ht="23.25">
      <c r="A392" s="1331">
        <v>479</v>
      </c>
      <c r="B392" s="1320"/>
      <c r="C392" s="1321" t="str">
        <f t="shared" si="16"/>
        <v>(Anhebung der Kondensationstemperatur)</v>
      </c>
      <c r="D392" s="1336"/>
      <c r="E392" s="1327" t="s">
        <v>966</v>
      </c>
      <c r="F392" s="1328" t="s">
        <v>1211</v>
      </c>
      <c r="G392" s="1329" t="s">
        <v>1296</v>
      </c>
      <c r="I392" s="1392"/>
    </row>
    <row r="393" spans="1:9" s="1390" customFormat="1" ht="23.25">
      <c r="A393" s="1331">
        <v>480</v>
      </c>
      <c r="B393" s="1320"/>
      <c r="C393" s="1321" t="str">
        <f t="shared" si="16"/>
        <v>CO2-Emissionen Kälteanlage</v>
      </c>
      <c r="D393" s="1336"/>
      <c r="E393" s="1327" t="s">
        <v>1039</v>
      </c>
      <c r="F393" s="1328" t="s">
        <v>1212</v>
      </c>
      <c r="G393" s="1329" t="s">
        <v>1297</v>
      </c>
      <c r="I393" s="1392"/>
    </row>
    <row r="394" spans="1:9" s="1390" customFormat="1" ht="23.25">
      <c r="A394" s="1331">
        <v>481</v>
      </c>
      <c r="B394" s="1320"/>
      <c r="C394" s="1321" t="str">
        <f t="shared" si="16"/>
        <v>Free-Cooling reduziert die Energiekosten um</v>
      </c>
      <c r="D394" s="1336"/>
      <c r="E394" s="1327" t="s">
        <v>1080</v>
      </c>
      <c r="F394" s="1328" t="s">
        <v>1213</v>
      </c>
      <c r="G394" s="1329" t="s">
        <v>1298</v>
      </c>
      <c r="I394" s="1392"/>
    </row>
    <row r="395" spans="1:9" s="1390" customFormat="1" ht="30">
      <c r="A395" s="1331">
        <v>482</v>
      </c>
      <c r="B395" s="1320"/>
      <c r="C395" s="1321" t="str">
        <f t="shared" si="16"/>
        <v>bedarfsgerechte Ansteuerung (FU/EC-modulierbar)</v>
      </c>
      <c r="D395" s="1326"/>
      <c r="E395" s="1327" t="s">
        <v>1088</v>
      </c>
      <c r="F395" s="1328" t="s">
        <v>1337</v>
      </c>
      <c r="G395" s="1333" t="s">
        <v>1344</v>
      </c>
      <c r="I395" s="1388"/>
    </row>
    <row r="396" spans="1:9" s="1390" customFormat="1" ht="23.25">
      <c r="A396" s="1331">
        <v>483</v>
      </c>
      <c r="B396" s="1320"/>
      <c r="C396" s="1321" t="str">
        <f t="shared" si="15"/>
        <v>Arbeitsweise des Rückkühlers</v>
      </c>
      <c r="D396" s="1336"/>
      <c r="E396" s="1327" t="s">
        <v>1094</v>
      </c>
      <c r="F396" s="1328" t="s">
        <v>1214</v>
      </c>
      <c r="G396" s="1329" t="s">
        <v>1299</v>
      </c>
      <c r="I396" s="1392"/>
    </row>
    <row r="397" spans="1:9" s="1390" customFormat="1" ht="23.25">
      <c r="A397" s="1319">
        <v>484</v>
      </c>
      <c r="B397" s="1320"/>
      <c r="C397" s="1321" t="str">
        <f t="shared" si="15"/>
        <v>Liter/Tag</v>
      </c>
      <c r="D397" s="1336"/>
      <c r="E397" s="1327" t="s">
        <v>912</v>
      </c>
      <c r="F397" s="1328" t="s">
        <v>1314</v>
      </c>
      <c r="G397" s="1329" t="s">
        <v>1313</v>
      </c>
      <c r="I397" s="1392"/>
    </row>
    <row r="398" spans="1:9" s="1390" customFormat="1" ht="23.25">
      <c r="A398" s="1319">
        <v>485</v>
      </c>
      <c r="B398" s="1320"/>
      <c r="C398" s="1321" t="str">
        <f t="shared" ref="C398:C400" si="17">IF(C$12=F$12,F398,IF(C$12=G$12,G398,E398))</f>
        <v>Elektrizitätsverbrauch Kälte</v>
      </c>
      <c r="D398" s="1336"/>
      <c r="E398" s="1327" t="s">
        <v>849</v>
      </c>
      <c r="F398" s="1328" t="s">
        <v>1325</v>
      </c>
      <c r="G398" s="1329" t="s">
        <v>1326</v>
      </c>
      <c r="I398" s="1392"/>
    </row>
    <row r="399" spans="1:9" s="1390" customFormat="1" ht="89.25">
      <c r="A399" s="1319">
        <v>486</v>
      </c>
      <c r="B399" s="1320"/>
      <c r="C399" s="1360" t="str">
        <f t="shared" si="17"/>
        <v xml:space="preserve">Die Eingabedaten für Verdichter und Hilfsantriebe (Ventilatoren, Pumpen) müssen bei Anlagenersatz den «Ist-Werten» vor Ort entsprechen. Bei neuen Projekten sind die Planungs- bzw. die Ausführungswerte zu berücksichtigen (keine Schätzwerte). </v>
      </c>
      <c r="D399" s="1336"/>
      <c r="E399" s="1327" t="s">
        <v>1330</v>
      </c>
      <c r="F399" s="1328" t="s">
        <v>1331</v>
      </c>
      <c r="G399" s="1329" t="s">
        <v>1332</v>
      </c>
      <c r="I399" s="1392"/>
    </row>
    <row r="400" spans="1:9" s="1390" customFormat="1" ht="23.25">
      <c r="A400" s="1319">
        <v>487</v>
      </c>
      <c r="B400" s="1320"/>
      <c r="C400" s="1321" t="str">
        <f t="shared" si="17"/>
        <v>Energiepreis Wärme</v>
      </c>
      <c r="D400" s="1336"/>
      <c r="E400" s="1327" t="s">
        <v>1334</v>
      </c>
      <c r="F400" s="1328" t="s">
        <v>1335</v>
      </c>
      <c r="G400" s="1329" t="s">
        <v>1336</v>
      </c>
      <c r="I400" s="1392"/>
    </row>
    <row r="401" spans="1:9" s="1390" customFormat="1" ht="51">
      <c r="A401" s="1319">
        <v>488</v>
      </c>
      <c r="B401" s="1320"/>
      <c r="C401" s="1321" t="str">
        <f>IF(C$12=F$12,F401,IF(C$12=G$12,G401,E401))</f>
        <v>Beachten Sie: Bei der vereinfachten Abschätzung mit dem SEER-Wert können keine Anlagen mit den Zusatzfunktionen Free-Cooling oder Abwärmenutzung berechnet werden.</v>
      </c>
      <c r="D401" s="1336"/>
      <c r="E401" s="1327" t="s">
        <v>1338</v>
      </c>
      <c r="F401" s="1328" t="s">
        <v>1340</v>
      </c>
      <c r="G401" s="1329" t="s">
        <v>1341</v>
      </c>
      <c r="I401" s="1392"/>
    </row>
    <row r="402" spans="1:9" s="1390" customFormat="1" ht="23.25">
      <c r="A402" s="1319">
        <v>489</v>
      </c>
      <c r="B402" s="1320"/>
      <c r="C402" s="1321">
        <f t="shared" ref="C402:C403" si="18">IF(C$12=F$12,F402,IF(C$12=G$12,G402,E402))</f>
        <v>0</v>
      </c>
      <c r="D402" s="1336"/>
      <c r="E402" s="1327"/>
      <c r="F402" s="1328"/>
      <c r="G402" s="1329"/>
      <c r="I402" s="1392"/>
    </row>
    <row r="403" spans="1:9" s="1390" customFormat="1" ht="23.25">
      <c r="A403" s="1319">
        <v>490</v>
      </c>
      <c r="B403" s="1320"/>
      <c r="C403" s="1321">
        <f t="shared" si="18"/>
        <v>0</v>
      </c>
      <c r="D403" s="1336"/>
      <c r="E403" s="1327"/>
      <c r="F403" s="1328"/>
      <c r="G403" s="1329"/>
      <c r="I403" s="1392"/>
    </row>
    <row r="404" spans="1:9" s="1390" customFormat="1" ht="23.25">
      <c r="A404" s="1319">
        <v>491</v>
      </c>
      <c r="B404" s="1320"/>
      <c r="C404" s="1321">
        <f t="shared" si="5"/>
        <v>0</v>
      </c>
      <c r="D404" s="1336"/>
      <c r="E404" s="1327"/>
      <c r="F404" s="1328"/>
      <c r="G404" s="1329"/>
      <c r="I404" s="1392"/>
    </row>
    <row r="405" spans="1:9" s="1390" customFormat="1" ht="23.25">
      <c r="A405" s="1319">
        <v>492</v>
      </c>
      <c r="B405" s="1320"/>
      <c r="C405" s="1321">
        <f t="shared" si="5"/>
        <v>0</v>
      </c>
      <c r="D405" s="1336"/>
      <c r="E405" s="1327"/>
      <c r="F405" s="1328"/>
      <c r="G405" s="1329"/>
      <c r="I405" s="1392"/>
    </row>
    <row r="406" spans="1:9" s="1390" customFormat="1" ht="23.25">
      <c r="A406" s="1319"/>
      <c r="B406" s="1320"/>
      <c r="C406" s="1361"/>
      <c r="D406" s="1336"/>
      <c r="E406" s="1336"/>
      <c r="F406" s="1336"/>
      <c r="G406" s="1336"/>
      <c r="I406" s="1392"/>
    </row>
    <row r="407" spans="1:9" s="1390" customFormat="1" ht="23.25">
      <c r="A407" s="1319"/>
      <c r="B407" s="1320"/>
      <c r="C407" s="1361"/>
      <c r="D407" s="1336"/>
      <c r="E407" s="1336"/>
      <c r="F407" s="1336"/>
      <c r="G407" s="1336"/>
      <c r="I407" s="1392"/>
    </row>
    <row r="409" spans="1:9" s="1393" customFormat="1" ht="20.100000000000001" customHeight="1">
      <c r="A409" s="1362"/>
      <c r="B409" s="1363"/>
      <c r="C409" s="1363" t="s">
        <v>423</v>
      </c>
      <c r="D409" s="1363"/>
      <c r="E409" s="1363"/>
      <c r="F409" s="1363"/>
      <c r="G409" s="1363"/>
      <c r="H409" s="1399"/>
      <c r="I409" s="1399"/>
    </row>
    <row r="412" spans="1:9" s="1390" customFormat="1" ht="38.25">
      <c r="A412" s="1364">
        <f t="shared" ref="A412:A425" si="19">LEN(E412)</f>
        <v>101</v>
      </c>
      <c r="B412" s="1330"/>
      <c r="C412" s="1358" t="s">
        <v>424</v>
      </c>
      <c r="D412" s="1358"/>
      <c r="E412" s="1337" t="s">
        <v>675</v>
      </c>
      <c r="F412" s="1365" t="s">
        <v>623</v>
      </c>
      <c r="G412" s="1338" t="s">
        <v>1589</v>
      </c>
    </row>
    <row r="413" spans="1:9" s="1390" customFormat="1" ht="45">
      <c r="A413" s="1364">
        <f t="shared" si="19"/>
        <v>98</v>
      </c>
      <c r="B413" s="1330"/>
      <c r="C413" s="1358" t="s">
        <v>425</v>
      </c>
      <c r="D413" s="1358"/>
      <c r="E413" s="1337" t="s">
        <v>411</v>
      </c>
      <c r="F413" s="1365" t="s">
        <v>624</v>
      </c>
      <c r="G413" s="1338" t="s">
        <v>1590</v>
      </c>
    </row>
    <row r="414" spans="1:9" s="1390" customFormat="1" ht="51">
      <c r="A414" s="1364">
        <f t="shared" si="19"/>
        <v>144</v>
      </c>
      <c r="B414" s="1330"/>
      <c r="C414" s="1358" t="s">
        <v>426</v>
      </c>
      <c r="D414" s="1330"/>
      <c r="E414" s="1337" t="s">
        <v>410</v>
      </c>
      <c r="F414" s="1365" t="s">
        <v>737</v>
      </c>
      <c r="G414" s="1338" t="s">
        <v>1591</v>
      </c>
    </row>
    <row r="415" spans="1:9" s="1390" customFormat="1" ht="90">
      <c r="A415" s="1364">
        <f t="shared" si="19"/>
        <v>171</v>
      </c>
      <c r="B415" s="1330"/>
      <c r="C415" s="1358" t="s">
        <v>427</v>
      </c>
      <c r="D415" s="1330"/>
      <c r="E415" s="1337" t="s">
        <v>447</v>
      </c>
      <c r="F415" s="1365" t="s">
        <v>625</v>
      </c>
      <c r="G415" s="1338" t="s">
        <v>1592</v>
      </c>
    </row>
    <row r="416" spans="1:9" s="1390" customFormat="1" ht="60">
      <c r="A416" s="1364">
        <f t="shared" si="19"/>
        <v>132</v>
      </c>
      <c r="B416" s="1330"/>
      <c r="C416" s="1358" t="s">
        <v>428</v>
      </c>
      <c r="D416" s="1330"/>
      <c r="E416" s="1337" t="s">
        <v>448</v>
      </c>
      <c r="F416" s="1365" t="s">
        <v>656</v>
      </c>
      <c r="G416" s="1338" t="s">
        <v>1593</v>
      </c>
    </row>
    <row r="417" spans="1:7" s="1390" customFormat="1" ht="60">
      <c r="A417" s="1364">
        <f t="shared" si="19"/>
        <v>132</v>
      </c>
      <c r="B417" s="1330"/>
      <c r="C417" s="1358" t="s">
        <v>429</v>
      </c>
      <c r="D417" s="1330"/>
      <c r="E417" s="1337" t="s">
        <v>738</v>
      </c>
      <c r="F417" s="1365" t="s">
        <v>657</v>
      </c>
      <c r="G417" s="1338" t="s">
        <v>1594</v>
      </c>
    </row>
    <row r="418" spans="1:7" s="1390" customFormat="1" ht="60">
      <c r="A418" s="1364">
        <f t="shared" si="19"/>
        <v>159</v>
      </c>
      <c r="B418" s="1330"/>
      <c r="C418" s="1358" t="s">
        <v>430</v>
      </c>
      <c r="D418" s="1330"/>
      <c r="E418" s="1337" t="s">
        <v>398</v>
      </c>
      <c r="F418" s="1365" t="s">
        <v>626</v>
      </c>
      <c r="G418" s="1338" t="s">
        <v>1595</v>
      </c>
    </row>
    <row r="419" spans="1:7" s="1390" customFormat="1" ht="30">
      <c r="A419" s="1364">
        <f t="shared" si="19"/>
        <v>101</v>
      </c>
      <c r="B419" s="1330"/>
      <c r="C419" s="1358" t="s">
        <v>431</v>
      </c>
      <c r="D419" s="1330"/>
      <c r="E419" s="1337" t="s">
        <v>400</v>
      </c>
      <c r="F419" s="1365" t="s">
        <v>658</v>
      </c>
      <c r="G419" s="1338" t="s">
        <v>1596</v>
      </c>
    </row>
    <row r="420" spans="1:7" s="1390" customFormat="1" ht="30">
      <c r="A420" s="1364">
        <f t="shared" si="19"/>
        <v>101</v>
      </c>
      <c r="B420" s="1330"/>
      <c r="C420" s="1358" t="s">
        <v>432</v>
      </c>
      <c r="D420" s="1330"/>
      <c r="E420" s="1337" t="s">
        <v>401</v>
      </c>
      <c r="F420" s="1365" t="s">
        <v>659</v>
      </c>
      <c r="G420" s="1338" t="s">
        <v>1597</v>
      </c>
    </row>
    <row r="421" spans="1:7" s="1390" customFormat="1" ht="75">
      <c r="A421" s="1364">
        <f t="shared" si="19"/>
        <v>153</v>
      </c>
      <c r="B421" s="1330"/>
      <c r="C421" s="1358" t="s">
        <v>433</v>
      </c>
      <c r="D421" s="1330"/>
      <c r="E421" s="1337" t="s">
        <v>399</v>
      </c>
      <c r="F421" s="1365" t="s">
        <v>627</v>
      </c>
      <c r="G421" s="1338" t="s">
        <v>1598</v>
      </c>
    </row>
    <row r="422" spans="1:7" s="1390" customFormat="1" ht="30">
      <c r="A422" s="1364">
        <f t="shared" si="19"/>
        <v>82</v>
      </c>
      <c r="B422" s="1330"/>
      <c r="C422" s="1358" t="s">
        <v>434</v>
      </c>
      <c r="D422" s="1330"/>
      <c r="E422" s="1337" t="s">
        <v>676</v>
      </c>
      <c r="F422" s="1365" t="s">
        <v>628</v>
      </c>
      <c r="G422" s="1338" t="s">
        <v>1599</v>
      </c>
    </row>
    <row r="423" spans="1:7" s="1390" customFormat="1" ht="90">
      <c r="A423" s="1364">
        <f t="shared" si="19"/>
        <v>229</v>
      </c>
      <c r="B423" s="1330"/>
      <c r="C423" s="1358" t="s">
        <v>435</v>
      </c>
      <c r="D423" s="1330"/>
      <c r="E423" s="1337" t="s">
        <v>739</v>
      </c>
      <c r="F423" s="1365" t="s">
        <v>629</v>
      </c>
      <c r="G423" s="1366" t="s">
        <v>698</v>
      </c>
    </row>
    <row r="424" spans="1:7" s="1390" customFormat="1" ht="60">
      <c r="A424" s="1364">
        <f t="shared" si="19"/>
        <v>139</v>
      </c>
      <c r="B424" s="1330"/>
      <c r="C424" s="1358" t="s">
        <v>436</v>
      </c>
      <c r="D424" s="1330"/>
      <c r="E424" s="1337" t="s">
        <v>451</v>
      </c>
      <c r="F424" s="1365" t="s">
        <v>630</v>
      </c>
      <c r="G424" s="1338" t="s">
        <v>1600</v>
      </c>
    </row>
    <row r="425" spans="1:7" s="1390" customFormat="1" ht="38.25">
      <c r="A425" s="1364">
        <f t="shared" si="19"/>
        <v>106</v>
      </c>
      <c r="B425" s="1330"/>
      <c r="C425" s="1358" t="s">
        <v>437</v>
      </c>
      <c r="D425" s="1330"/>
      <c r="E425" s="1337" t="s">
        <v>449</v>
      </c>
      <c r="F425" s="1365" t="s">
        <v>631</v>
      </c>
      <c r="G425" s="1338" t="s">
        <v>1601</v>
      </c>
    </row>
    <row r="426" spans="1:7" s="1390" customFormat="1">
      <c r="A426" s="1364"/>
      <c r="B426" s="1330"/>
      <c r="C426" s="1358"/>
      <c r="D426" s="1330"/>
      <c r="E426" s="1337"/>
      <c r="F426" s="1365"/>
      <c r="G426" s="1367"/>
    </row>
    <row r="427" spans="1:7" s="1390" customFormat="1" ht="30">
      <c r="A427" s="1364">
        <f t="shared" ref="A427:A437" si="20">LEN(E427)</f>
        <v>62</v>
      </c>
      <c r="B427" s="1330"/>
      <c r="C427" s="1358" t="s">
        <v>412</v>
      </c>
      <c r="D427" s="1358"/>
      <c r="E427" s="1337" t="s">
        <v>404</v>
      </c>
      <c r="F427" s="1365" t="s">
        <v>740</v>
      </c>
      <c r="G427" s="1338" t="s">
        <v>1602</v>
      </c>
    </row>
    <row r="428" spans="1:7" s="1390" customFormat="1" ht="45">
      <c r="A428" s="1364">
        <f t="shared" si="20"/>
        <v>98</v>
      </c>
      <c r="B428" s="1330"/>
      <c r="C428" s="1358" t="s">
        <v>413</v>
      </c>
      <c r="D428" s="1358"/>
      <c r="E428" s="1337" t="s">
        <v>411</v>
      </c>
      <c r="F428" s="1365" t="s">
        <v>624</v>
      </c>
      <c r="G428" s="1338" t="s">
        <v>1590</v>
      </c>
    </row>
    <row r="429" spans="1:7" s="1390" customFormat="1" ht="30">
      <c r="A429" s="1364">
        <f t="shared" si="20"/>
        <v>75</v>
      </c>
      <c r="B429" s="1330"/>
      <c r="C429" s="1358" t="s">
        <v>414</v>
      </c>
      <c r="D429" s="1330"/>
      <c r="E429" s="1337" t="s">
        <v>403</v>
      </c>
      <c r="F429" s="1365" t="s">
        <v>632</v>
      </c>
      <c r="G429" s="1338" t="s">
        <v>1603</v>
      </c>
    </row>
    <row r="430" spans="1:7" s="1390" customFormat="1" ht="60">
      <c r="A430" s="1364">
        <f t="shared" si="20"/>
        <v>132</v>
      </c>
      <c r="B430" s="1330"/>
      <c r="C430" s="1358" t="s">
        <v>415</v>
      </c>
      <c r="D430" s="1330"/>
      <c r="E430" s="1337" t="s">
        <v>448</v>
      </c>
      <c r="F430" s="1365" t="s">
        <v>660</v>
      </c>
      <c r="G430" s="1338" t="s">
        <v>1593</v>
      </c>
    </row>
    <row r="431" spans="1:7" s="1390" customFormat="1" ht="60">
      <c r="A431" s="1364">
        <f t="shared" si="20"/>
        <v>117</v>
      </c>
      <c r="B431" s="1330"/>
      <c r="C431" s="1358" t="s">
        <v>416</v>
      </c>
      <c r="D431" s="1330"/>
      <c r="E431" s="1337" t="s">
        <v>397</v>
      </c>
      <c r="F431" s="1365" t="s">
        <v>661</v>
      </c>
      <c r="G431" s="1338" t="s">
        <v>1604</v>
      </c>
    </row>
    <row r="432" spans="1:7" s="1390" customFormat="1" ht="75">
      <c r="A432" s="1364">
        <f t="shared" si="20"/>
        <v>210</v>
      </c>
      <c r="B432" s="1330"/>
      <c r="C432" s="1358" t="s">
        <v>417</v>
      </c>
      <c r="D432" s="1330"/>
      <c r="E432" s="1337" t="s">
        <v>402</v>
      </c>
      <c r="F432" s="1365" t="s">
        <v>662</v>
      </c>
      <c r="G432" s="1366" t="s">
        <v>633</v>
      </c>
    </row>
    <row r="433" spans="1:7" s="1390" customFormat="1" ht="30">
      <c r="A433" s="1364">
        <f t="shared" si="20"/>
        <v>101</v>
      </c>
      <c r="B433" s="1330"/>
      <c r="C433" s="1358" t="s">
        <v>418</v>
      </c>
      <c r="D433" s="1330"/>
      <c r="E433" s="1337" t="s">
        <v>400</v>
      </c>
      <c r="F433" s="1365" t="s">
        <v>741</v>
      </c>
      <c r="G433" s="1338" t="s">
        <v>1605</v>
      </c>
    </row>
    <row r="434" spans="1:7" s="1390" customFormat="1" ht="51">
      <c r="A434" s="1364">
        <f t="shared" si="20"/>
        <v>144</v>
      </c>
      <c r="B434" s="1330"/>
      <c r="C434" s="1358" t="s">
        <v>419</v>
      </c>
      <c r="D434" s="1330"/>
      <c r="E434" s="1337" t="s">
        <v>742</v>
      </c>
      <c r="F434" s="1365" t="s">
        <v>663</v>
      </c>
      <c r="G434" s="1338" t="s">
        <v>1606</v>
      </c>
    </row>
    <row r="435" spans="1:7" s="1390" customFormat="1" ht="51">
      <c r="A435" s="1364">
        <f t="shared" si="20"/>
        <v>144</v>
      </c>
      <c r="B435" s="1330"/>
      <c r="C435" s="1358" t="s">
        <v>420</v>
      </c>
      <c r="D435" s="1330"/>
      <c r="E435" s="1337" t="s">
        <v>742</v>
      </c>
      <c r="F435" s="1365" t="s">
        <v>663</v>
      </c>
      <c r="G435" s="1338" t="s">
        <v>1606</v>
      </c>
    </row>
    <row r="436" spans="1:7" s="1390" customFormat="1" ht="60">
      <c r="A436" s="1364">
        <f t="shared" si="20"/>
        <v>139</v>
      </c>
      <c r="B436" s="1330"/>
      <c r="C436" s="1358" t="s">
        <v>421</v>
      </c>
      <c r="D436" s="1330"/>
      <c r="E436" s="1337" t="s">
        <v>456</v>
      </c>
      <c r="F436" s="1365" t="s">
        <v>634</v>
      </c>
      <c r="G436" s="1338" t="s">
        <v>1607</v>
      </c>
    </row>
    <row r="437" spans="1:7" s="1390" customFormat="1" ht="38.25">
      <c r="A437" s="1364">
        <f t="shared" si="20"/>
        <v>107</v>
      </c>
      <c r="B437" s="1330"/>
      <c r="C437" s="1358" t="s">
        <v>422</v>
      </c>
      <c r="D437" s="1330"/>
      <c r="E437" s="1337" t="s">
        <v>450</v>
      </c>
      <c r="F437" s="1365" t="s">
        <v>631</v>
      </c>
      <c r="G437" s="1338" t="s">
        <v>1601</v>
      </c>
    </row>
    <row r="438" spans="1:7" s="1390" customFormat="1">
      <c r="A438" s="1364"/>
      <c r="B438" s="1330"/>
      <c r="C438" s="1358"/>
      <c r="D438" s="1330"/>
      <c r="E438" s="1337"/>
      <c r="F438" s="1365"/>
      <c r="G438" s="1338"/>
    </row>
    <row r="439" spans="1:7" s="1390" customFormat="1" ht="63" customHeight="1">
      <c r="A439" s="1364">
        <f>LEN(E439)</f>
        <v>193</v>
      </c>
      <c r="B439" s="1330"/>
      <c r="C439" s="1368" t="s">
        <v>438</v>
      </c>
      <c r="D439" s="1358"/>
      <c r="E439" s="1337" t="s">
        <v>793</v>
      </c>
      <c r="F439" s="1365" t="s">
        <v>805</v>
      </c>
      <c r="G439" s="1366" t="s">
        <v>802</v>
      </c>
    </row>
    <row r="440" spans="1:7" s="1390" customFormat="1" ht="90">
      <c r="A440" s="1364">
        <f>LEN(E440)</f>
        <v>231</v>
      </c>
      <c r="B440" s="1330"/>
      <c r="C440" s="1358" t="s">
        <v>439</v>
      </c>
      <c r="D440" s="1358"/>
      <c r="E440" s="1337" t="s">
        <v>405</v>
      </c>
      <c r="F440" s="1365" t="s">
        <v>635</v>
      </c>
      <c r="G440" s="1338" t="s">
        <v>1608</v>
      </c>
    </row>
    <row r="441" spans="1:7" s="1390" customFormat="1">
      <c r="A441" s="1364"/>
      <c r="B441" s="1330"/>
      <c r="C441" s="1358"/>
      <c r="D441" s="1330"/>
      <c r="E441" s="1337"/>
      <c r="F441" s="1365"/>
      <c r="G441" s="1338"/>
    </row>
    <row r="442" spans="1:7" s="1390" customFormat="1" ht="75">
      <c r="A442" s="1364">
        <f t="shared" ref="A442:A453" si="21">LEN(E442)</f>
        <v>185</v>
      </c>
      <c r="B442" s="1330"/>
      <c r="C442" s="1358" t="s">
        <v>440</v>
      </c>
      <c r="D442" s="1358"/>
      <c r="E442" s="1337" t="s">
        <v>1347</v>
      </c>
      <c r="F442" s="1365" t="s">
        <v>1346</v>
      </c>
      <c r="G442" s="1366" t="s">
        <v>1348</v>
      </c>
    </row>
    <row r="443" spans="1:7" s="1390" customFormat="1" ht="90">
      <c r="A443" s="1364">
        <f t="shared" si="21"/>
        <v>233</v>
      </c>
      <c r="B443" s="1330"/>
      <c r="C443" s="1358" t="s">
        <v>441</v>
      </c>
      <c r="D443" s="1358"/>
      <c r="E443" s="1337" t="s">
        <v>407</v>
      </c>
      <c r="F443" s="1365" t="s">
        <v>636</v>
      </c>
      <c r="G443" s="1338" t="s">
        <v>1609</v>
      </c>
    </row>
    <row r="444" spans="1:7" s="1390" customFormat="1" ht="76.5">
      <c r="A444" s="1364">
        <f t="shared" si="21"/>
        <v>242</v>
      </c>
      <c r="B444" s="1330"/>
      <c r="C444" s="1358" t="s">
        <v>442</v>
      </c>
      <c r="D444" s="1358"/>
      <c r="E444" s="1337" t="s">
        <v>452</v>
      </c>
      <c r="F444" s="1365" t="s">
        <v>637</v>
      </c>
      <c r="G444" s="1338" t="s">
        <v>699</v>
      </c>
    </row>
    <row r="445" spans="1:7" s="1390" customFormat="1" ht="63.75">
      <c r="A445" s="1364">
        <f t="shared" si="21"/>
        <v>198</v>
      </c>
      <c r="B445" s="1330"/>
      <c r="C445" s="1358" t="s">
        <v>443</v>
      </c>
      <c r="D445" s="1358"/>
      <c r="E445" s="1337" t="s">
        <v>453</v>
      </c>
      <c r="F445" s="1365" t="s">
        <v>638</v>
      </c>
      <c r="G445" s="1338" t="s">
        <v>743</v>
      </c>
    </row>
    <row r="446" spans="1:7" s="1390" customFormat="1" ht="51">
      <c r="A446" s="1364">
        <f t="shared" si="21"/>
        <v>162</v>
      </c>
      <c r="B446" s="1330"/>
      <c r="C446" s="1358" t="s">
        <v>444</v>
      </c>
      <c r="D446" s="1358"/>
      <c r="E446" s="1337" t="s">
        <v>408</v>
      </c>
      <c r="F446" s="1365" t="s">
        <v>639</v>
      </c>
      <c r="G446" s="1338" t="s">
        <v>744</v>
      </c>
    </row>
    <row r="447" spans="1:7" s="1390" customFormat="1" ht="30">
      <c r="A447" s="1364">
        <f t="shared" si="21"/>
        <v>64</v>
      </c>
      <c r="B447" s="1330"/>
      <c r="C447" s="1358" t="s">
        <v>445</v>
      </c>
      <c r="D447" s="1358"/>
      <c r="E447" s="1337" t="s">
        <v>409</v>
      </c>
      <c r="F447" s="1365" t="s">
        <v>664</v>
      </c>
      <c r="G447" s="1338" t="s">
        <v>1610</v>
      </c>
    </row>
    <row r="448" spans="1:7" s="1390" customFormat="1" ht="45">
      <c r="A448" s="1364">
        <f t="shared" si="21"/>
        <v>98</v>
      </c>
      <c r="B448" s="1330"/>
      <c r="C448" s="1358" t="s">
        <v>446</v>
      </c>
      <c r="D448" s="1358"/>
      <c r="E448" s="1337" t="s">
        <v>457</v>
      </c>
      <c r="F448" s="1365" t="s">
        <v>640</v>
      </c>
      <c r="G448" s="1338" t="s">
        <v>1611</v>
      </c>
    </row>
    <row r="449" spans="1:9" s="1390" customFormat="1" ht="63.75">
      <c r="A449" s="1364">
        <f t="shared" si="21"/>
        <v>156</v>
      </c>
      <c r="B449" s="1330"/>
      <c r="C449" s="1358" t="s">
        <v>773</v>
      </c>
      <c r="D449" s="1358"/>
      <c r="E449" s="1337" t="s">
        <v>774</v>
      </c>
      <c r="F449" s="1365" t="s">
        <v>775</v>
      </c>
      <c r="G449" s="1338" t="s">
        <v>776</v>
      </c>
    </row>
    <row r="450" spans="1:9" s="1390" customFormat="1" ht="51">
      <c r="A450" s="1364">
        <f t="shared" si="21"/>
        <v>145</v>
      </c>
      <c r="B450" s="1330"/>
      <c r="C450" s="1358" t="s">
        <v>781</v>
      </c>
      <c r="D450" s="1358"/>
      <c r="E450" s="1337" t="s">
        <v>777</v>
      </c>
      <c r="F450" s="1369" t="s">
        <v>778</v>
      </c>
      <c r="G450" s="1338" t="s">
        <v>783</v>
      </c>
    </row>
    <row r="451" spans="1:9" s="1390" customFormat="1" ht="38.25">
      <c r="A451" s="1364">
        <f t="shared" si="21"/>
        <v>122</v>
      </c>
      <c r="B451" s="1330"/>
      <c r="C451" s="1358" t="s">
        <v>782</v>
      </c>
      <c r="D451" s="1358"/>
      <c r="E451" s="1337" t="s">
        <v>779</v>
      </c>
      <c r="F451" s="1369" t="s">
        <v>780</v>
      </c>
      <c r="G451" s="1338" t="s">
        <v>784</v>
      </c>
    </row>
    <row r="452" spans="1:9" s="1390" customFormat="1" ht="76.5">
      <c r="A452" s="1364">
        <f t="shared" si="21"/>
        <v>225</v>
      </c>
      <c r="B452" s="1330"/>
      <c r="C452" s="1358" t="s">
        <v>812</v>
      </c>
      <c r="D452" s="1336"/>
      <c r="E452" s="1370" t="s">
        <v>794</v>
      </c>
      <c r="F452" s="1328" t="s">
        <v>804</v>
      </c>
      <c r="G452" s="1329" t="s">
        <v>803</v>
      </c>
      <c r="I452" s="1392"/>
    </row>
    <row r="453" spans="1:9" s="1390" customFormat="1" ht="63.75">
      <c r="A453" s="1364">
        <f t="shared" si="21"/>
        <v>165</v>
      </c>
      <c r="B453" s="1330"/>
      <c r="C453" s="1358" t="s">
        <v>1099</v>
      </c>
      <c r="D453" s="1336"/>
      <c r="E453" s="1370" t="s">
        <v>1098</v>
      </c>
      <c r="F453" s="1369" t="s">
        <v>1215</v>
      </c>
      <c r="G453" s="1371" t="s">
        <v>1300</v>
      </c>
      <c r="I453" s="1392"/>
    </row>
    <row r="454" spans="1:9" s="1390" customFormat="1">
      <c r="A454" s="1319"/>
      <c r="B454" s="1330"/>
      <c r="C454" s="1358"/>
      <c r="D454" s="1336"/>
      <c r="E454" s="1370"/>
      <c r="F454" s="1369"/>
      <c r="G454" s="1371"/>
      <c r="I454" s="1392"/>
    </row>
    <row r="457" spans="1:9" s="1393" customFormat="1" ht="20.100000000000001" customHeight="1">
      <c r="A457" s="1372"/>
      <c r="B457" s="1373"/>
      <c r="C457" s="1373" t="s">
        <v>765</v>
      </c>
      <c r="D457" s="1373"/>
      <c r="E457" s="1374" t="s">
        <v>764</v>
      </c>
      <c r="F457" s="1374" t="s">
        <v>763</v>
      </c>
      <c r="G457" s="1373" t="s">
        <v>768</v>
      </c>
      <c r="H457" s="1400"/>
      <c r="I457" s="1400"/>
    </row>
    <row r="458" spans="1:9" s="1401" customFormat="1">
      <c r="A458" s="1375"/>
      <c r="B458" s="1376"/>
      <c r="C458" s="1376" t="str">
        <f ca="1">IF((E458&lt;F458),G458,G459)</f>
        <v>aktuell</v>
      </c>
      <c r="D458" s="1376"/>
      <c r="E458" s="1377">
        <f ca="1">TODAY()</f>
        <v>44257</v>
      </c>
      <c r="F458" s="1378">
        <v>44392</v>
      </c>
      <c r="G458" s="1376" t="s">
        <v>766</v>
      </c>
    </row>
    <row r="459" spans="1:9" s="1401" customFormat="1">
      <c r="A459" s="1375"/>
      <c r="B459" s="1376"/>
      <c r="C459" s="1376"/>
      <c r="D459" s="1376"/>
      <c r="E459" s="1376"/>
      <c r="F459" s="1376"/>
      <c r="G459" s="1376" t="s">
        <v>767</v>
      </c>
    </row>
    <row r="460" spans="1:9" s="1401" customFormat="1">
      <c r="A460" s="1375"/>
      <c r="B460" s="1376"/>
      <c r="C460" s="1376"/>
      <c r="D460" s="1376"/>
      <c r="E460" s="1376"/>
      <c r="F460" s="1376"/>
      <c r="G460" s="1376"/>
    </row>
    <row r="466" spans="5:5">
      <c r="E466" s="1379"/>
    </row>
  </sheetData>
  <sheetProtection algorithmName="SHA-512" hashValue="dzD6AkLRtGCZszVdjIxFnDOO+3XbbEM29cCcYZGgla6tf2rBKRYoqZQBk/SpN/YDvNGBTiLsbRJRTWsGJXE/hA==" saltValue="GWcvdbc/nhJYIDB7tn6Emw==" spinCount="100000" sheet="1" objects="1" scenarios="1" selectLockedCells="1" selectUnlockedCells="1"/>
  <phoneticPr fontId="9" type="noConversion"/>
  <conditionalFormatting sqref="F412:F448">
    <cfRule type="expression" dxfId="426" priority="4">
      <formula>IF(LEN(F412)&gt;249,1,0)</formula>
    </cfRule>
  </conditionalFormatting>
  <conditionalFormatting sqref="G426:G448">
    <cfRule type="expression" dxfId="425" priority="3">
      <formula>IF(LEN(G426)&gt;249,1,0)</formula>
    </cfRule>
  </conditionalFormatting>
  <conditionalFormatting sqref="F449:F451">
    <cfRule type="expression" dxfId="424" priority="2">
      <formula>IF(LEN(F449)&gt;249,1,0)</formula>
    </cfRule>
  </conditionalFormatting>
  <conditionalFormatting sqref="G449:G451">
    <cfRule type="expression" dxfId="423" priority="1">
      <formula>IF(LEN(G449)&gt;249,1,0)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L229"/>
  <sheetViews>
    <sheetView showGridLines="0" showRowColHeaders="0" tabSelected="1" showRuler="0" zoomScale="120" zoomScaleNormal="120" workbookViewId="0">
      <pane xSplit="58" ySplit="10" topLeftCell="BG11" activePane="bottomRight" state="frozenSplit"/>
      <selection pane="topRight" activeCell="BF1" sqref="BF1"/>
      <selection pane="bottomLeft" activeCell="A25" sqref="A25"/>
      <selection pane="bottomRight" activeCell="I28" sqref="I28:AA28"/>
    </sheetView>
  </sheetViews>
  <sheetFormatPr baseColWidth="10" defaultColWidth="2.85546875" defaultRowHeight="12.75" outlineLevelRow="1"/>
  <cols>
    <col min="1" max="1" width="2.85546875" style="31"/>
    <col min="2" max="3" width="4" style="31" customWidth="1"/>
    <col min="4" max="51" width="2.85546875" style="31"/>
    <col min="52" max="52" width="2.85546875" style="31" customWidth="1"/>
    <col min="53" max="53" width="1.42578125" style="31" customWidth="1"/>
    <col min="54" max="56" width="2.85546875" style="31"/>
    <col min="57" max="57" width="1.28515625" style="31" customWidth="1"/>
    <col min="58" max="16384" width="2.85546875" style="31"/>
  </cols>
  <sheetData>
    <row r="2" spans="2:56" s="28" customFormat="1">
      <c r="B2" s="28" t="s">
        <v>10</v>
      </c>
      <c r="D2" s="29" t="s">
        <v>13</v>
      </c>
      <c r="E2" s="1418" t="s">
        <v>11</v>
      </c>
      <c r="F2" s="1418"/>
      <c r="G2" s="1418"/>
      <c r="H2" s="1418"/>
      <c r="I2" s="1418"/>
      <c r="J2" s="1418"/>
      <c r="K2" s="1419"/>
    </row>
    <row r="4" spans="2:56" ht="12.95" customHeight="1">
      <c r="E4" s="1436" t="str">
        <f>X!C292</f>
        <v>Wählen Sie zuerst die Sprache. Danach diese nicht mehr verändern. 
Falls Sie die Sprache nachträglich ändern, müssen Sie alle Eingaben aus den Auswahlfelder nochmals überprüfen.</v>
      </c>
      <c r="F4" s="1436"/>
      <c r="G4" s="1436"/>
      <c r="H4" s="1436"/>
      <c r="I4" s="1436"/>
      <c r="J4" s="1436"/>
      <c r="K4" s="1436"/>
      <c r="L4" s="1436"/>
      <c r="M4" s="1436"/>
      <c r="N4" s="1436"/>
      <c r="O4" s="1436"/>
      <c r="P4" s="1436"/>
      <c r="Q4" s="1436"/>
      <c r="R4" s="1436"/>
      <c r="S4" s="1436"/>
      <c r="T4" s="1436"/>
      <c r="U4" s="1436"/>
      <c r="V4" s="1436"/>
      <c r="W4" s="1436"/>
      <c r="X4" s="1436"/>
      <c r="Y4" s="1436"/>
      <c r="Z4" s="1436"/>
      <c r="AA4" s="1436"/>
      <c r="AB4" s="1436"/>
      <c r="AC4" s="1436"/>
      <c r="AD4" s="1436"/>
      <c r="AE4" s="1436"/>
      <c r="AF4" s="1223"/>
      <c r="AG4" s="1223"/>
      <c r="AH4" s="1223"/>
      <c r="AI4" s="1223"/>
      <c r="AJ4" s="1223"/>
      <c r="AK4" s="1223"/>
      <c r="AL4" s="1223"/>
      <c r="AM4" s="1223"/>
      <c r="AN4" s="1223"/>
      <c r="AO4" s="1223"/>
      <c r="AP4" s="1223"/>
      <c r="AQ4" s="1214"/>
      <c r="AR4" s="1214"/>
      <c r="AS4" s="1214"/>
      <c r="AT4" s="1214"/>
      <c r="AU4" s="1214"/>
      <c r="AV4" s="1214"/>
      <c r="AW4" s="1214"/>
      <c r="AX4" s="1214"/>
      <c r="AY4" s="1214"/>
      <c r="AZ4" s="1214"/>
    </row>
    <row r="5" spans="2:5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c r="AD5" s="1436"/>
      <c r="AE5" s="1436"/>
      <c r="AF5" s="1223"/>
      <c r="AG5" s="1223"/>
      <c r="AH5" s="1223"/>
      <c r="AI5" s="1223"/>
      <c r="AJ5" s="1223"/>
      <c r="AK5" s="1223"/>
      <c r="AL5" s="1223"/>
      <c r="AM5" s="1223"/>
      <c r="AN5" s="1223"/>
      <c r="AO5" s="1223"/>
      <c r="AP5" s="1223"/>
      <c r="AQ5" s="1214"/>
      <c r="AR5" s="1214"/>
      <c r="AS5" s="1214"/>
      <c r="AT5" s="1214"/>
      <c r="AU5" s="1214"/>
      <c r="AV5" s="1214"/>
      <c r="AW5" s="1214"/>
      <c r="AX5" s="1214"/>
      <c r="AY5" s="1214"/>
      <c r="AZ5" s="1214"/>
    </row>
    <row r="6" spans="2:56">
      <c r="E6" s="1436"/>
      <c r="F6" s="1436"/>
      <c r="G6" s="1436"/>
      <c r="H6" s="1436"/>
      <c r="I6" s="1436"/>
      <c r="J6" s="1436"/>
      <c r="K6" s="1436"/>
      <c r="L6" s="1436"/>
      <c r="M6" s="1436"/>
      <c r="N6" s="1436"/>
      <c r="O6" s="1436"/>
      <c r="P6" s="1436"/>
      <c r="Q6" s="1436"/>
      <c r="R6" s="1436"/>
      <c r="S6" s="1436"/>
      <c r="T6" s="1436"/>
      <c r="U6" s="1436"/>
      <c r="V6" s="1436"/>
      <c r="W6" s="1436"/>
      <c r="X6" s="1436"/>
      <c r="Y6" s="1436"/>
      <c r="Z6" s="1436"/>
      <c r="AA6" s="1436"/>
      <c r="AB6" s="1436"/>
      <c r="AC6" s="1436"/>
      <c r="AD6" s="1436"/>
      <c r="AE6" s="1436"/>
      <c r="AF6" s="1214"/>
      <c r="AG6" s="1214"/>
      <c r="AH6" s="1214"/>
      <c r="AI6" s="1214"/>
      <c r="AJ6" s="1214"/>
      <c r="AK6" s="1214"/>
      <c r="AL6" s="1214"/>
      <c r="AM6" s="1214"/>
      <c r="AN6" s="1214"/>
      <c r="AO6" s="1214"/>
      <c r="AP6" s="1214"/>
      <c r="AQ6" s="1214"/>
      <c r="AR6" s="1214"/>
      <c r="AS6" s="1214"/>
      <c r="AT6" s="1214"/>
      <c r="AU6" s="1214"/>
      <c r="AV6" s="1214"/>
      <c r="AW6" s="1214"/>
      <c r="AX6" s="1214"/>
      <c r="AY6" s="1214"/>
      <c r="AZ6" s="1214"/>
    </row>
    <row r="7" spans="2:56" ht="17.100000000000001" customHeight="1">
      <c r="E7" s="1436"/>
      <c r="F7" s="1436"/>
      <c r="G7" s="1436"/>
      <c r="H7" s="1436"/>
      <c r="I7" s="1436"/>
      <c r="J7" s="1436"/>
      <c r="K7" s="1436"/>
      <c r="L7" s="1436"/>
      <c r="M7" s="1436"/>
      <c r="N7" s="1436"/>
      <c r="O7" s="1436"/>
      <c r="P7" s="1436"/>
      <c r="Q7" s="1436"/>
      <c r="R7" s="1436"/>
      <c r="S7" s="1436"/>
      <c r="T7" s="1436"/>
      <c r="U7" s="1436"/>
      <c r="V7" s="1436"/>
      <c r="W7" s="1436"/>
      <c r="X7" s="1436"/>
      <c r="Y7" s="1436"/>
      <c r="Z7" s="1436"/>
      <c r="AA7" s="1436"/>
      <c r="AB7" s="1436"/>
      <c r="AC7" s="1436"/>
      <c r="AD7" s="1436"/>
      <c r="AE7" s="1436"/>
    </row>
    <row r="8" spans="2:56" ht="17.100000000000001" customHeight="1" thickBot="1">
      <c r="E8" s="1217"/>
      <c r="F8" s="1217"/>
      <c r="G8" s="1217"/>
      <c r="H8" s="1217"/>
      <c r="I8" s="1217"/>
      <c r="J8" s="1217"/>
      <c r="K8" s="1217"/>
      <c r="L8" s="1217"/>
      <c r="M8" s="1217"/>
      <c r="N8" s="1217"/>
      <c r="O8" s="1217"/>
      <c r="P8" s="1217"/>
      <c r="Q8" s="1217"/>
      <c r="R8" s="1217"/>
      <c r="S8" s="1217"/>
      <c r="T8" s="1217"/>
      <c r="U8" s="1217"/>
      <c r="V8" s="1217"/>
      <c r="W8" s="1217"/>
      <c r="X8" s="1217"/>
      <c r="Y8" s="1217"/>
      <c r="Z8" s="1217"/>
      <c r="AA8" s="1217"/>
      <c r="AB8" s="1217"/>
      <c r="AC8" s="1217"/>
      <c r="AD8" s="1217"/>
      <c r="AE8" s="1217"/>
    </row>
    <row r="9" spans="2:56" ht="8.1" customHeight="1" thickTop="1">
      <c r="B9" s="1200"/>
      <c r="C9" s="1200"/>
      <c r="D9" s="1200"/>
      <c r="E9" s="1231"/>
      <c r="F9" s="1231"/>
      <c r="G9" s="1231"/>
      <c r="H9" s="1231"/>
      <c r="I9" s="1231"/>
      <c r="J9" s="1231"/>
      <c r="K9" s="1231"/>
      <c r="L9" s="1231"/>
      <c r="M9" s="1231"/>
      <c r="N9" s="1231"/>
      <c r="O9" s="1231"/>
      <c r="P9" s="1231"/>
      <c r="Q9" s="1231"/>
      <c r="R9" s="1231"/>
      <c r="S9" s="1231"/>
      <c r="T9" s="1231"/>
      <c r="U9" s="1231"/>
      <c r="V9" s="1231"/>
      <c r="W9" s="1231"/>
      <c r="X9" s="1231"/>
      <c r="Y9" s="1231"/>
      <c r="Z9" s="1231"/>
      <c r="AA9" s="1231"/>
      <c r="AB9" s="1231"/>
      <c r="AC9" s="1231"/>
      <c r="AD9" s="1231"/>
      <c r="AE9" s="1231"/>
      <c r="AF9" s="1200"/>
      <c r="AG9" s="1200"/>
      <c r="AH9" s="1200"/>
      <c r="AI9" s="1200"/>
      <c r="AJ9" s="1200"/>
      <c r="AK9" s="1200"/>
      <c r="AL9" s="1200"/>
      <c r="AM9" s="1200"/>
      <c r="AN9" s="1200"/>
      <c r="AO9" s="1200"/>
      <c r="AP9" s="1200"/>
      <c r="AQ9" s="1200"/>
      <c r="AR9" s="1200"/>
      <c r="AS9" s="1200"/>
      <c r="AT9" s="1200"/>
      <c r="AU9" s="1200"/>
      <c r="AV9" s="1200"/>
      <c r="AW9" s="1200"/>
      <c r="AX9" s="1200"/>
      <c r="AY9" s="1200"/>
      <c r="AZ9" s="1200"/>
      <c r="BA9" s="1200"/>
      <c r="BB9" s="1200"/>
      <c r="BC9" s="1200"/>
      <c r="BD9" s="1200"/>
    </row>
    <row r="10" spans="2:56" ht="9" customHeight="1">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row>
    <row r="11" spans="2:56" ht="6" customHeight="1"/>
    <row r="13" spans="2:56">
      <c r="B13" s="398" t="str">
        <f>X!$C$148</f>
        <v>Effiziente Kälte</v>
      </c>
      <c r="D13" s="30"/>
      <c r="E13" s="30"/>
      <c r="F13" s="30"/>
      <c r="G13" s="30"/>
      <c r="H13" s="30"/>
      <c r="I13" s="30"/>
      <c r="J13" s="30"/>
      <c r="K13" s="30"/>
      <c r="L13" s="30"/>
      <c r="M13" s="30"/>
      <c r="N13" s="30"/>
      <c r="O13" s="30"/>
      <c r="P13" s="30"/>
      <c r="Q13" s="30"/>
      <c r="R13" s="30"/>
      <c r="S13" s="30"/>
    </row>
    <row r="14" spans="2:56" s="32" customFormat="1" ht="15" customHeight="1">
      <c r="B14" s="34" t="str">
        <f>X!$C$21</f>
        <v>Kälte-Tool für die Abschätzung des Stromverbrauchs, der Umweltauswirkungen und der Lebenszykluskosten von Kälte- und Klimakälteanlagen</v>
      </c>
      <c r="Q14" s="33"/>
    </row>
    <row r="15" spans="2:56" s="32" customFormat="1" ht="12" customHeight="1">
      <c r="B15" s="34"/>
      <c r="Q15" s="33"/>
    </row>
    <row r="16" spans="2:56" s="32" customFormat="1" ht="12" customHeight="1">
      <c r="Q16" s="33"/>
    </row>
    <row r="17" spans="2:57" s="32" customFormat="1" ht="30">
      <c r="B17" s="1208">
        <v>1</v>
      </c>
      <c r="C17" s="1208" t="str">
        <f>X!C25</f>
        <v>Anlagespezifikation</v>
      </c>
      <c r="Q17" s="33"/>
    </row>
    <row r="18" spans="2:57" s="32" customFormat="1" ht="12" customHeight="1">
      <c r="Q18" s="33"/>
    </row>
    <row r="19" spans="2:57" ht="12" customHeight="1">
      <c r="B19" s="35"/>
      <c r="C19" s="35"/>
      <c r="D19" s="35"/>
      <c r="E19" s="35"/>
      <c r="F19" s="35"/>
      <c r="G19" s="35"/>
      <c r="H19" s="35"/>
      <c r="I19" s="35"/>
      <c r="J19" s="35"/>
      <c r="K19" s="35"/>
      <c r="L19" s="35"/>
      <c r="M19" s="35"/>
      <c r="N19" s="35"/>
      <c r="O19" s="35"/>
      <c r="P19" s="35"/>
      <c r="Q19" s="35"/>
      <c r="R19" s="35"/>
      <c r="S19" s="35"/>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row>
    <row r="20" spans="2:57" ht="5.0999999999999996" customHeight="1">
      <c r="C20" s="30"/>
      <c r="D20" s="30"/>
      <c r="E20" s="30"/>
      <c r="F20" s="30"/>
      <c r="G20" s="30"/>
      <c r="H20" s="30"/>
      <c r="I20" s="30"/>
      <c r="J20" s="30"/>
      <c r="K20" s="30"/>
      <c r="L20" s="30"/>
      <c r="M20" s="30"/>
      <c r="N20" s="30"/>
      <c r="O20" s="30"/>
      <c r="P20" s="30"/>
      <c r="Q20" s="30"/>
      <c r="R20" s="30"/>
      <c r="S20" s="30"/>
    </row>
    <row r="21" spans="2:57" s="37" customFormat="1" ht="12" customHeight="1">
      <c r="C21" s="1431" t="str">
        <f>IF(I28="","",I28)</f>
        <v/>
      </c>
      <c r="D21" s="1431"/>
      <c r="E21" s="1431"/>
      <c r="F21" s="1431"/>
      <c r="G21" s="1431"/>
      <c r="H21" s="1431"/>
      <c r="I21" s="1431"/>
      <c r="J21" s="1431"/>
      <c r="K21" s="1431"/>
      <c r="L21" s="1431"/>
      <c r="M21" s="1431"/>
      <c r="N21" s="1431"/>
      <c r="O21" s="38"/>
      <c r="P21" s="38"/>
      <c r="Q21" s="1435" t="str">
        <f>IF(AH28="","",AH28)</f>
        <v/>
      </c>
      <c r="R21" s="1435"/>
      <c r="S21" s="1435"/>
      <c r="T21" s="1435"/>
      <c r="U21" s="1435"/>
      <c r="V21" s="39"/>
      <c r="W21" s="1431" t="str">
        <f>IF(AH35="","",AH35)</f>
        <v/>
      </c>
      <c r="X21" s="1431"/>
      <c r="Y21" s="1431"/>
      <c r="Z21" s="1431"/>
      <c r="AA21" s="1431"/>
      <c r="AB21" s="1431"/>
      <c r="AC21" s="1431"/>
      <c r="AD21" s="1431"/>
      <c r="AE21" s="1431"/>
      <c r="AF21" s="616"/>
      <c r="AG21" s="1432" t="str">
        <f>X!C297</f>
        <v>Version 5.6 (2021): gültig bis 15. August 2021</v>
      </c>
      <c r="AH21" s="1432"/>
      <c r="AI21" s="1432"/>
      <c r="AJ21" s="1432"/>
      <c r="AK21" s="1432"/>
      <c r="AL21" s="1432"/>
      <c r="AM21" s="1432"/>
      <c r="AN21" s="1432"/>
      <c r="AO21" s="1432"/>
      <c r="AP21" s="1432"/>
      <c r="AQ21" s="1432"/>
      <c r="AR21" s="1432"/>
      <c r="AS21" s="1432"/>
      <c r="AT21" s="1432"/>
      <c r="AU21" s="1432"/>
      <c r="AV21" s="1432"/>
      <c r="AW21" s="1432"/>
      <c r="AX21" s="1432"/>
      <c r="AY21" s="1432"/>
      <c r="AZ21" s="1432"/>
      <c r="BA21" s="1432"/>
      <c r="BB21" s="1432"/>
      <c r="BC21" s="1432"/>
      <c r="BD21" s="1432"/>
      <c r="BE21" s="668"/>
    </row>
    <row r="22" spans="2:57" s="37" customFormat="1" ht="3.95" customHeight="1">
      <c r="B22" s="40"/>
      <c r="C22" s="41"/>
      <c r="D22" s="41"/>
      <c r="E22" s="41"/>
      <c r="F22" s="41"/>
      <c r="G22" s="41"/>
      <c r="H22" s="41"/>
      <c r="I22" s="41"/>
      <c r="J22" s="41"/>
      <c r="K22" s="41"/>
      <c r="L22" s="41"/>
      <c r="M22" s="41"/>
      <c r="N22" s="41"/>
      <c r="O22" s="40"/>
      <c r="P22" s="40"/>
      <c r="Q22" s="42"/>
      <c r="R22" s="41"/>
      <c r="S22" s="41"/>
      <c r="T22" s="41"/>
      <c r="U22" s="41"/>
      <c r="V22" s="41"/>
      <c r="W22" s="41"/>
      <c r="X22" s="40"/>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row>
    <row r="23" spans="2:57">
      <c r="C23" s="30"/>
      <c r="D23" s="30"/>
      <c r="E23" s="30"/>
      <c r="F23" s="30"/>
      <c r="G23" s="30"/>
      <c r="H23" s="30"/>
      <c r="I23" s="30"/>
      <c r="J23" s="30"/>
      <c r="K23" s="30"/>
      <c r="L23" s="30"/>
      <c r="M23" s="30"/>
      <c r="N23" s="30"/>
      <c r="O23" s="30"/>
      <c r="P23" s="30"/>
      <c r="Q23" s="30"/>
      <c r="R23" s="30"/>
      <c r="S23" s="30"/>
    </row>
    <row r="24" spans="2:57">
      <c r="C24" s="30"/>
      <c r="D24" s="30"/>
      <c r="E24" s="30"/>
      <c r="F24" s="30"/>
      <c r="G24" s="30"/>
      <c r="H24" s="30"/>
      <c r="I24" s="30"/>
      <c r="J24" s="30"/>
      <c r="K24" s="30"/>
      <c r="L24" s="30"/>
      <c r="M24" s="30"/>
      <c r="N24" s="30"/>
      <c r="O24" s="30"/>
      <c r="P24" s="30"/>
      <c r="Q24" s="30"/>
      <c r="R24" s="30"/>
      <c r="S24" s="30"/>
    </row>
    <row r="25" spans="2:57">
      <c r="B25" s="43"/>
      <c r="C25" s="44"/>
      <c r="D25" s="44"/>
      <c r="E25" s="44"/>
      <c r="F25" s="44"/>
      <c r="G25" s="44"/>
      <c r="H25" s="44"/>
      <c r="I25" s="44"/>
      <c r="J25" s="44"/>
      <c r="K25" s="44"/>
      <c r="L25" s="44"/>
      <c r="M25" s="44"/>
      <c r="N25" s="44"/>
      <c r="O25" s="44"/>
      <c r="P25" s="44"/>
      <c r="Q25" s="44"/>
      <c r="R25" s="44"/>
      <c r="S25" s="44"/>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6"/>
    </row>
    <row r="26" spans="2:57" ht="27.95" customHeight="1">
      <c r="B26" s="47"/>
      <c r="C26" s="48">
        <v>1</v>
      </c>
      <c r="D26" s="48" t="str">
        <f>X!$C$190</f>
        <v>Objekt</v>
      </c>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313"/>
      <c r="BB26" s="313"/>
      <c r="BC26" s="313"/>
      <c r="BD26" s="313"/>
      <c r="BE26" s="50"/>
    </row>
    <row r="27" spans="2:57">
      <c r="B27" s="47"/>
      <c r="C27" s="51"/>
      <c r="D27" s="51"/>
      <c r="E27" s="51"/>
      <c r="F27" s="51"/>
      <c r="G27" s="51"/>
      <c r="H27" s="51"/>
      <c r="I27" s="51"/>
      <c r="J27" s="51"/>
      <c r="K27" s="51"/>
      <c r="L27" s="51"/>
      <c r="M27" s="51"/>
      <c r="N27" s="51"/>
      <c r="O27" s="51"/>
      <c r="P27" s="51"/>
      <c r="Q27" s="51"/>
      <c r="R27" s="51"/>
      <c r="S27" s="51"/>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0"/>
    </row>
    <row r="28" spans="2:57" s="28" customFormat="1" ht="17.100000000000001" customHeight="1">
      <c r="B28" s="53"/>
      <c r="C28" s="54" t="str">
        <f>X!$C$61</f>
        <v>Bezeichnung</v>
      </c>
      <c r="D28" s="54"/>
      <c r="E28" s="54"/>
      <c r="F28" s="55"/>
      <c r="G28" s="55"/>
      <c r="H28" s="55"/>
      <c r="I28" s="1416"/>
      <c r="J28" s="1416"/>
      <c r="K28" s="1416"/>
      <c r="L28" s="1416"/>
      <c r="M28" s="1416"/>
      <c r="N28" s="1416"/>
      <c r="O28" s="1416"/>
      <c r="P28" s="1416"/>
      <c r="Q28" s="1416"/>
      <c r="R28" s="1416"/>
      <c r="S28" s="1416"/>
      <c r="T28" s="1416"/>
      <c r="U28" s="1416"/>
      <c r="V28" s="1416"/>
      <c r="W28" s="1416"/>
      <c r="X28" s="1416"/>
      <c r="Y28" s="1416"/>
      <c r="Z28" s="1416"/>
      <c r="AA28" s="1417"/>
      <c r="AB28" s="55"/>
      <c r="AC28" s="55"/>
      <c r="AD28" s="54" t="str">
        <f>X!$C$78</f>
        <v>Datum</v>
      </c>
      <c r="AE28" s="54"/>
      <c r="AF28" s="54"/>
      <c r="AG28" s="54"/>
      <c r="AH28" s="1433"/>
      <c r="AI28" s="1433"/>
      <c r="AJ28" s="1433"/>
      <c r="AK28" s="1433"/>
      <c r="AL28" s="1433"/>
      <c r="AM28" s="1433"/>
      <c r="AN28" s="1433"/>
      <c r="AO28" s="1433"/>
      <c r="AP28" s="1433"/>
      <c r="AQ28" s="1433"/>
      <c r="AR28" s="1433"/>
      <c r="AS28" s="1433"/>
      <c r="AT28" s="1433"/>
      <c r="AU28" s="1433"/>
      <c r="AV28" s="1433"/>
      <c r="AW28" s="1433"/>
      <c r="AX28" s="1433"/>
      <c r="AY28" s="1433"/>
      <c r="AZ28" s="1434"/>
      <c r="BC28" s="640"/>
      <c r="BD28" s="640"/>
      <c r="BE28" s="56"/>
    </row>
    <row r="29" spans="2:57">
      <c r="B29" s="57"/>
      <c r="C29" s="58"/>
      <c r="D29" s="58"/>
      <c r="E29" s="58"/>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60"/>
    </row>
    <row r="30" spans="2:57" ht="9" customHeight="1">
      <c r="C30" s="30"/>
      <c r="D30" s="30"/>
      <c r="E30" s="30"/>
    </row>
    <row r="31" spans="2:57" ht="9" customHeight="1">
      <c r="C31" s="30"/>
      <c r="D31" s="30"/>
      <c r="E31" s="30"/>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row>
    <row r="32" spans="2:57">
      <c r="B32" s="43"/>
      <c r="C32" s="44"/>
      <c r="D32" s="44"/>
      <c r="E32" s="44"/>
      <c r="F32" s="44"/>
      <c r="G32" s="44"/>
      <c r="H32" s="44"/>
      <c r="I32" s="44"/>
      <c r="J32" s="44"/>
      <c r="K32" s="44"/>
      <c r="L32" s="44"/>
      <c r="M32" s="44"/>
      <c r="N32" s="44"/>
      <c r="O32" s="44"/>
      <c r="P32" s="44"/>
      <c r="Q32" s="44"/>
      <c r="R32" s="44"/>
      <c r="S32" s="44"/>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6"/>
    </row>
    <row r="33" spans="2:57" ht="27.95" customHeight="1">
      <c r="B33" s="47"/>
      <c r="C33" s="48">
        <v>2</v>
      </c>
      <c r="D33" s="48" t="str">
        <f>X!$C$33</f>
        <v>Ausgefüllt durch</v>
      </c>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313"/>
      <c r="BB33" s="313"/>
      <c r="BC33" s="313"/>
      <c r="BD33" s="313"/>
      <c r="BE33" s="50"/>
    </row>
    <row r="34" spans="2:57">
      <c r="B34" s="47"/>
      <c r="C34" s="51"/>
      <c r="D34" s="51"/>
      <c r="E34" s="51"/>
      <c r="F34" s="51"/>
      <c r="G34" s="51"/>
      <c r="H34" s="51"/>
      <c r="I34" s="51"/>
      <c r="J34" s="51"/>
      <c r="K34" s="51"/>
      <c r="L34" s="51"/>
      <c r="M34" s="51"/>
      <c r="N34" s="51"/>
      <c r="O34" s="51"/>
      <c r="P34" s="51"/>
      <c r="Q34" s="51"/>
      <c r="R34" s="51"/>
      <c r="S34" s="51"/>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0"/>
    </row>
    <row r="35" spans="2:57" s="28" customFormat="1" ht="17.100000000000001" customHeight="1">
      <c r="B35" s="53"/>
      <c r="C35" s="54" t="str">
        <f>X!$C$110</f>
        <v>Firma</v>
      </c>
      <c r="D35" s="54"/>
      <c r="E35" s="54"/>
      <c r="F35" s="54"/>
      <c r="G35" s="54"/>
      <c r="H35" s="55"/>
      <c r="I35" s="1416"/>
      <c r="J35" s="1416"/>
      <c r="K35" s="1416"/>
      <c r="L35" s="1416"/>
      <c r="M35" s="1416"/>
      <c r="N35" s="1416"/>
      <c r="O35" s="1416"/>
      <c r="P35" s="1416"/>
      <c r="Q35" s="1416"/>
      <c r="R35" s="1416"/>
      <c r="S35" s="1416"/>
      <c r="T35" s="1416"/>
      <c r="U35" s="1416"/>
      <c r="V35" s="1416"/>
      <c r="W35" s="1416"/>
      <c r="X35" s="1416"/>
      <c r="Y35" s="1416"/>
      <c r="Z35" s="1416"/>
      <c r="AA35" s="1417"/>
      <c r="AB35" s="55"/>
      <c r="AC35" s="55"/>
      <c r="AD35" s="54" t="str">
        <f>X!$C$183</f>
        <v>Name</v>
      </c>
      <c r="AE35" s="54"/>
      <c r="AF35" s="54"/>
      <c r="AG35" s="54"/>
      <c r="AH35" s="1416"/>
      <c r="AI35" s="1416"/>
      <c r="AJ35" s="1416"/>
      <c r="AK35" s="1416"/>
      <c r="AL35" s="1416"/>
      <c r="AM35" s="1416"/>
      <c r="AN35" s="1416"/>
      <c r="AO35" s="1416"/>
      <c r="AP35" s="1416"/>
      <c r="AQ35" s="1416"/>
      <c r="AR35" s="1416"/>
      <c r="AS35" s="1416"/>
      <c r="AT35" s="1416"/>
      <c r="AU35" s="1416"/>
      <c r="AV35" s="1416"/>
      <c r="AW35" s="1416"/>
      <c r="AX35" s="1416"/>
      <c r="AY35" s="1416"/>
      <c r="AZ35" s="1417"/>
      <c r="BC35" s="640"/>
      <c r="BD35" s="640"/>
      <c r="BE35" s="56"/>
    </row>
    <row r="36" spans="2:57" ht="6.95" customHeight="1">
      <c r="B36" s="47"/>
      <c r="C36" s="51"/>
      <c r="D36" s="51"/>
      <c r="E36" s="51"/>
      <c r="F36" s="51"/>
      <c r="G36" s="51"/>
      <c r="H36" s="52"/>
      <c r="I36" s="51"/>
      <c r="J36" s="51"/>
      <c r="K36" s="51"/>
      <c r="L36" s="51"/>
      <c r="M36" s="51"/>
      <c r="N36" s="51"/>
      <c r="O36" s="51"/>
      <c r="P36" s="51"/>
      <c r="Q36" s="51"/>
      <c r="R36" s="51"/>
      <c r="S36" s="51"/>
      <c r="T36" s="51"/>
      <c r="U36" s="51"/>
      <c r="V36" s="51"/>
      <c r="W36" s="51"/>
      <c r="X36" s="51"/>
      <c r="Y36" s="51"/>
      <c r="Z36" s="51"/>
      <c r="AA36" s="51"/>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0"/>
    </row>
    <row r="37" spans="2:57" ht="6.95" customHeight="1">
      <c r="B37" s="47"/>
      <c r="C37" s="51"/>
      <c r="D37" s="51"/>
      <c r="E37" s="51"/>
      <c r="F37" s="51"/>
      <c r="G37" s="51"/>
      <c r="H37" s="52"/>
      <c r="I37" s="51"/>
      <c r="J37" s="51"/>
      <c r="K37" s="51"/>
      <c r="L37" s="51"/>
      <c r="M37" s="51"/>
      <c r="N37" s="51"/>
      <c r="O37" s="51"/>
      <c r="P37" s="51"/>
      <c r="Q37" s="51"/>
      <c r="R37" s="51"/>
      <c r="S37" s="51"/>
      <c r="T37" s="51"/>
      <c r="U37" s="51"/>
      <c r="V37" s="51"/>
      <c r="W37" s="51"/>
      <c r="X37" s="51"/>
      <c r="Y37" s="51"/>
      <c r="Z37" s="51"/>
      <c r="AA37" s="51"/>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0"/>
    </row>
    <row r="38" spans="2:57" ht="12" customHeight="1">
      <c r="B38" s="47"/>
      <c r="C38" s="51" t="str">
        <f>X!$C$43</f>
        <v>Bemerkung</v>
      </c>
      <c r="D38" s="51"/>
      <c r="E38" s="51"/>
      <c r="F38" s="52"/>
      <c r="G38" s="52"/>
      <c r="H38" s="52"/>
      <c r="I38" s="1421"/>
      <c r="J38" s="1422"/>
      <c r="K38" s="1422"/>
      <c r="L38" s="1422"/>
      <c r="M38" s="1422"/>
      <c r="N38" s="1422"/>
      <c r="O38" s="1422"/>
      <c r="P38" s="1422"/>
      <c r="Q38" s="1422"/>
      <c r="R38" s="1422"/>
      <c r="S38" s="1422"/>
      <c r="T38" s="1422"/>
      <c r="U38" s="1422"/>
      <c r="V38" s="1422"/>
      <c r="W38" s="1422"/>
      <c r="X38" s="1422"/>
      <c r="Y38" s="1422"/>
      <c r="Z38" s="1422"/>
      <c r="AA38" s="1422"/>
      <c r="AB38" s="1422"/>
      <c r="AC38" s="1422"/>
      <c r="AD38" s="1422"/>
      <c r="AE38" s="1422"/>
      <c r="AF38" s="1422"/>
      <c r="AG38" s="1422"/>
      <c r="AH38" s="1422"/>
      <c r="AI38" s="1422"/>
      <c r="AJ38" s="1422"/>
      <c r="AK38" s="1422"/>
      <c r="AL38" s="1422"/>
      <c r="AM38" s="1422"/>
      <c r="AN38" s="1422"/>
      <c r="AO38" s="1422"/>
      <c r="AP38" s="1422"/>
      <c r="AQ38" s="1422"/>
      <c r="AR38" s="1422"/>
      <c r="AS38" s="1422"/>
      <c r="AT38" s="1422"/>
      <c r="AU38" s="1422"/>
      <c r="AV38" s="1422"/>
      <c r="AW38" s="1422"/>
      <c r="AX38" s="1422"/>
      <c r="AY38" s="1422"/>
      <c r="AZ38" s="1423"/>
      <c r="BA38" s="670"/>
      <c r="BB38" s="670"/>
      <c r="BC38" s="670"/>
      <c r="BD38" s="670"/>
      <c r="BE38" s="50"/>
    </row>
    <row r="39" spans="2:57">
      <c r="B39" s="47"/>
      <c r="C39" s="51"/>
      <c r="D39" s="51"/>
      <c r="E39" s="51"/>
      <c r="F39" s="52"/>
      <c r="G39" s="52"/>
      <c r="H39" s="52"/>
      <c r="I39" s="1424"/>
      <c r="J39" s="1413"/>
      <c r="K39" s="1413"/>
      <c r="L39" s="1413"/>
      <c r="M39" s="1413"/>
      <c r="N39" s="1413"/>
      <c r="O39" s="1413"/>
      <c r="P39" s="1413"/>
      <c r="Q39" s="1413"/>
      <c r="R39" s="1413"/>
      <c r="S39" s="1413"/>
      <c r="T39" s="1413"/>
      <c r="U39" s="1413"/>
      <c r="V39" s="1413"/>
      <c r="W39" s="1413"/>
      <c r="X39" s="1413"/>
      <c r="Y39" s="1413"/>
      <c r="Z39" s="1413"/>
      <c r="AA39" s="1413"/>
      <c r="AB39" s="1413"/>
      <c r="AC39" s="1413"/>
      <c r="AD39" s="1413"/>
      <c r="AE39" s="1413"/>
      <c r="AF39" s="1413"/>
      <c r="AG39" s="1413"/>
      <c r="AH39" s="1413"/>
      <c r="AI39" s="1413"/>
      <c r="AJ39" s="1413"/>
      <c r="AK39" s="1413"/>
      <c r="AL39" s="1413"/>
      <c r="AM39" s="1413"/>
      <c r="AN39" s="1413"/>
      <c r="AO39" s="1413"/>
      <c r="AP39" s="1413"/>
      <c r="AQ39" s="1413"/>
      <c r="AR39" s="1413"/>
      <c r="AS39" s="1413"/>
      <c r="AT39" s="1413"/>
      <c r="AU39" s="1413"/>
      <c r="AV39" s="1413"/>
      <c r="AW39" s="1413"/>
      <c r="AX39" s="1413"/>
      <c r="AY39" s="1413"/>
      <c r="AZ39" s="1425"/>
      <c r="BA39" s="670"/>
      <c r="BB39" s="670"/>
      <c r="BC39" s="670"/>
      <c r="BD39" s="670"/>
      <c r="BE39" s="50"/>
    </row>
    <row r="40" spans="2:57">
      <c r="B40" s="57"/>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60"/>
    </row>
    <row r="41" spans="2:57" ht="9" customHeight="1">
      <c r="C41" s="30"/>
      <c r="D41" s="30"/>
      <c r="E41" s="30"/>
      <c r="F41" s="30"/>
      <c r="G41" s="30"/>
      <c r="H41" s="30"/>
      <c r="I41" s="30"/>
      <c r="J41" s="30"/>
      <c r="K41" s="30"/>
      <c r="L41" s="30"/>
      <c r="M41" s="30"/>
      <c r="N41" s="30"/>
      <c r="O41" s="30"/>
      <c r="P41" s="30"/>
      <c r="Q41" s="30"/>
      <c r="R41" s="30"/>
      <c r="S41" s="30"/>
    </row>
    <row r="42" spans="2:57" ht="9" customHeight="1">
      <c r="C42" s="30"/>
      <c r="D42" s="30"/>
      <c r="E42" s="30"/>
      <c r="F42" s="30"/>
      <c r="G42" s="30"/>
      <c r="H42" s="30"/>
      <c r="I42" s="30"/>
      <c r="J42" s="30"/>
      <c r="K42" s="30"/>
      <c r="L42" s="30"/>
      <c r="M42" s="30"/>
      <c r="N42" s="30"/>
      <c r="O42" s="30"/>
      <c r="P42" s="30"/>
      <c r="Q42" s="30"/>
      <c r="R42" s="30"/>
      <c r="S42" s="30"/>
    </row>
    <row r="43" spans="2:57">
      <c r="B43" s="43"/>
      <c r="C43" s="44"/>
      <c r="D43" s="44"/>
      <c r="E43" s="44"/>
      <c r="F43" s="44"/>
      <c r="G43" s="44"/>
      <c r="H43" s="44"/>
      <c r="I43" s="44"/>
      <c r="J43" s="44"/>
      <c r="K43" s="44"/>
      <c r="L43" s="44"/>
      <c r="M43" s="44"/>
      <c r="N43" s="44"/>
      <c r="O43" s="44"/>
      <c r="P43" s="44"/>
      <c r="Q43" s="44"/>
      <c r="R43" s="44"/>
      <c r="S43" s="44"/>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6"/>
    </row>
    <row r="44" spans="2:57" ht="27.95" customHeight="1">
      <c r="B44" s="47"/>
      <c r="C44" s="48">
        <v>3</v>
      </c>
      <c r="D44" s="48" t="str">
        <f>X!$C$265</f>
        <v>Was wollen Sie berechnen?</v>
      </c>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313"/>
      <c r="BB44" s="313"/>
      <c r="BC44" s="313"/>
      <c r="BD44" s="313"/>
      <c r="BE44" s="50"/>
    </row>
    <row r="45" spans="2:57">
      <c r="B45" s="47"/>
      <c r="C45" s="51"/>
      <c r="D45" s="51"/>
      <c r="E45" s="51"/>
      <c r="F45" s="51"/>
      <c r="G45" s="51"/>
      <c r="H45" s="51"/>
      <c r="I45" s="51"/>
      <c r="J45" s="51"/>
      <c r="K45" s="51"/>
      <c r="L45" s="51"/>
      <c r="M45" s="51"/>
      <c r="N45" s="51"/>
      <c r="O45" s="51"/>
      <c r="P45" s="51"/>
      <c r="Q45" s="51"/>
      <c r="R45" s="51"/>
      <c r="S45" s="51"/>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0"/>
    </row>
    <row r="46" spans="2:57" s="209" customFormat="1" ht="15" customHeight="1">
      <c r="B46" s="384"/>
      <c r="C46" s="601">
        <v>3.1</v>
      </c>
      <c r="D46" s="602" t="str">
        <f>X!$C$29</f>
        <v>Anwendung</v>
      </c>
      <c r="E46" s="603"/>
      <c r="F46" s="603"/>
      <c r="G46" s="603"/>
      <c r="H46" s="320"/>
      <c r="I46" s="320"/>
      <c r="J46" s="320"/>
      <c r="K46" s="320"/>
      <c r="L46" s="320"/>
      <c r="M46" s="320"/>
      <c r="N46" s="320"/>
      <c r="O46" s="320"/>
      <c r="P46" s="320"/>
      <c r="Q46" s="320"/>
      <c r="R46" s="320"/>
      <c r="S46" s="320"/>
      <c r="T46" s="320"/>
      <c r="U46" s="1413"/>
      <c r="V46" s="1414"/>
      <c r="W46" s="1414"/>
      <c r="X46" s="1414"/>
      <c r="Y46" s="1414"/>
      <c r="Z46" s="1414"/>
      <c r="AA46" s="1414"/>
      <c r="AB46" s="1414"/>
      <c r="AC46" s="1414"/>
      <c r="AD46" s="1414"/>
      <c r="AE46" s="1414"/>
      <c r="AF46" s="1414"/>
      <c r="AG46" s="1414"/>
      <c r="AH46" s="1414"/>
      <c r="AI46" s="1414"/>
      <c r="AJ46" s="1414"/>
      <c r="AK46" s="1414"/>
      <c r="AL46" s="1414"/>
      <c r="AM46" s="1414"/>
      <c r="AN46" s="1414"/>
      <c r="AO46" s="1414"/>
      <c r="AP46" s="1414"/>
      <c r="AQ46" s="1414"/>
      <c r="AR46" s="1414"/>
      <c r="AS46" s="1414"/>
      <c r="AT46" s="1414"/>
      <c r="AU46" s="1414"/>
      <c r="AV46" s="1414"/>
      <c r="AW46" s="1414"/>
      <c r="AX46" s="1414"/>
      <c r="AY46" s="1414"/>
      <c r="AZ46" s="1415"/>
      <c r="BA46" s="386"/>
      <c r="BB46" s="604"/>
      <c r="BC46" s="604"/>
      <c r="BD46" s="604"/>
      <c r="BE46" s="387"/>
    </row>
    <row r="47" spans="2:57" s="28" customFormat="1" ht="6" customHeight="1">
      <c r="B47" s="53"/>
      <c r="C47" s="62"/>
      <c r="D47" s="63"/>
      <c r="E47" s="62"/>
      <c r="F47" s="54"/>
      <c r="G47" s="61"/>
      <c r="H47" s="55"/>
      <c r="I47" s="55"/>
      <c r="J47" s="55"/>
      <c r="K47" s="55"/>
      <c r="L47" s="55"/>
      <c r="M47" s="55"/>
      <c r="N47" s="55"/>
      <c r="O47" s="55"/>
      <c r="P47" s="55"/>
      <c r="Q47" s="55"/>
      <c r="R47" s="55"/>
      <c r="S47" s="55"/>
      <c r="T47" s="55"/>
      <c r="U47" s="61"/>
      <c r="V47" s="63"/>
      <c r="W47" s="63"/>
      <c r="X47" s="63"/>
      <c r="Y47" s="63"/>
      <c r="Z47" s="63"/>
      <c r="AA47" s="63"/>
      <c r="AB47" s="63"/>
      <c r="AC47" s="63"/>
      <c r="AD47" s="63"/>
      <c r="AE47" s="63"/>
      <c r="AF47" s="625"/>
      <c r="AG47" s="625"/>
      <c r="AH47" s="625"/>
      <c r="AI47" s="625"/>
      <c r="AJ47" s="625"/>
      <c r="AK47" s="625"/>
      <c r="AL47" s="625"/>
      <c r="AM47" s="625"/>
      <c r="AN47" s="625"/>
      <c r="AO47" s="625"/>
      <c r="AP47" s="625"/>
      <c r="AQ47" s="625"/>
      <c r="AR47" s="625"/>
      <c r="AS47" s="625"/>
      <c r="AT47" s="625"/>
      <c r="AU47" s="625"/>
      <c r="AV47" s="625"/>
      <c r="AW47" s="63"/>
      <c r="AX47" s="63"/>
      <c r="AY47" s="63"/>
      <c r="AZ47" s="63"/>
      <c r="BA47" s="665"/>
      <c r="BB47" s="52"/>
      <c r="BC47" s="52"/>
      <c r="BD47" s="52"/>
      <c r="BE47" s="56"/>
    </row>
    <row r="48" spans="2:57" ht="15.95" customHeight="1">
      <c r="B48" s="47"/>
      <c r="C48" s="245">
        <v>3.2</v>
      </c>
      <c r="D48" s="61" t="str">
        <f>X!$C$271</f>
        <v>Wollen Sie den Elektrizitätsbedarf mit diesem Tool abschätzen?</v>
      </c>
      <c r="E48" s="54"/>
      <c r="F48" s="54"/>
      <c r="G48" s="51"/>
      <c r="H48" s="52"/>
      <c r="I48" s="51"/>
      <c r="J48" s="51"/>
      <c r="K48" s="51"/>
      <c r="L48" s="51"/>
      <c r="M48" s="52"/>
      <c r="N48" s="52"/>
      <c r="O48" s="52"/>
      <c r="P48" s="52"/>
      <c r="Q48" s="52"/>
      <c r="R48" s="52"/>
      <c r="S48" s="52"/>
      <c r="T48" s="52"/>
      <c r="AA48" s="623"/>
      <c r="AB48" s="623"/>
      <c r="AC48" s="623"/>
      <c r="AD48" s="623"/>
      <c r="AE48" s="623"/>
      <c r="AF48" s="623"/>
      <c r="AG48" s="623"/>
      <c r="AH48" s="1416"/>
      <c r="AI48" s="1416"/>
      <c r="AJ48" s="1416"/>
      <c r="AK48" s="1416"/>
      <c r="AL48" s="1416"/>
      <c r="AM48" s="1417"/>
      <c r="AN48" s="623"/>
      <c r="AO48" s="623"/>
      <c r="AP48" s="623"/>
      <c r="AQ48" s="623"/>
      <c r="AR48" s="623"/>
      <c r="AS48" s="623"/>
      <c r="AT48" s="623"/>
      <c r="AU48" s="623"/>
      <c r="AV48" s="623"/>
      <c r="AW48" s="623"/>
      <c r="AX48" s="623"/>
      <c r="AY48" s="623"/>
      <c r="AZ48" s="623"/>
      <c r="BA48" s="62"/>
      <c r="BB48" s="52"/>
      <c r="BC48" s="52"/>
      <c r="BD48" s="52"/>
      <c r="BE48" s="50"/>
    </row>
    <row r="49" spans="2:58" s="28" customFormat="1" ht="3.95" customHeight="1">
      <c r="B49" s="53"/>
      <c r="C49" s="61"/>
      <c r="D49" s="54"/>
      <c r="E49" s="54"/>
      <c r="F49" s="54"/>
      <c r="G49" s="54"/>
      <c r="H49" s="55"/>
      <c r="I49" s="55"/>
      <c r="J49" s="55"/>
      <c r="K49" s="55"/>
      <c r="L49" s="55"/>
      <c r="M49" s="55"/>
      <c r="N49" s="55"/>
      <c r="O49" s="55"/>
      <c r="P49" s="55"/>
      <c r="Q49" s="55"/>
      <c r="R49" s="55"/>
      <c r="S49" s="55"/>
      <c r="T49" s="55"/>
      <c r="U49" s="55"/>
      <c r="V49" s="55"/>
      <c r="W49" s="55"/>
      <c r="X49" s="63"/>
      <c r="Y49" s="63"/>
      <c r="Z49" s="63"/>
      <c r="AA49" s="63"/>
      <c r="AB49" s="63"/>
      <c r="AC49" s="63"/>
      <c r="AD49" s="63"/>
      <c r="AE49" s="63"/>
      <c r="AF49" s="625"/>
      <c r="AG49" s="625"/>
      <c r="AH49" s="625"/>
      <c r="AI49" s="625"/>
      <c r="AJ49" s="625"/>
      <c r="AK49" s="625"/>
      <c r="AL49" s="625"/>
      <c r="AM49" s="625"/>
      <c r="AN49" s="625"/>
      <c r="AO49" s="625"/>
      <c r="AP49" s="625"/>
      <c r="AQ49" s="625"/>
      <c r="AR49" s="625"/>
      <c r="AS49" s="625"/>
      <c r="AT49" s="625"/>
      <c r="AU49" s="625"/>
      <c r="AV49" s="625"/>
      <c r="AW49" s="63"/>
      <c r="AX49" s="63"/>
      <c r="AY49" s="63"/>
      <c r="AZ49" s="63"/>
      <c r="BA49" s="665"/>
      <c r="BB49" s="52"/>
      <c r="BC49" s="52"/>
      <c r="BD49" s="52"/>
      <c r="BE49" s="50"/>
      <c r="BF49" s="31"/>
    </row>
    <row r="50" spans="2:58" s="28" customFormat="1" ht="17.100000000000001" customHeight="1">
      <c r="B50" s="65"/>
      <c r="C50" s="1074"/>
      <c r="D50" s="66" t="s">
        <v>13</v>
      </c>
      <c r="E50" s="62" t="str">
        <f>X!$C$115</f>
        <v>geben Sie den Elektrizitätsbedarf hier manuell ein</v>
      </c>
      <c r="F50" s="54"/>
      <c r="G50" s="55"/>
      <c r="H50" s="55"/>
      <c r="I50" s="55"/>
      <c r="J50" s="55"/>
      <c r="K50" s="55"/>
      <c r="L50" s="55"/>
      <c r="M50" s="55"/>
      <c r="N50" s="55"/>
      <c r="O50" s="55"/>
      <c r="P50" s="55"/>
      <c r="Q50" s="55"/>
      <c r="R50" s="55"/>
      <c r="S50" s="55"/>
      <c r="T50" s="55"/>
      <c r="AC50" s="55"/>
      <c r="AD50" s="55"/>
      <c r="AE50" s="55"/>
      <c r="AF50" s="623"/>
      <c r="AG50" s="623"/>
      <c r="AH50" s="1426"/>
      <c r="AI50" s="1426"/>
      <c r="AJ50" s="1426"/>
      <c r="AK50" s="1426"/>
      <c r="AL50" s="1426"/>
      <c r="AM50" s="1427"/>
      <c r="AN50" s="55"/>
      <c r="AO50" s="55" t="s">
        <v>22</v>
      </c>
      <c r="AP50" s="623"/>
      <c r="AQ50" s="623"/>
      <c r="AR50" s="623"/>
      <c r="AS50" s="623"/>
      <c r="AT50" s="623"/>
      <c r="AU50" s="623"/>
      <c r="AV50" s="623"/>
      <c r="AW50" s="55"/>
      <c r="AX50" s="55"/>
      <c r="AY50" s="55"/>
      <c r="AZ50" s="55"/>
      <c r="BA50" s="640"/>
      <c r="BB50" s="52"/>
      <c r="BC50" s="52"/>
      <c r="BD50" s="52"/>
      <c r="BE50" s="50"/>
      <c r="BF50" s="31"/>
    </row>
    <row r="51" spans="2:58" s="28" customFormat="1" ht="3.95" customHeight="1">
      <c r="B51" s="53"/>
      <c r="C51" s="61"/>
      <c r="D51" s="1286"/>
      <c r="E51" s="1286"/>
      <c r="F51" s="1286"/>
      <c r="G51" s="1286"/>
      <c r="H51" s="640"/>
      <c r="I51" s="640"/>
      <c r="J51" s="640"/>
      <c r="K51" s="640"/>
      <c r="L51" s="640"/>
      <c r="M51" s="640"/>
      <c r="N51" s="640"/>
      <c r="O51" s="640"/>
      <c r="P51" s="640"/>
      <c r="Q51" s="640"/>
      <c r="R51" s="640"/>
      <c r="S51" s="640"/>
      <c r="T51" s="640"/>
      <c r="U51" s="640"/>
      <c r="V51" s="640"/>
      <c r="W51" s="640"/>
      <c r="X51" s="997"/>
      <c r="Y51" s="997"/>
      <c r="Z51" s="997"/>
      <c r="AA51" s="997"/>
      <c r="AB51" s="997"/>
      <c r="AC51" s="997"/>
      <c r="AD51" s="997"/>
      <c r="AE51" s="997"/>
      <c r="AF51" s="997"/>
      <c r="AG51" s="997"/>
      <c r="AH51" s="997"/>
      <c r="AI51" s="997"/>
      <c r="AJ51" s="997"/>
      <c r="AK51" s="997"/>
      <c r="AL51" s="997"/>
      <c r="AM51" s="997"/>
      <c r="AN51" s="997"/>
      <c r="AO51" s="997"/>
      <c r="AP51" s="997"/>
      <c r="AQ51" s="997"/>
      <c r="AR51" s="997"/>
      <c r="AS51" s="997"/>
      <c r="AT51" s="997"/>
      <c r="AU51" s="997"/>
      <c r="AV51" s="997"/>
      <c r="AW51" s="997"/>
      <c r="AX51" s="997"/>
      <c r="AY51" s="997"/>
      <c r="AZ51" s="997"/>
      <c r="BA51" s="997"/>
      <c r="BB51" s="52"/>
      <c r="BC51" s="52"/>
      <c r="BD51" s="52"/>
      <c r="BE51" s="50"/>
      <c r="BF51" s="31"/>
    </row>
    <row r="52" spans="2:58" s="28" customFormat="1" ht="17.100000000000001" customHeight="1">
      <c r="B52" s="65"/>
      <c r="C52" s="1280"/>
      <c r="D52" s="66" t="s">
        <v>13</v>
      </c>
      <c r="E52" s="62" t="str">
        <f>X!E396</f>
        <v>Arbeitsweise des Rückkühlers</v>
      </c>
      <c r="F52" s="1286"/>
      <c r="G52" s="640"/>
      <c r="H52" s="640"/>
      <c r="I52" s="640"/>
      <c r="J52" s="640"/>
      <c r="K52" s="640"/>
      <c r="L52" s="640"/>
      <c r="M52" s="640"/>
      <c r="N52" s="640"/>
      <c r="O52" s="640"/>
      <c r="P52" s="640"/>
      <c r="Q52" s="640"/>
      <c r="R52" s="640"/>
      <c r="S52" s="640"/>
      <c r="T52" s="640"/>
      <c r="AC52" s="640"/>
      <c r="AD52" s="640"/>
      <c r="AE52" s="640"/>
      <c r="AF52" s="640"/>
      <c r="AG52" s="640"/>
      <c r="AH52" s="1426"/>
      <c r="AI52" s="1426"/>
      <c r="AJ52" s="1426"/>
      <c r="AK52" s="1426"/>
      <c r="AL52" s="1426"/>
      <c r="AM52" s="1427"/>
      <c r="AN52" s="640"/>
      <c r="AO52" s="640"/>
      <c r="AP52" s="640"/>
      <c r="AQ52" s="640"/>
      <c r="AR52" s="640"/>
      <c r="AS52" s="640"/>
      <c r="AT52" s="640"/>
      <c r="AU52" s="640"/>
      <c r="AV52" s="640"/>
      <c r="AW52" s="640"/>
      <c r="AX52" s="640"/>
      <c r="AY52" s="640"/>
      <c r="AZ52" s="640"/>
      <c r="BA52" s="640"/>
      <c r="BB52" s="52"/>
      <c r="BC52" s="52"/>
      <c r="BD52" s="52"/>
      <c r="BE52" s="50"/>
      <c r="BF52" s="31"/>
    </row>
    <row r="53" spans="2:58" s="28" customFormat="1" ht="6" customHeight="1">
      <c r="B53" s="53"/>
      <c r="C53" s="62"/>
      <c r="D53" s="997"/>
      <c r="E53" s="62"/>
      <c r="F53" s="996"/>
      <c r="G53" s="61"/>
      <c r="H53" s="640"/>
      <c r="I53" s="640"/>
      <c r="J53" s="640"/>
      <c r="K53" s="640"/>
      <c r="L53" s="640"/>
      <c r="M53" s="640"/>
      <c r="N53" s="640"/>
      <c r="O53" s="640"/>
      <c r="P53" s="640"/>
      <c r="Q53" s="640"/>
      <c r="R53" s="640"/>
      <c r="S53" s="640"/>
      <c r="T53" s="640"/>
      <c r="U53" s="61"/>
      <c r="V53" s="997"/>
      <c r="W53" s="997"/>
      <c r="X53" s="997"/>
      <c r="Y53" s="997"/>
      <c r="Z53" s="997"/>
      <c r="AA53" s="997"/>
      <c r="AB53" s="997"/>
      <c r="AC53" s="997"/>
      <c r="AD53" s="997"/>
      <c r="AE53" s="997"/>
      <c r="AF53" s="997"/>
      <c r="AG53" s="997"/>
      <c r="AH53" s="997"/>
      <c r="AI53" s="997"/>
      <c r="AJ53" s="997"/>
      <c r="AK53" s="997"/>
      <c r="AL53" s="997"/>
      <c r="AM53" s="997"/>
      <c r="AN53" s="997"/>
      <c r="AO53" s="997"/>
      <c r="AP53" s="997"/>
      <c r="AQ53" s="997"/>
      <c r="AR53" s="997"/>
      <c r="AS53" s="997"/>
      <c r="AT53" s="997"/>
      <c r="AU53" s="997"/>
      <c r="AV53" s="997"/>
      <c r="AW53" s="997"/>
      <c r="AX53" s="997"/>
      <c r="AY53" s="997"/>
      <c r="AZ53" s="997"/>
      <c r="BA53" s="997"/>
      <c r="BB53" s="52"/>
      <c r="BC53" s="52"/>
      <c r="BD53" s="52"/>
      <c r="BE53" s="56"/>
    </row>
    <row r="54" spans="2:58" ht="15.95" customHeight="1">
      <c r="B54" s="47"/>
      <c r="C54" s="1074"/>
      <c r="D54" s="1224" t="s">
        <v>13</v>
      </c>
      <c r="E54" s="1152" t="str">
        <f>X!C374</f>
        <v>Wollen Sie die vereinfachte Abschätzung über den SEER-Wert durchführen?</v>
      </c>
      <c r="F54" s="996"/>
      <c r="G54" s="51"/>
      <c r="H54" s="52"/>
      <c r="I54" s="51"/>
      <c r="J54" s="51"/>
      <c r="K54" s="51"/>
      <c r="L54" s="51"/>
      <c r="M54" s="52"/>
      <c r="N54" s="52"/>
      <c r="O54" s="52"/>
      <c r="P54" s="52"/>
      <c r="Q54" s="52"/>
      <c r="R54" s="52"/>
      <c r="S54" s="52"/>
      <c r="T54" s="52"/>
      <c r="AA54" s="640"/>
      <c r="AB54" s="640"/>
      <c r="AC54" s="640"/>
      <c r="AD54" s="640"/>
      <c r="AE54" s="640"/>
      <c r="AF54" s="640"/>
      <c r="AG54" s="640"/>
      <c r="AH54" s="1416"/>
      <c r="AI54" s="1416"/>
      <c r="AJ54" s="1416"/>
      <c r="AK54" s="1416"/>
      <c r="AL54" s="1416"/>
      <c r="AM54" s="1417"/>
      <c r="AN54" s="640"/>
      <c r="AO54" s="640"/>
      <c r="AP54" s="640"/>
      <c r="AQ54" s="640"/>
      <c r="AR54" s="640"/>
      <c r="AS54" s="640"/>
      <c r="AT54" s="640"/>
      <c r="BA54" s="62"/>
      <c r="BB54" s="52"/>
      <c r="BC54" s="52"/>
      <c r="BD54" s="52"/>
      <c r="BE54" s="50"/>
    </row>
    <row r="55" spans="2:58" s="28" customFormat="1" ht="6" customHeight="1">
      <c r="B55" s="53"/>
      <c r="C55" s="62"/>
      <c r="D55" s="63"/>
      <c r="E55" s="62"/>
      <c r="F55" s="54"/>
      <c r="G55" s="61"/>
      <c r="H55" s="55"/>
      <c r="I55" s="55"/>
      <c r="J55" s="55"/>
      <c r="K55" s="55"/>
      <c r="L55" s="55"/>
      <c r="M55" s="55"/>
      <c r="N55" s="55"/>
      <c r="O55" s="55"/>
      <c r="P55" s="55"/>
      <c r="Q55" s="55"/>
      <c r="R55" s="55"/>
      <c r="S55" s="55"/>
      <c r="T55" s="55"/>
      <c r="U55" s="61"/>
      <c r="V55" s="63"/>
      <c r="W55" s="63"/>
      <c r="X55" s="63"/>
      <c r="Y55" s="63"/>
      <c r="Z55" s="63"/>
      <c r="AA55" s="63"/>
      <c r="AB55" s="63"/>
      <c r="AC55" s="63"/>
      <c r="AD55" s="63"/>
      <c r="AE55" s="63"/>
      <c r="AF55" s="625"/>
      <c r="AG55" s="625"/>
      <c r="AH55" s="625"/>
      <c r="AI55" s="625"/>
      <c r="AJ55" s="625"/>
      <c r="AK55" s="625"/>
      <c r="AL55" s="625"/>
      <c r="AM55" s="625"/>
      <c r="AN55" s="625"/>
      <c r="AO55" s="625"/>
      <c r="AP55" s="625"/>
      <c r="AQ55" s="625"/>
      <c r="AR55" s="625"/>
      <c r="AS55" s="625"/>
      <c r="AT55" s="625"/>
      <c r="AU55" s="625"/>
      <c r="AV55" s="625"/>
      <c r="AW55" s="63"/>
      <c r="AX55" s="63"/>
      <c r="AY55" s="63"/>
      <c r="AZ55" s="63"/>
      <c r="BA55" s="665"/>
      <c r="BB55" s="52"/>
      <c r="BC55" s="52"/>
      <c r="BD55" s="52"/>
      <c r="BE55" s="50"/>
      <c r="BF55" s="31"/>
    </row>
    <row r="56" spans="2:58" ht="15.95" customHeight="1">
      <c r="B56" s="47"/>
      <c r="C56" s="1301"/>
      <c r="D56" s="1224"/>
      <c r="E56" s="1428" t="str">
        <f>X!C401</f>
        <v>Beachten Sie: Bei der vereinfachten Abschätzung mit dem SEER-Wert können keine Anlagen mit den Zusatzfunktionen Free-Cooling oder Abwärmenutzung berechnet werden.</v>
      </c>
      <c r="F56" s="1428"/>
      <c r="G56" s="1428"/>
      <c r="H56" s="1428"/>
      <c r="I56" s="1428"/>
      <c r="J56" s="1428"/>
      <c r="K56" s="1428"/>
      <c r="L56" s="1428"/>
      <c r="M56" s="1428"/>
      <c r="N56" s="1428"/>
      <c r="O56" s="1428"/>
      <c r="P56" s="1428"/>
      <c r="Q56" s="1428"/>
      <c r="R56" s="1428"/>
      <c r="S56" s="1428"/>
      <c r="T56" s="1428"/>
      <c r="U56" s="1428"/>
      <c r="V56" s="1428"/>
      <c r="W56" s="1428"/>
      <c r="X56" s="1428"/>
      <c r="Y56" s="1428"/>
      <c r="Z56" s="1428"/>
      <c r="AA56" s="1428"/>
      <c r="AB56" s="1428"/>
      <c r="AC56" s="1428"/>
      <c r="AD56" s="1428"/>
      <c r="AE56" s="1428"/>
      <c r="AF56" s="1428"/>
      <c r="AG56" s="1428"/>
      <c r="AH56" s="1428"/>
      <c r="AI56" s="1428"/>
      <c r="AJ56" s="1428"/>
      <c r="AK56" s="1428"/>
      <c r="AL56" s="1428"/>
      <c r="AM56" s="1428"/>
      <c r="AN56" s="1428"/>
      <c r="AO56" s="1428"/>
      <c r="AP56" s="1428"/>
      <c r="AQ56" s="1428"/>
      <c r="AR56" s="1428"/>
      <c r="AS56" s="1428"/>
      <c r="AT56" s="1428"/>
      <c r="AU56" s="1428"/>
      <c r="AV56" s="1428"/>
      <c r="AW56" s="1428"/>
      <c r="AX56" s="1428"/>
      <c r="AY56" s="1428"/>
      <c r="AZ56" s="1428"/>
      <c r="BA56" s="62"/>
      <c r="BB56" s="52"/>
      <c r="BC56" s="52"/>
      <c r="BD56" s="52"/>
      <c r="BE56" s="50"/>
    </row>
    <row r="57" spans="2:58" s="28" customFormat="1" ht="6" customHeight="1">
      <c r="B57" s="53"/>
      <c r="C57" s="62"/>
      <c r="D57" s="997"/>
      <c r="E57" s="62"/>
      <c r="F57" s="1302"/>
      <c r="G57" s="61"/>
      <c r="H57" s="640"/>
      <c r="I57" s="640"/>
      <c r="J57" s="640"/>
      <c r="K57" s="640"/>
      <c r="L57" s="640"/>
      <c r="M57" s="640"/>
      <c r="N57" s="640"/>
      <c r="O57" s="640"/>
      <c r="P57" s="640"/>
      <c r="Q57" s="640"/>
      <c r="R57" s="640"/>
      <c r="S57" s="640"/>
      <c r="T57" s="640"/>
      <c r="U57" s="61"/>
      <c r="V57" s="997"/>
      <c r="W57" s="997"/>
      <c r="X57" s="997"/>
      <c r="Y57" s="997"/>
      <c r="Z57" s="997"/>
      <c r="AA57" s="997"/>
      <c r="AB57" s="997"/>
      <c r="AC57" s="997"/>
      <c r="AD57" s="997"/>
      <c r="AE57" s="997"/>
      <c r="AF57" s="997"/>
      <c r="AG57" s="997"/>
      <c r="AH57" s="997"/>
      <c r="AI57" s="997"/>
      <c r="AJ57" s="997"/>
      <c r="AK57" s="997"/>
      <c r="AL57" s="997"/>
      <c r="AM57" s="997"/>
      <c r="AN57" s="997"/>
      <c r="AO57" s="997"/>
      <c r="AP57" s="997"/>
      <c r="AQ57" s="997"/>
      <c r="AR57" s="997"/>
      <c r="AS57" s="997"/>
      <c r="AT57" s="997"/>
      <c r="AU57" s="997"/>
      <c r="AV57" s="997"/>
      <c r="AW57" s="997"/>
      <c r="AX57" s="997"/>
      <c r="AY57" s="997"/>
      <c r="AZ57" s="997"/>
      <c r="BA57" s="997"/>
      <c r="BB57" s="52"/>
      <c r="BC57" s="52"/>
      <c r="BD57" s="52"/>
      <c r="BE57" s="50"/>
      <c r="BF57" s="31"/>
    </row>
    <row r="58" spans="2:58" s="28" customFormat="1" ht="17.100000000000001" customHeight="1">
      <c r="B58" s="53"/>
      <c r="C58" s="245">
        <v>3.3</v>
      </c>
      <c r="D58" s="62" t="str">
        <f>X!$C$272</f>
        <v>Wollen Sie zwei Varianten vergleichen</v>
      </c>
      <c r="E58" s="51"/>
      <c r="F58" s="54"/>
      <c r="G58" s="61"/>
      <c r="H58" s="55"/>
      <c r="I58" s="55"/>
      <c r="J58" s="55"/>
      <c r="K58" s="55"/>
      <c r="L58" s="55"/>
      <c r="M58" s="55"/>
      <c r="N58" s="55"/>
      <c r="O58" s="55"/>
      <c r="P58" s="55"/>
      <c r="Q58" s="55"/>
      <c r="R58" s="55"/>
      <c r="S58" s="55"/>
      <c r="T58" s="55"/>
      <c r="AA58" s="55"/>
      <c r="AB58" s="55"/>
      <c r="AC58" s="55"/>
      <c r="AD58" s="55"/>
      <c r="AE58" s="55"/>
      <c r="AF58" s="623"/>
      <c r="AG58" s="623"/>
      <c r="AH58" s="1416"/>
      <c r="AI58" s="1416"/>
      <c r="AJ58" s="1416"/>
      <c r="AK58" s="1416"/>
      <c r="AL58" s="1416"/>
      <c r="AM58" s="1417"/>
      <c r="AN58" s="623"/>
      <c r="AO58" s="623"/>
      <c r="AP58" s="623"/>
      <c r="AQ58" s="623"/>
      <c r="AR58" s="623"/>
      <c r="AS58" s="623"/>
      <c r="AT58" s="623"/>
      <c r="AU58" s="623"/>
      <c r="AV58" s="623"/>
      <c r="AW58" s="55"/>
      <c r="AX58" s="55"/>
      <c r="AY58" s="55"/>
      <c r="AZ58" s="55"/>
      <c r="BA58" s="640"/>
      <c r="BB58" s="52"/>
      <c r="BC58" s="52"/>
      <c r="BD58" s="52"/>
      <c r="BE58" s="50"/>
      <c r="BF58" s="31"/>
    </row>
    <row r="59" spans="2:58" s="28" customFormat="1" ht="3.95" customHeight="1">
      <c r="B59" s="53"/>
      <c r="C59" s="61"/>
      <c r="D59" s="54"/>
      <c r="E59" s="54"/>
      <c r="F59" s="54"/>
      <c r="G59" s="54"/>
      <c r="H59" s="55"/>
      <c r="I59" s="55"/>
      <c r="J59" s="55"/>
      <c r="K59" s="55"/>
      <c r="L59" s="55"/>
      <c r="M59" s="55"/>
      <c r="N59" s="55"/>
      <c r="O59" s="55"/>
      <c r="P59" s="55"/>
      <c r="Q59" s="55"/>
      <c r="R59" s="55"/>
      <c r="S59" s="55"/>
      <c r="T59" s="55"/>
      <c r="U59" s="55"/>
      <c r="V59" s="55"/>
      <c r="W59" s="55"/>
      <c r="X59" s="55"/>
      <c r="Y59" s="55"/>
      <c r="Z59" s="55"/>
      <c r="AA59" s="55"/>
      <c r="AB59" s="55"/>
      <c r="AC59" s="55"/>
      <c r="AD59" s="55"/>
      <c r="AE59" s="55"/>
      <c r="AF59" s="623"/>
      <c r="AG59" s="623"/>
      <c r="AH59" s="623"/>
      <c r="AI59" s="623"/>
      <c r="AJ59" s="623"/>
      <c r="AK59" s="623"/>
      <c r="AL59" s="623"/>
      <c r="AM59" s="623"/>
      <c r="AN59" s="623"/>
      <c r="AO59" s="623"/>
      <c r="AP59" s="623"/>
      <c r="AQ59" s="623"/>
      <c r="AR59" s="623"/>
      <c r="AS59" s="623"/>
      <c r="AT59" s="623"/>
      <c r="AU59" s="623"/>
      <c r="AV59" s="623"/>
      <c r="AW59" s="55"/>
      <c r="AX59" s="55"/>
      <c r="AY59" s="55"/>
      <c r="AZ59" s="55"/>
      <c r="BA59" s="640"/>
      <c r="BB59" s="52"/>
      <c r="BC59" s="52"/>
      <c r="BD59" s="52"/>
      <c r="BE59" s="50"/>
      <c r="BF59" s="31"/>
    </row>
    <row r="60" spans="2:58" s="28" customFormat="1" ht="17.100000000000001" customHeight="1">
      <c r="B60" s="65"/>
      <c r="C60" s="55"/>
      <c r="D60" s="1224" t="s">
        <v>13</v>
      </c>
      <c r="E60" s="55" t="str">
        <f>IF(AH58=D119,D129,D128)</f>
        <v>Bezeichnung</v>
      </c>
      <c r="F60" s="54"/>
      <c r="G60" s="62"/>
      <c r="H60" s="55"/>
      <c r="I60" s="55"/>
      <c r="J60" s="55"/>
      <c r="K60" s="55"/>
      <c r="L60" s="55"/>
      <c r="M60" s="55"/>
      <c r="N60" s="55"/>
      <c r="O60" s="55"/>
      <c r="P60" s="55"/>
      <c r="Q60" s="55"/>
      <c r="R60" s="55"/>
      <c r="S60" s="55"/>
      <c r="T60" s="55"/>
      <c r="U60" s="1416"/>
      <c r="V60" s="1416"/>
      <c r="W60" s="1416"/>
      <c r="X60" s="1416"/>
      <c r="Y60" s="1416"/>
      <c r="Z60" s="1416"/>
      <c r="AA60" s="1416"/>
      <c r="AB60" s="1416"/>
      <c r="AC60" s="1416"/>
      <c r="AD60" s="1416"/>
      <c r="AE60" s="1416"/>
      <c r="AF60" s="1416"/>
      <c r="AG60" s="1416"/>
      <c r="AH60" s="1416"/>
      <c r="AI60" s="1416"/>
      <c r="AJ60" s="1416"/>
      <c r="AK60" s="1416"/>
      <c r="AL60" s="1416"/>
      <c r="AM60" s="1416"/>
      <c r="AN60" s="1416"/>
      <c r="AO60" s="1416"/>
      <c r="AP60" s="1416"/>
      <c r="AQ60" s="1416"/>
      <c r="AR60" s="1416"/>
      <c r="AS60" s="1416"/>
      <c r="AT60" s="1416"/>
      <c r="AU60" s="1416"/>
      <c r="AV60" s="1416"/>
      <c r="AW60" s="1416"/>
      <c r="AX60" s="1416"/>
      <c r="AY60" s="1416"/>
      <c r="AZ60" s="1417"/>
      <c r="BA60" s="62"/>
      <c r="BB60" s="52"/>
      <c r="BC60" s="52"/>
      <c r="BD60" s="52"/>
      <c r="BE60" s="50"/>
      <c r="BF60" s="31"/>
    </row>
    <row r="61" spans="2:58" s="28" customFormat="1" ht="6" customHeight="1">
      <c r="B61" s="53"/>
      <c r="C61" s="61"/>
      <c r="D61" s="54"/>
      <c r="E61" s="55"/>
      <c r="F61" s="54"/>
      <c r="G61" s="61"/>
      <c r="H61" s="55"/>
      <c r="I61" s="55"/>
      <c r="J61" s="55"/>
      <c r="K61" s="55"/>
      <c r="L61" s="55"/>
      <c r="M61" s="55"/>
      <c r="N61" s="55"/>
      <c r="O61" s="55"/>
      <c r="P61" s="55"/>
      <c r="Q61" s="55"/>
      <c r="R61" s="55"/>
      <c r="S61" s="55"/>
      <c r="T61" s="55"/>
      <c r="U61" s="61"/>
      <c r="V61" s="63"/>
      <c r="W61" s="63"/>
      <c r="X61" s="63"/>
      <c r="Y61" s="63"/>
      <c r="Z61" s="63"/>
      <c r="AA61" s="63"/>
      <c r="AB61" s="63"/>
      <c r="AC61" s="63"/>
      <c r="AD61" s="63"/>
      <c r="AE61" s="63"/>
      <c r="AF61" s="625"/>
      <c r="AG61" s="625"/>
      <c r="AH61" s="625"/>
      <c r="AI61" s="625"/>
      <c r="AJ61" s="625"/>
      <c r="AK61" s="625"/>
      <c r="AL61" s="625"/>
      <c r="AM61" s="625"/>
      <c r="AN61" s="625"/>
      <c r="AO61" s="625"/>
      <c r="AP61" s="625"/>
      <c r="AQ61" s="625"/>
      <c r="AR61" s="625"/>
      <c r="AS61" s="625"/>
      <c r="AT61" s="625"/>
      <c r="AU61" s="625"/>
      <c r="AV61" s="625"/>
      <c r="AW61" s="63"/>
      <c r="AX61" s="63"/>
      <c r="AY61" s="63"/>
      <c r="AZ61" s="63"/>
      <c r="BA61" s="665"/>
      <c r="BB61" s="52"/>
      <c r="BC61" s="52"/>
      <c r="BD61" s="52"/>
      <c r="BE61" s="56"/>
    </row>
    <row r="62" spans="2:58" s="28" customFormat="1" ht="17.100000000000001" customHeight="1">
      <c r="B62" s="65"/>
      <c r="C62" s="67"/>
      <c r="D62" s="1224" t="s">
        <v>13</v>
      </c>
      <c r="E62" s="55" t="str">
        <f>D130</f>
        <v>Bezeichnung der Variante B</v>
      </c>
      <c r="F62" s="54"/>
      <c r="G62" s="62"/>
      <c r="H62" s="55"/>
      <c r="I62" s="55"/>
      <c r="J62" s="55"/>
      <c r="K62" s="55"/>
      <c r="L62" s="55"/>
      <c r="M62" s="55"/>
      <c r="N62" s="55"/>
      <c r="O62" s="55"/>
      <c r="P62" s="55"/>
      <c r="Q62" s="55"/>
      <c r="R62" s="55"/>
      <c r="S62" s="55"/>
      <c r="T62" s="55"/>
      <c r="U62" s="1416"/>
      <c r="V62" s="1418"/>
      <c r="W62" s="1418"/>
      <c r="X62" s="1418"/>
      <c r="Y62" s="1418"/>
      <c r="Z62" s="1418"/>
      <c r="AA62" s="1418"/>
      <c r="AB62" s="1418"/>
      <c r="AC62" s="1418"/>
      <c r="AD62" s="1418"/>
      <c r="AE62" s="1418"/>
      <c r="AF62" s="1418"/>
      <c r="AG62" s="1418"/>
      <c r="AH62" s="1418"/>
      <c r="AI62" s="1418"/>
      <c r="AJ62" s="1418"/>
      <c r="AK62" s="1418"/>
      <c r="AL62" s="1418"/>
      <c r="AM62" s="1418"/>
      <c r="AN62" s="1418"/>
      <c r="AO62" s="1418"/>
      <c r="AP62" s="1418"/>
      <c r="AQ62" s="1418"/>
      <c r="AR62" s="1418"/>
      <c r="AS62" s="1418"/>
      <c r="AT62" s="1418"/>
      <c r="AU62" s="1418"/>
      <c r="AV62" s="1418"/>
      <c r="AW62" s="1418"/>
      <c r="AX62" s="1418"/>
      <c r="AY62" s="1418"/>
      <c r="AZ62" s="1419"/>
      <c r="BA62" s="665"/>
      <c r="BB62" s="52"/>
      <c r="BC62" s="52"/>
      <c r="BD62" s="52"/>
      <c r="BE62" s="56"/>
    </row>
    <row r="63" spans="2:58">
      <c r="B63" s="57"/>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60"/>
    </row>
    <row r="64" spans="2:58" s="28" customFormat="1" ht="9" customHeight="1">
      <c r="B64" s="68"/>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row>
    <row r="65" spans="2:58" ht="9" customHeight="1">
      <c r="C65" s="30"/>
      <c r="G65" s="30"/>
      <c r="H65" s="30"/>
      <c r="I65" s="30"/>
      <c r="J65" s="30"/>
      <c r="K65" s="30"/>
      <c r="L65" s="30"/>
      <c r="M65" s="30"/>
      <c r="N65" s="30"/>
      <c r="O65" s="30"/>
      <c r="P65" s="30"/>
      <c r="Q65" s="30"/>
      <c r="R65" s="30"/>
      <c r="S65" s="30"/>
      <c r="AW65" s="28"/>
      <c r="AX65" s="28"/>
      <c r="AY65" s="28"/>
      <c r="AZ65" s="28"/>
      <c r="BA65" s="28"/>
      <c r="BB65" s="28"/>
      <c r="BC65" s="28"/>
      <c r="BD65" s="28"/>
      <c r="BE65" s="28"/>
      <c r="BF65" s="28"/>
    </row>
    <row r="66" spans="2:58">
      <c r="B66" s="43"/>
      <c r="C66" s="44"/>
      <c r="D66" s="44"/>
      <c r="E66" s="44"/>
      <c r="F66" s="44"/>
      <c r="G66" s="44"/>
      <c r="H66" s="44"/>
      <c r="I66" s="44"/>
      <c r="J66" s="44"/>
      <c r="K66" s="44"/>
      <c r="L66" s="44"/>
      <c r="M66" s="44"/>
      <c r="N66" s="44"/>
      <c r="O66" s="44"/>
      <c r="P66" s="44"/>
      <c r="Q66" s="44"/>
      <c r="R66" s="44"/>
      <c r="S66" s="44"/>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6"/>
    </row>
    <row r="67" spans="2:58" ht="27.95" customHeight="1">
      <c r="B67" s="47"/>
      <c r="C67" s="48">
        <v>4</v>
      </c>
      <c r="D67" s="48" t="str">
        <f>X!$C$235</f>
        <v>Übersicht der Tools</v>
      </c>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313"/>
      <c r="BB67" s="313"/>
      <c r="BC67" s="313"/>
      <c r="BD67" s="313"/>
      <c r="BE67" s="50"/>
    </row>
    <row r="68" spans="2:58">
      <c r="B68" s="47"/>
      <c r="C68" s="51"/>
      <c r="D68" s="51"/>
      <c r="E68" s="51"/>
      <c r="F68" s="51"/>
      <c r="G68" s="51"/>
      <c r="H68" s="51"/>
      <c r="I68" s="51"/>
      <c r="J68" s="51"/>
      <c r="K68" s="51"/>
      <c r="L68" s="51"/>
      <c r="M68" s="51"/>
      <c r="N68" s="51"/>
      <c r="O68" s="51"/>
      <c r="P68" s="51"/>
      <c r="Q68" s="51"/>
      <c r="R68" s="51"/>
      <c r="S68" s="51"/>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0"/>
    </row>
    <row r="69" spans="2:58" s="28" customFormat="1" ht="17.100000000000001" customHeight="1">
      <c r="B69" s="53"/>
      <c r="C69" s="54"/>
      <c r="D69" s="1224" t="s">
        <v>13</v>
      </c>
      <c r="E69" s="1438" t="str">
        <f>X!C296</f>
        <v>zur Berechnung des Elektrizitätsbedarfs (2A)</v>
      </c>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U69" s="1438"/>
      <c r="AV69" s="1438"/>
      <c r="AW69" s="1438"/>
      <c r="AX69" s="1438"/>
      <c r="AY69" s="1438"/>
      <c r="AZ69" s="1438"/>
      <c r="BA69" s="671"/>
      <c r="BB69" s="671"/>
      <c r="BC69" s="671"/>
      <c r="BD69" s="671"/>
      <c r="BE69" s="56"/>
    </row>
    <row r="70" spans="2:58" s="28" customFormat="1" ht="17.100000000000001" customHeight="1">
      <c r="B70" s="53"/>
      <c r="C70" s="54"/>
      <c r="D70" s="1224" t="s">
        <v>13</v>
      </c>
      <c r="E70" s="1437" t="str">
        <f>X!C290</f>
        <v>zur Berechnung des Elektrizitätsbedarfs von einfachen Komfort-Klimakälteanlagen (2B)</v>
      </c>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1437"/>
      <c r="AV70" s="1437"/>
      <c r="AW70" s="1437"/>
      <c r="AX70" s="1437"/>
      <c r="AY70" s="1437"/>
      <c r="AZ70" s="1437"/>
      <c r="BA70" s="70"/>
      <c r="BB70" s="70"/>
      <c r="BC70" s="70"/>
      <c r="BD70" s="70"/>
      <c r="BE70" s="56"/>
    </row>
    <row r="71" spans="2:58" s="28" customFormat="1">
      <c r="B71" s="53"/>
      <c r="C71" s="54"/>
      <c r="D71" s="1225"/>
      <c r="E71" s="1226"/>
      <c r="F71" s="1226"/>
      <c r="G71" s="1226"/>
      <c r="H71" s="1226"/>
      <c r="I71" s="1226"/>
      <c r="J71" s="1226"/>
      <c r="K71" s="1226"/>
      <c r="L71" s="1226"/>
      <c r="M71" s="1226"/>
      <c r="N71" s="1226"/>
      <c r="O71" s="1226"/>
      <c r="P71" s="1227"/>
      <c r="Q71" s="1226"/>
      <c r="R71" s="1226"/>
      <c r="S71" s="1226"/>
      <c r="T71" s="1226"/>
      <c r="U71" s="1226"/>
      <c r="V71" s="1226"/>
      <c r="W71" s="1226"/>
      <c r="X71" s="1226"/>
      <c r="Y71" s="1226"/>
      <c r="Z71" s="1226"/>
      <c r="AA71" s="1226"/>
      <c r="AB71" s="1226"/>
      <c r="AC71" s="1226"/>
      <c r="AD71" s="1226"/>
      <c r="AE71" s="1226"/>
      <c r="AF71" s="1226"/>
      <c r="AG71" s="1226"/>
      <c r="AH71" s="1226"/>
      <c r="AI71" s="1226"/>
      <c r="AJ71" s="1226"/>
      <c r="AK71" s="1226"/>
      <c r="AL71" s="1226"/>
      <c r="AM71" s="1226"/>
      <c r="AN71" s="1226"/>
      <c r="AO71" s="1226"/>
      <c r="AP71" s="1226"/>
      <c r="AQ71" s="1226"/>
      <c r="AR71" s="1226"/>
      <c r="AS71" s="1226"/>
      <c r="AT71" s="1226"/>
      <c r="AU71" s="1226"/>
      <c r="AV71" s="1226"/>
      <c r="AW71" s="1226"/>
      <c r="AX71" s="1226"/>
      <c r="AY71" s="1226"/>
      <c r="AZ71" s="1226"/>
      <c r="BA71" s="69"/>
      <c r="BB71" s="69"/>
      <c r="BC71" s="69"/>
      <c r="BD71" s="69"/>
      <c r="BE71" s="56"/>
    </row>
    <row r="72" spans="2:58" s="28" customFormat="1">
      <c r="B72" s="53"/>
      <c r="C72" s="54"/>
      <c r="D72" s="1224" t="s">
        <v>13</v>
      </c>
      <c r="E72" s="1420" t="str">
        <f>X!$C$284</f>
        <v>zur TEWI-Berechnung (3)</v>
      </c>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1420"/>
      <c r="AJ72" s="1420"/>
      <c r="AK72" s="1420"/>
      <c r="AL72" s="1420"/>
      <c r="AM72" s="1420"/>
      <c r="AN72" s="1420"/>
      <c r="AO72" s="1420"/>
      <c r="AP72" s="1420"/>
      <c r="AQ72" s="1420"/>
      <c r="AR72" s="1420"/>
      <c r="AS72" s="1420"/>
      <c r="AT72" s="1420"/>
      <c r="AU72" s="1420"/>
      <c r="AV72" s="1420"/>
      <c r="AW72" s="1420"/>
      <c r="AX72" s="1420"/>
      <c r="AY72" s="1420"/>
      <c r="AZ72" s="1420"/>
      <c r="BA72" s="671"/>
      <c r="BB72" s="671"/>
      <c r="BC72" s="671"/>
      <c r="BD72" s="671"/>
      <c r="BE72" s="56"/>
    </row>
    <row r="73" spans="2:58" s="28" customFormat="1">
      <c r="B73" s="53"/>
      <c r="C73" s="54"/>
      <c r="D73" s="1225"/>
      <c r="E73" s="1226"/>
      <c r="F73" s="1226"/>
      <c r="G73" s="1226"/>
      <c r="H73" s="1226"/>
      <c r="I73" s="1226"/>
      <c r="J73" s="1226"/>
      <c r="K73" s="1226"/>
      <c r="L73" s="1226"/>
      <c r="M73" s="1226"/>
      <c r="N73" s="1226"/>
      <c r="O73" s="1226"/>
      <c r="P73" s="1226"/>
      <c r="Q73" s="1226"/>
      <c r="R73" s="1226"/>
      <c r="S73" s="1226"/>
      <c r="T73" s="1226"/>
      <c r="U73" s="1226"/>
      <c r="V73" s="1226"/>
      <c r="W73" s="1226"/>
      <c r="X73" s="1226"/>
      <c r="Y73" s="1226"/>
      <c r="Z73" s="1226"/>
      <c r="AA73" s="1226"/>
      <c r="AB73" s="1226"/>
      <c r="AC73" s="1226"/>
      <c r="AD73" s="1226"/>
      <c r="AE73" s="1226"/>
      <c r="AF73" s="1226"/>
      <c r="AG73" s="1226"/>
      <c r="AH73" s="1226"/>
      <c r="AI73" s="1226"/>
      <c r="AJ73" s="1226"/>
      <c r="AK73" s="1226"/>
      <c r="AL73" s="1226"/>
      <c r="AM73" s="1226"/>
      <c r="AN73" s="1226"/>
      <c r="AO73" s="1226"/>
      <c r="AP73" s="1226"/>
      <c r="AQ73" s="1226"/>
      <c r="AR73" s="1226"/>
      <c r="AS73" s="1226"/>
      <c r="AT73" s="1226"/>
      <c r="AU73" s="1226"/>
      <c r="AV73" s="1226"/>
      <c r="AW73" s="1226"/>
      <c r="AX73" s="1226"/>
      <c r="AY73" s="1226"/>
      <c r="AZ73" s="1226"/>
      <c r="BA73" s="69"/>
      <c r="BB73" s="69"/>
      <c r="BC73" s="69"/>
      <c r="BD73" s="69"/>
      <c r="BE73" s="56"/>
    </row>
    <row r="74" spans="2:58" s="28" customFormat="1">
      <c r="B74" s="53"/>
      <c r="C74" s="54"/>
      <c r="D74" s="1224" t="s">
        <v>13</v>
      </c>
      <c r="E74" s="1420" t="str">
        <f>X!$C$286</f>
        <v>zur Wirtschaftlichkeitsberechnung (4)</v>
      </c>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1420"/>
      <c r="AJ74" s="1420"/>
      <c r="AK74" s="1420"/>
      <c r="AL74" s="1420"/>
      <c r="AM74" s="1420"/>
      <c r="AN74" s="1420"/>
      <c r="AO74" s="1420"/>
      <c r="AP74" s="1420"/>
      <c r="AQ74" s="1420"/>
      <c r="AR74" s="1420"/>
      <c r="AS74" s="1420"/>
      <c r="AT74" s="1420"/>
      <c r="AU74" s="1420"/>
      <c r="AV74" s="1420"/>
      <c r="AW74" s="1420"/>
      <c r="AX74" s="1420"/>
      <c r="AY74" s="1420"/>
      <c r="AZ74" s="1420"/>
      <c r="BA74" s="671"/>
      <c r="BB74" s="671"/>
      <c r="BC74" s="671"/>
      <c r="BD74" s="671"/>
      <c r="BE74" s="56"/>
    </row>
    <row r="75" spans="2:58" s="28" customFormat="1">
      <c r="B75" s="53"/>
      <c r="C75" s="55"/>
      <c r="D75" s="1225"/>
      <c r="E75" s="1440"/>
      <c r="F75" s="1440"/>
      <c r="G75" s="1440"/>
      <c r="H75" s="1440"/>
      <c r="I75" s="1440"/>
      <c r="J75" s="1440"/>
      <c r="K75" s="1440"/>
      <c r="L75" s="1440"/>
      <c r="M75" s="1440"/>
      <c r="N75" s="1440"/>
      <c r="O75" s="1440"/>
      <c r="P75" s="1440"/>
      <c r="Q75" s="1440"/>
      <c r="R75" s="1440"/>
      <c r="S75" s="1440"/>
      <c r="T75" s="1440"/>
      <c r="U75" s="1440"/>
      <c r="V75" s="1440"/>
      <c r="W75" s="1440"/>
      <c r="X75" s="1440"/>
      <c r="Y75" s="1440"/>
      <c r="Z75" s="1440"/>
      <c r="AA75" s="1440"/>
      <c r="AB75" s="1440"/>
      <c r="AC75" s="1440"/>
      <c r="AD75" s="1440"/>
      <c r="AE75" s="1440"/>
      <c r="AF75" s="1440"/>
      <c r="AG75" s="1440"/>
      <c r="AH75" s="1440"/>
      <c r="AI75" s="1440"/>
      <c r="AJ75" s="1440"/>
      <c r="AK75" s="1440"/>
      <c r="AL75" s="1440"/>
      <c r="AM75" s="1440"/>
      <c r="AN75" s="1440"/>
      <c r="AO75" s="1440"/>
      <c r="AP75" s="1440"/>
      <c r="AQ75" s="1440"/>
      <c r="AR75" s="1440"/>
      <c r="AS75" s="1440"/>
      <c r="AT75" s="1440"/>
      <c r="AU75" s="1440"/>
      <c r="AV75" s="1440"/>
      <c r="AW75" s="1440"/>
      <c r="AX75" s="1440"/>
      <c r="AY75" s="1440"/>
      <c r="AZ75" s="1440"/>
      <c r="BA75" s="69"/>
      <c r="BB75" s="69"/>
      <c r="BC75" s="69"/>
      <c r="BD75" s="69"/>
      <c r="BE75" s="56"/>
    </row>
    <row r="76" spans="2:58" s="28" customFormat="1">
      <c r="B76" s="53"/>
      <c r="C76" s="55"/>
      <c r="D76" s="1224" t="s">
        <v>13</v>
      </c>
      <c r="E76" s="1420" t="str">
        <f>X!$C$287</f>
        <v>zu den Ergebnissen (5)</v>
      </c>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1420"/>
      <c r="AJ76" s="1420"/>
      <c r="AK76" s="1420"/>
      <c r="AL76" s="1420"/>
      <c r="AM76" s="1420"/>
      <c r="AN76" s="1420"/>
      <c r="AO76" s="1420"/>
      <c r="AP76" s="1420"/>
      <c r="AQ76" s="1420"/>
      <c r="AR76" s="1420"/>
      <c r="AS76" s="1420"/>
      <c r="AT76" s="1420"/>
      <c r="AU76" s="1420"/>
      <c r="AV76" s="1420"/>
      <c r="AW76" s="1420"/>
      <c r="AX76" s="1420"/>
      <c r="AY76" s="1420"/>
      <c r="AZ76" s="1420"/>
      <c r="BA76" s="671"/>
      <c r="BB76" s="671"/>
      <c r="BC76" s="671"/>
      <c r="BD76" s="671"/>
      <c r="BE76" s="56"/>
    </row>
    <row r="77" spans="2:58" ht="5.0999999999999996" customHeight="1">
      <c r="B77" s="47"/>
      <c r="C77" s="52"/>
      <c r="D77" s="52"/>
      <c r="E77" s="1228"/>
      <c r="F77" s="1228"/>
      <c r="G77" s="1228"/>
      <c r="H77" s="1228"/>
      <c r="I77" s="1228"/>
      <c r="J77" s="1228"/>
      <c r="K77" s="1228"/>
      <c r="L77" s="1228"/>
      <c r="M77" s="1228"/>
      <c r="N77" s="1228"/>
      <c r="O77" s="1228"/>
      <c r="P77" s="1228"/>
      <c r="Q77" s="1228"/>
      <c r="R77" s="1228"/>
      <c r="S77" s="1228"/>
      <c r="T77" s="1228"/>
      <c r="U77" s="1228"/>
      <c r="V77" s="1228"/>
      <c r="W77" s="1228"/>
      <c r="X77" s="1228"/>
      <c r="Y77" s="1228"/>
      <c r="Z77" s="1228"/>
      <c r="AA77" s="1228"/>
      <c r="AB77" s="1228"/>
      <c r="AC77" s="1228"/>
      <c r="AD77" s="1228"/>
      <c r="AE77" s="1228"/>
      <c r="AF77" s="1228"/>
      <c r="AG77" s="1228"/>
      <c r="AH77" s="1228"/>
      <c r="AI77" s="1228"/>
      <c r="AJ77" s="1228"/>
      <c r="AK77" s="1228"/>
      <c r="AL77" s="1228"/>
      <c r="AM77" s="1228"/>
      <c r="AN77" s="1228"/>
      <c r="AO77" s="1228"/>
      <c r="AP77" s="1228"/>
      <c r="AQ77" s="1228"/>
      <c r="AR77" s="1228"/>
      <c r="AS77" s="1228"/>
      <c r="AT77" s="1228"/>
      <c r="AU77" s="1228"/>
      <c r="AV77" s="1228"/>
      <c r="AW77" s="1228"/>
      <c r="AX77" s="1228"/>
      <c r="AY77" s="1228"/>
      <c r="AZ77" s="1228"/>
      <c r="BA77" s="71"/>
      <c r="BB77" s="71"/>
      <c r="BC77" s="71"/>
      <c r="BD77" s="71"/>
      <c r="BE77" s="50"/>
    </row>
    <row r="78" spans="2:58">
      <c r="B78" s="47"/>
      <c r="C78" s="52"/>
      <c r="D78" s="52"/>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1439" t="str">
        <f>X!C291</f>
        <v>nach oben</v>
      </c>
      <c r="AF78" s="1439"/>
      <c r="AG78" s="1439"/>
      <c r="AH78" s="1439"/>
      <c r="AI78" s="1439"/>
      <c r="AJ78" s="1439"/>
      <c r="AK78" s="1439"/>
      <c r="AL78" s="1439"/>
      <c r="AM78" s="1439"/>
      <c r="AN78" s="1439"/>
      <c r="AO78" s="1439"/>
      <c r="AP78" s="1439"/>
      <c r="AQ78" s="1439"/>
      <c r="AR78" s="1439"/>
      <c r="AS78" s="1439"/>
      <c r="AT78" s="1439"/>
      <c r="AU78" s="1439"/>
      <c r="AV78" s="1439"/>
      <c r="AW78" s="1439"/>
      <c r="AX78" s="1439"/>
      <c r="AY78" s="1439"/>
      <c r="AZ78" s="1439"/>
      <c r="BA78" s="1439"/>
      <c r="BB78" s="1439"/>
      <c r="BC78" s="1439"/>
      <c r="BD78" s="627" t="s">
        <v>670</v>
      </c>
      <c r="BE78" s="50"/>
    </row>
    <row r="79" spans="2:58" ht="6.95" customHeight="1">
      <c r="B79" s="57"/>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60"/>
    </row>
    <row r="89" spans="3:77">
      <c r="C89" s="72"/>
    </row>
    <row r="90" spans="3:77" ht="17.100000000000001" hidden="1" customHeight="1" outlineLevel="1">
      <c r="D90" s="73" t="s">
        <v>242</v>
      </c>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5"/>
      <c r="BF90" s="74"/>
      <c r="BG90" s="76"/>
      <c r="BH90" s="74"/>
      <c r="BJ90" s="74"/>
      <c r="BK90" s="74"/>
      <c r="BL90" s="74"/>
      <c r="BM90" s="74"/>
      <c r="BN90" s="74"/>
      <c r="BO90" s="74"/>
      <c r="BP90" s="74"/>
      <c r="BQ90" s="74"/>
      <c r="BR90" s="74"/>
      <c r="BS90" s="74"/>
      <c r="BT90" s="74"/>
      <c r="BU90" s="74"/>
      <c r="BV90" s="75"/>
      <c r="BW90" s="74"/>
      <c r="BX90" s="76"/>
      <c r="BY90" s="74"/>
    </row>
    <row r="91" spans="3:77" ht="17.100000000000001" hidden="1" customHeight="1" outlineLevel="1">
      <c r="D91" s="36" t="str">
        <f>X!E12</f>
        <v>Deutsch</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77"/>
      <c r="BF91" s="36"/>
      <c r="BG91" s="78"/>
      <c r="BH91" s="36"/>
      <c r="BJ91" s="36"/>
      <c r="BK91" s="36"/>
      <c r="BL91" s="36"/>
      <c r="BM91" s="36"/>
      <c r="BN91" s="36"/>
      <c r="BO91" s="36"/>
      <c r="BP91" s="36"/>
      <c r="BQ91" s="36"/>
      <c r="BR91" s="36"/>
      <c r="BS91" s="36"/>
      <c r="BT91" s="36"/>
      <c r="BU91" s="36"/>
      <c r="BV91" s="77"/>
      <c r="BW91" s="36"/>
      <c r="BX91" s="78"/>
      <c r="BY91" s="36"/>
    </row>
    <row r="92" spans="3:77" ht="17.100000000000001" hidden="1" customHeight="1" outlineLevel="1">
      <c r="D92" s="36" t="str">
        <f>X!F12</f>
        <v>Française</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77"/>
      <c r="BF92" s="36"/>
      <c r="BG92" s="78"/>
      <c r="BH92" s="36"/>
      <c r="BJ92" s="36"/>
      <c r="BK92" s="36"/>
      <c r="BL92" s="36"/>
      <c r="BM92" s="36"/>
      <c r="BN92" s="36"/>
      <c r="BO92" s="36"/>
      <c r="BP92" s="36"/>
      <c r="BQ92" s="36"/>
      <c r="BR92" s="36"/>
      <c r="BS92" s="36"/>
      <c r="BT92" s="36"/>
      <c r="BU92" s="36"/>
      <c r="BV92" s="77"/>
      <c r="BW92" s="36"/>
      <c r="BX92" s="78"/>
      <c r="BY92" s="36"/>
    </row>
    <row r="93" spans="3:77" ht="17.100000000000001" hidden="1" customHeight="1" outlineLevel="1">
      <c r="D93" s="36" t="str">
        <f>X!G12</f>
        <v>Italiano</v>
      </c>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77"/>
      <c r="BF93" s="36"/>
      <c r="BG93" s="78"/>
      <c r="BH93" s="36"/>
      <c r="BJ93" s="36"/>
      <c r="BK93" s="36"/>
      <c r="BL93" s="36"/>
      <c r="BM93" s="36"/>
      <c r="BN93" s="36"/>
      <c r="BO93" s="36"/>
      <c r="BP93" s="36"/>
      <c r="BQ93" s="36"/>
      <c r="BR93" s="36"/>
      <c r="BS93" s="36"/>
      <c r="BT93" s="36"/>
      <c r="BU93" s="36"/>
      <c r="BV93" s="77"/>
      <c r="BW93" s="36"/>
      <c r="BX93" s="78"/>
      <c r="BY93" s="36"/>
    </row>
    <row r="94" spans="3:77" hidden="1" outlineLevel="1"/>
    <row r="95" spans="3:77" hidden="1" outlineLevel="1">
      <c r="D95" s="72"/>
    </row>
    <row r="96" spans="3:77" ht="17.100000000000001" hidden="1" customHeight="1" outlineLevel="1">
      <c r="D96" s="73" t="s">
        <v>1008</v>
      </c>
      <c r="E96" s="74"/>
      <c r="F96" s="74"/>
      <c r="G96" s="74"/>
      <c r="H96" s="74"/>
      <c r="I96" s="74"/>
      <c r="J96" s="74"/>
      <c r="K96" s="74"/>
      <c r="L96" s="74"/>
      <c r="M96" s="74"/>
      <c r="N96" s="74"/>
      <c r="O96" s="74"/>
      <c r="P96" s="74"/>
      <c r="Q96" s="74"/>
      <c r="R96" s="74"/>
      <c r="S96" s="74"/>
      <c r="T96" s="74"/>
      <c r="U96" s="79">
        <f>U46</f>
        <v>0</v>
      </c>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1"/>
      <c r="BA96" s="86"/>
      <c r="BB96" s="86"/>
      <c r="BC96" s="86"/>
      <c r="BD96" s="86"/>
      <c r="BE96" s="74"/>
      <c r="BF96" s="74"/>
      <c r="BG96" s="76"/>
      <c r="BH96" s="74"/>
      <c r="BJ96" s="74"/>
      <c r="BK96" s="74"/>
      <c r="BL96" s="74"/>
      <c r="BM96" s="74"/>
      <c r="BN96" s="74"/>
      <c r="BO96" s="74"/>
      <c r="BP96" s="74"/>
      <c r="BQ96" s="74"/>
      <c r="BR96" s="74"/>
      <c r="BS96" s="74"/>
      <c r="BT96" s="74"/>
      <c r="BU96" s="74"/>
      <c r="BV96" s="75"/>
      <c r="BW96" s="74"/>
      <c r="BX96" s="76"/>
      <c r="BY96" s="74"/>
    </row>
    <row r="97" spans="4:78" hidden="1" outlineLevel="1">
      <c r="D97" s="72"/>
    </row>
    <row r="98" spans="4:78" hidden="1" outlineLevel="1">
      <c r="D98" s="31" t="s">
        <v>1013</v>
      </c>
      <c r="U98" s="31">
        <f>IF(AH48=D119,IF(AH54=D119,1,0),0)</f>
        <v>0</v>
      </c>
      <c r="W98" s="31" t="s">
        <v>1014</v>
      </c>
    </row>
    <row r="99" spans="4:78" hidden="1" outlineLevel="1">
      <c r="D99" s="72"/>
    </row>
    <row r="100" spans="4:78" hidden="1" outlineLevel="1">
      <c r="D100" s="31" t="s">
        <v>1011</v>
      </c>
      <c r="U100" s="31" t="s">
        <v>1012</v>
      </c>
      <c r="AC100" s="31" t="s">
        <v>1009</v>
      </c>
      <c r="AK100" s="31" t="s">
        <v>1010</v>
      </c>
      <c r="AZ100" s="31" t="s">
        <v>1010</v>
      </c>
    </row>
    <row r="101" spans="4:78" ht="17.100000000000001" hidden="1" customHeight="1" outlineLevel="1">
      <c r="D101" s="82" t="str">
        <f>X!$C$224</f>
        <v>Supermarkt</v>
      </c>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f>IF(U$96=D101,1,0)</f>
        <v>0</v>
      </c>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row>
    <row r="102" spans="4:78" ht="17.100000000000001" hidden="1" customHeight="1" outlineLevel="1">
      <c r="D102" s="82" t="str">
        <f>X!$C$125</f>
        <v>Industrie</v>
      </c>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36">
        <f>IF(U$96=D102,1,0)</f>
        <v>0</v>
      </c>
      <c r="AD102" s="82"/>
      <c r="AE102" s="82"/>
      <c r="AF102" s="82"/>
      <c r="AG102" s="82"/>
      <c r="AH102" s="82"/>
      <c r="AI102" s="82"/>
      <c r="AJ102" s="82"/>
      <c r="AK102" s="36"/>
      <c r="AL102" s="82"/>
      <c r="AM102" s="82"/>
      <c r="AN102" s="82"/>
      <c r="AO102" s="82"/>
      <c r="AP102" s="82"/>
      <c r="AQ102" s="82"/>
      <c r="AR102" s="82"/>
      <c r="AS102" s="82"/>
      <c r="AT102" s="82"/>
      <c r="AU102" s="82"/>
      <c r="AV102" s="82"/>
      <c r="AW102" s="82"/>
      <c r="AX102" s="82"/>
      <c r="AY102" s="82"/>
      <c r="AZ102" s="36"/>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row>
    <row r="103" spans="4:78" ht="17.100000000000001" hidden="1" customHeight="1" outlineLevel="1">
      <c r="D103" s="36" t="str">
        <f>X!$C$117</f>
        <v>Gewerbe</v>
      </c>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f>IF(U$96=D103,1,0)</f>
        <v>0</v>
      </c>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row>
    <row r="104" spans="4:78" ht="17.100000000000001" hidden="1" customHeight="1" outlineLevel="1">
      <c r="D104" s="82" t="str">
        <f>X!$C$151</f>
        <v>Klima-Kälte Direktverdampfung (VRV-, VRF-Systeme)</v>
      </c>
      <c r="E104" s="82"/>
      <c r="F104" s="82"/>
      <c r="G104" s="82"/>
      <c r="H104" s="82"/>
      <c r="I104" s="82"/>
      <c r="J104" s="82"/>
      <c r="K104" s="82"/>
      <c r="L104" s="82"/>
      <c r="M104" s="82"/>
      <c r="N104" s="82"/>
      <c r="O104" s="82"/>
      <c r="P104" s="82"/>
      <c r="Q104" s="82"/>
      <c r="R104" s="82"/>
      <c r="S104" s="82"/>
      <c r="T104" s="82"/>
      <c r="U104" s="82">
        <f>IF(U$96=D104:D104,1,0)</f>
        <v>0</v>
      </c>
      <c r="V104" s="82"/>
      <c r="W104" s="82"/>
      <c r="X104" s="82"/>
      <c r="Y104" s="82"/>
      <c r="Z104" s="82"/>
      <c r="AA104" s="82"/>
      <c r="AB104" s="82"/>
      <c r="AC104" s="82">
        <f>IF(U$98=0,IF(U104=1,1,0),0)</f>
        <v>0</v>
      </c>
      <c r="AD104" s="82"/>
      <c r="AE104" s="82"/>
      <c r="AF104" s="82"/>
      <c r="AG104" s="82"/>
      <c r="AH104" s="82"/>
      <c r="AI104" s="82"/>
      <c r="AJ104" s="82"/>
      <c r="AK104" s="82">
        <f>IF(U$98=1,IF(U104=1,1,0),0)</f>
        <v>0</v>
      </c>
      <c r="AL104" s="82"/>
      <c r="AM104" s="82"/>
      <c r="AN104" s="82"/>
      <c r="AO104" s="82"/>
      <c r="AP104" s="82"/>
      <c r="AQ104" s="82"/>
      <c r="AR104" s="82"/>
      <c r="AS104" s="82"/>
      <c r="AT104" s="82"/>
      <c r="AU104" s="82"/>
      <c r="AV104" s="82"/>
      <c r="AW104" s="82"/>
      <c r="AX104" s="82"/>
      <c r="AY104" s="82"/>
      <c r="AZ104" s="82">
        <f>IF(AJ$98=1,IF(AJ104=1,1,0),0)</f>
        <v>0</v>
      </c>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row>
    <row r="105" spans="4:78" ht="17.100000000000001" hidden="1" customHeight="1" outlineLevel="1">
      <c r="D105" s="36" t="str">
        <f>X!$C$150</f>
        <v>Klima-Kälte (wassergekühlte Kaltwassersätze)</v>
      </c>
      <c r="E105" s="36"/>
      <c r="F105" s="36"/>
      <c r="G105" s="36"/>
      <c r="H105" s="36"/>
      <c r="I105" s="36"/>
      <c r="J105" s="36"/>
      <c r="K105" s="36"/>
      <c r="L105" s="36"/>
      <c r="M105" s="36"/>
      <c r="N105" s="36"/>
      <c r="O105" s="36"/>
      <c r="P105" s="36"/>
      <c r="Q105" s="36"/>
      <c r="R105" s="36"/>
      <c r="S105" s="36"/>
      <c r="T105" s="36"/>
      <c r="U105" s="82">
        <f>IF(U$96=D105:D105,1,0)</f>
        <v>0</v>
      </c>
      <c r="V105" s="36"/>
      <c r="W105" s="36"/>
      <c r="X105" s="36"/>
      <c r="Y105" s="36"/>
      <c r="Z105" s="36"/>
      <c r="AA105" s="36"/>
      <c r="AB105" s="36"/>
      <c r="AC105" s="82">
        <f t="shared" ref="AC105:AC106" si="0">IF(U$98=0,IF(U105=1,1,0),0)</f>
        <v>0</v>
      </c>
      <c r="AD105" s="36"/>
      <c r="AE105" s="36"/>
      <c r="AF105" s="36"/>
      <c r="AG105" s="36"/>
      <c r="AH105" s="36"/>
      <c r="AI105" s="36"/>
      <c r="AJ105" s="36"/>
      <c r="AK105" s="82">
        <f t="shared" ref="AK105:AK106" si="1">IF(U$98=1,IF(U105=1,1,0),0)</f>
        <v>0</v>
      </c>
      <c r="AL105" s="36"/>
      <c r="AM105" s="36"/>
      <c r="AN105" s="36"/>
      <c r="AO105" s="36"/>
      <c r="AP105" s="36"/>
      <c r="AQ105" s="36"/>
      <c r="AR105" s="36"/>
      <c r="AS105" s="36"/>
      <c r="AT105" s="36"/>
      <c r="AU105" s="36"/>
      <c r="AV105" s="36"/>
      <c r="AW105" s="36"/>
      <c r="AX105" s="36"/>
      <c r="AY105" s="36"/>
      <c r="AZ105" s="82">
        <f t="shared" ref="AZ105:AZ106" si="2">IF(AJ$98=1,IF(AJ105=1,1,0),0)</f>
        <v>0</v>
      </c>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row>
    <row r="106" spans="4:78" ht="17.100000000000001" hidden="1" customHeight="1" outlineLevel="1">
      <c r="D106" s="36" t="str">
        <f>X!$C$149</f>
        <v>Klima-Kälte (luftgekühlte Kaltwassersätze)</v>
      </c>
      <c r="E106" s="36"/>
      <c r="F106" s="36"/>
      <c r="G106" s="36"/>
      <c r="H106" s="36"/>
      <c r="I106" s="36"/>
      <c r="J106" s="36"/>
      <c r="K106" s="36"/>
      <c r="L106" s="36"/>
      <c r="M106" s="36"/>
      <c r="N106" s="36"/>
      <c r="O106" s="36"/>
      <c r="P106" s="36"/>
      <c r="Q106" s="36"/>
      <c r="R106" s="36"/>
      <c r="S106" s="36"/>
      <c r="T106" s="36"/>
      <c r="U106" s="82">
        <f>IF(U$96=D106:D106,1,0)</f>
        <v>0</v>
      </c>
      <c r="V106" s="36"/>
      <c r="W106" s="36"/>
      <c r="X106" s="36"/>
      <c r="Y106" s="36"/>
      <c r="Z106" s="36"/>
      <c r="AA106" s="36"/>
      <c r="AB106" s="36"/>
      <c r="AC106" s="82">
        <f t="shared" si="0"/>
        <v>0</v>
      </c>
      <c r="AD106" s="36"/>
      <c r="AE106" s="36"/>
      <c r="AF106" s="36"/>
      <c r="AG106" s="36"/>
      <c r="AH106" s="36"/>
      <c r="AI106" s="36"/>
      <c r="AJ106" s="36"/>
      <c r="AK106" s="82">
        <f t="shared" si="1"/>
        <v>0</v>
      </c>
      <c r="AL106" s="36"/>
      <c r="AM106" s="36"/>
      <c r="AN106" s="36"/>
      <c r="AO106" s="36"/>
      <c r="AP106" s="36"/>
      <c r="AQ106" s="36"/>
      <c r="AR106" s="36"/>
      <c r="AS106" s="36"/>
      <c r="AT106" s="36"/>
      <c r="AU106" s="36"/>
      <c r="AV106" s="36"/>
      <c r="AW106" s="36"/>
      <c r="AX106" s="36"/>
      <c r="AY106" s="36"/>
      <c r="AZ106" s="82">
        <f t="shared" si="2"/>
        <v>0</v>
      </c>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row>
    <row r="107" spans="4:78" ht="17.100000000000001" hidden="1" customHeight="1" outlineLevel="1">
      <c r="D107" s="1142" t="s">
        <v>1015</v>
      </c>
      <c r="E107" s="1142"/>
      <c r="F107" s="1142"/>
      <c r="G107" s="1142"/>
      <c r="H107" s="1142"/>
      <c r="I107" s="1142"/>
      <c r="J107" s="1142"/>
      <c r="K107" s="1142"/>
      <c r="L107" s="1142"/>
      <c r="M107" s="1142"/>
      <c r="N107" s="1142"/>
      <c r="O107" s="1142"/>
      <c r="P107" s="1142"/>
      <c r="Q107" s="1142"/>
      <c r="R107" s="1142"/>
      <c r="S107" s="773"/>
      <c r="T107" s="773"/>
      <c r="U107" s="773">
        <f>SUM(U104:U106)</f>
        <v>0</v>
      </c>
      <c r="V107" s="773"/>
      <c r="W107" s="773"/>
      <c r="X107" s="773"/>
      <c r="Y107" s="773"/>
      <c r="Z107" s="773"/>
      <c r="AA107" s="773"/>
      <c r="AB107" s="773"/>
      <c r="AC107" s="773">
        <f>SUM(AC101:AC106)</f>
        <v>0</v>
      </c>
      <c r="AD107" s="773"/>
      <c r="AE107" s="773"/>
      <c r="AF107" s="773"/>
      <c r="AG107" s="773"/>
      <c r="AH107" s="773"/>
      <c r="AI107" s="773"/>
      <c r="AJ107" s="773"/>
      <c r="AK107" s="773">
        <f>SUM(AK101:AK106)</f>
        <v>0</v>
      </c>
      <c r="AL107" s="773"/>
      <c r="AM107" s="773"/>
      <c r="AN107" s="773"/>
      <c r="AO107" s="773"/>
      <c r="AP107" s="773"/>
      <c r="AQ107" s="773"/>
      <c r="AR107" s="773"/>
      <c r="AS107" s="773"/>
      <c r="AT107" s="773"/>
      <c r="AU107" s="773"/>
      <c r="AV107" s="773"/>
      <c r="AW107" s="773"/>
      <c r="AX107" s="773"/>
      <c r="AY107" s="773"/>
      <c r="AZ107" s="773">
        <f>SUM(AZ101:AZ106)</f>
        <v>0</v>
      </c>
      <c r="BA107" s="773"/>
      <c r="BB107" s="773"/>
      <c r="BC107" s="773"/>
      <c r="BD107" s="773"/>
      <c r="BE107" s="773"/>
      <c r="BF107" s="773"/>
      <c r="BG107" s="773"/>
      <c r="BH107" s="773"/>
      <c r="BI107" s="773"/>
      <c r="BJ107" s="773"/>
      <c r="BK107" s="773"/>
      <c r="BL107" s="773"/>
      <c r="BM107" s="773"/>
      <c r="BN107" s="773"/>
      <c r="BO107" s="773"/>
      <c r="BP107" s="773"/>
      <c r="BQ107" s="773"/>
      <c r="BR107" s="773"/>
      <c r="BS107" s="773"/>
      <c r="BT107" s="773"/>
      <c r="BU107" s="773"/>
      <c r="BV107" s="773"/>
      <c r="BW107" s="773"/>
      <c r="BX107" s="773"/>
      <c r="BY107" s="773"/>
      <c r="BZ107" s="773"/>
    </row>
    <row r="108" spans="4:78" s="87" customFormat="1" ht="17.100000000000001" hidden="1" customHeight="1" outlineLevel="1">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8"/>
      <c r="BF108" s="86"/>
      <c r="BG108" s="89"/>
      <c r="BH108" s="86"/>
      <c r="BJ108" s="86"/>
      <c r="BK108" s="86"/>
      <c r="BL108" s="86"/>
      <c r="BM108" s="86"/>
      <c r="BN108" s="86"/>
      <c r="BO108" s="86"/>
      <c r="BP108" s="86"/>
      <c r="BQ108" s="86"/>
      <c r="BR108" s="86"/>
      <c r="BS108" s="86"/>
      <c r="BT108" s="86"/>
      <c r="BU108" s="86"/>
      <c r="BV108" s="88"/>
      <c r="BW108" s="86"/>
      <c r="BX108" s="89"/>
      <c r="BY108" s="86"/>
    </row>
    <row r="109" spans="4:78" hidden="1" outlineLevel="1"/>
    <row r="110" spans="4:78" ht="17.100000000000001" hidden="1" customHeight="1" outlineLevel="1">
      <c r="D110" s="73" t="s">
        <v>240</v>
      </c>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5"/>
      <c r="BF110" s="74"/>
      <c r="BG110" s="76"/>
      <c r="BH110" s="74"/>
      <c r="BJ110" s="74"/>
      <c r="BK110" s="74"/>
      <c r="BL110" s="74"/>
      <c r="BM110" s="74"/>
      <c r="BN110" s="74"/>
      <c r="BO110" s="74"/>
      <c r="BP110" s="74"/>
      <c r="BQ110" s="74"/>
      <c r="BR110" s="74"/>
      <c r="BS110" s="74"/>
      <c r="BT110" s="74"/>
      <c r="BU110" s="74"/>
      <c r="BV110" s="75"/>
      <c r="BW110" s="74"/>
      <c r="BX110" s="76"/>
      <c r="BY110" s="74"/>
    </row>
    <row r="111" spans="4:78" ht="17.100000000000001" hidden="1" customHeight="1" outlineLevel="1">
      <c r="D111" s="36" t="str">
        <f t="shared" ref="D111:D116" si="3">D101</f>
        <v>Supermarkt</v>
      </c>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77"/>
      <c r="BF111" s="36"/>
      <c r="BG111" s="78"/>
      <c r="BH111" s="36"/>
      <c r="BJ111" s="36"/>
      <c r="BK111" s="36"/>
      <c r="BL111" s="36"/>
      <c r="BM111" s="36"/>
      <c r="BN111" s="36"/>
      <c r="BO111" s="36"/>
      <c r="BP111" s="36"/>
      <c r="BQ111" s="36"/>
      <c r="BR111" s="36"/>
      <c r="BS111" s="36"/>
      <c r="BT111" s="36"/>
      <c r="BU111" s="36"/>
      <c r="BV111" s="77"/>
      <c r="BW111" s="36"/>
      <c r="BX111" s="78"/>
      <c r="BY111" s="36"/>
    </row>
    <row r="112" spans="4:78" ht="17.100000000000001" hidden="1" customHeight="1" outlineLevel="1">
      <c r="D112" s="36" t="str">
        <f t="shared" si="3"/>
        <v>Industrie</v>
      </c>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3"/>
      <c r="BF112" s="82"/>
      <c r="BG112" s="84"/>
      <c r="BH112" s="82"/>
      <c r="BJ112" s="82"/>
      <c r="BK112" s="82"/>
      <c r="BL112" s="82"/>
      <c r="BM112" s="82"/>
      <c r="BN112" s="82"/>
      <c r="BO112" s="82"/>
      <c r="BP112" s="82"/>
      <c r="BQ112" s="82"/>
      <c r="BR112" s="82"/>
      <c r="BS112" s="82"/>
      <c r="BT112" s="82"/>
      <c r="BU112" s="82"/>
      <c r="BV112" s="83"/>
      <c r="BW112" s="82"/>
      <c r="BX112" s="84"/>
      <c r="BY112" s="82"/>
    </row>
    <row r="113" spans="4:77" ht="17.100000000000001" hidden="1" customHeight="1" outlineLevel="1">
      <c r="D113" s="36" t="str">
        <f t="shared" si="3"/>
        <v>Gewerbe</v>
      </c>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77"/>
      <c r="BF113" s="36"/>
      <c r="BG113" s="78"/>
      <c r="BH113" s="36"/>
      <c r="BJ113" s="36"/>
      <c r="BK113" s="36"/>
      <c r="BL113" s="36"/>
      <c r="BM113" s="36"/>
      <c r="BN113" s="36"/>
      <c r="BO113" s="36"/>
      <c r="BP113" s="36"/>
      <c r="BQ113" s="36"/>
      <c r="BR113" s="36"/>
      <c r="BS113" s="36"/>
      <c r="BT113" s="36"/>
      <c r="BU113" s="36"/>
      <c r="BV113" s="77"/>
      <c r="BW113" s="36"/>
      <c r="BX113" s="78"/>
      <c r="BY113" s="36"/>
    </row>
    <row r="114" spans="4:77" ht="17.100000000000001" hidden="1" customHeight="1" outlineLevel="1">
      <c r="D114" s="36" t="str">
        <f t="shared" si="3"/>
        <v>Klima-Kälte Direktverdampfung (VRV-, VRF-Systeme)</v>
      </c>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3"/>
      <c r="BF114" s="82"/>
      <c r="BG114" s="84"/>
      <c r="BH114" s="82"/>
      <c r="BJ114" s="82"/>
      <c r="BK114" s="82"/>
      <c r="BL114" s="82"/>
      <c r="BM114" s="82"/>
      <c r="BN114" s="82"/>
      <c r="BO114" s="82"/>
      <c r="BP114" s="82"/>
      <c r="BQ114" s="82"/>
      <c r="BR114" s="82"/>
      <c r="BS114" s="82"/>
      <c r="BT114" s="82"/>
      <c r="BU114" s="82"/>
      <c r="BV114" s="83"/>
      <c r="BW114" s="82"/>
      <c r="BX114" s="84"/>
      <c r="BY114" s="82"/>
    </row>
    <row r="115" spans="4:77" ht="17.100000000000001" hidden="1" customHeight="1" outlineLevel="1">
      <c r="D115" s="36" t="str">
        <f t="shared" si="3"/>
        <v>Klima-Kälte (wassergekühlte Kaltwassersätze)</v>
      </c>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77"/>
      <c r="BF115" s="36"/>
      <c r="BG115" s="78"/>
      <c r="BH115" s="36"/>
      <c r="BJ115" s="36"/>
      <c r="BK115" s="36"/>
      <c r="BL115" s="36"/>
      <c r="BM115" s="36"/>
      <c r="BN115" s="36"/>
      <c r="BO115" s="36"/>
      <c r="BP115" s="36"/>
      <c r="BQ115" s="36"/>
      <c r="BR115" s="36"/>
      <c r="BS115" s="36"/>
      <c r="BT115" s="36"/>
      <c r="BU115" s="36"/>
      <c r="BV115" s="77"/>
      <c r="BW115" s="36"/>
      <c r="BX115" s="78"/>
      <c r="BY115" s="36"/>
    </row>
    <row r="116" spans="4:77" ht="17.100000000000001" hidden="1" customHeight="1" outlineLevel="1">
      <c r="D116" s="36" t="str">
        <f t="shared" si="3"/>
        <v>Klima-Kälte (luftgekühlte Kaltwassersätze)</v>
      </c>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77"/>
      <c r="BF116" s="36"/>
      <c r="BG116" s="78"/>
      <c r="BH116" s="36"/>
      <c r="BJ116" s="36"/>
      <c r="BK116" s="36"/>
      <c r="BL116" s="36"/>
      <c r="BM116" s="36"/>
      <c r="BN116" s="36"/>
      <c r="BO116" s="36"/>
      <c r="BP116" s="36"/>
      <c r="BQ116" s="36"/>
      <c r="BR116" s="36"/>
      <c r="BS116" s="36"/>
      <c r="BT116" s="36"/>
      <c r="BU116" s="36"/>
      <c r="BV116" s="77"/>
      <c r="BW116" s="36"/>
      <c r="BX116" s="78"/>
      <c r="BY116" s="36"/>
    </row>
    <row r="117" spans="4:77" hidden="1" outlineLevel="1"/>
    <row r="118" spans="4:77" ht="17.100000000000001" hidden="1" customHeight="1" outlineLevel="1">
      <c r="D118" s="73" t="s">
        <v>241</v>
      </c>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5"/>
      <c r="BF118" s="74"/>
      <c r="BG118" s="76"/>
      <c r="BH118" s="74"/>
      <c r="BJ118" s="74"/>
      <c r="BK118" s="74"/>
      <c r="BL118" s="74"/>
      <c r="BM118" s="74"/>
      <c r="BN118" s="74"/>
      <c r="BO118" s="74"/>
      <c r="BP118" s="74"/>
      <c r="BQ118" s="74"/>
      <c r="BR118" s="74"/>
      <c r="BS118" s="74"/>
      <c r="BT118" s="74"/>
      <c r="BU118" s="74"/>
      <c r="BV118" s="75"/>
      <c r="BW118" s="74"/>
      <c r="BX118" s="76"/>
      <c r="BY118" s="74"/>
    </row>
    <row r="119" spans="4:77" ht="17.100000000000001" hidden="1" customHeight="1" outlineLevel="1">
      <c r="D119" s="36" t="str">
        <f>X!$C$129</f>
        <v>Ja</v>
      </c>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77"/>
      <c r="BF119" s="36"/>
      <c r="BG119" s="78"/>
      <c r="BH119" s="36"/>
      <c r="BJ119" s="36"/>
      <c r="BK119" s="36"/>
      <c r="BL119" s="36"/>
      <c r="BM119" s="36"/>
      <c r="BN119" s="36"/>
      <c r="BO119" s="36"/>
      <c r="BP119" s="36"/>
      <c r="BQ119" s="36"/>
      <c r="BR119" s="36"/>
      <c r="BS119" s="36"/>
      <c r="BT119" s="36"/>
      <c r="BU119" s="36"/>
      <c r="BV119" s="77"/>
      <c r="BW119" s="36"/>
      <c r="BX119" s="78"/>
      <c r="BY119" s="36"/>
    </row>
    <row r="120" spans="4:77" ht="17.100000000000001" hidden="1" customHeight="1" outlineLevel="1">
      <c r="D120" s="82" t="str">
        <f>X!$C$188</f>
        <v>Nein</v>
      </c>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3"/>
      <c r="BF120" s="82"/>
      <c r="BG120" s="84"/>
      <c r="BH120" s="82"/>
      <c r="BJ120" s="82"/>
      <c r="BK120" s="82"/>
      <c r="BL120" s="82"/>
      <c r="BM120" s="82"/>
      <c r="BN120" s="82"/>
      <c r="BO120" s="82"/>
      <c r="BP120" s="82"/>
      <c r="BQ120" s="82"/>
      <c r="BR120" s="82"/>
      <c r="BS120" s="82"/>
      <c r="BT120" s="82"/>
      <c r="BU120" s="82"/>
      <c r="BV120" s="83"/>
      <c r="BW120" s="82"/>
      <c r="BX120" s="84"/>
      <c r="BY120" s="82"/>
    </row>
    <row r="121" spans="4:77" hidden="1" outlineLevel="1"/>
    <row r="122" spans="4:77" ht="17.100000000000001" hidden="1" customHeight="1" outlineLevel="1">
      <c r="D122" s="73" t="s">
        <v>1093</v>
      </c>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5"/>
      <c r="BF122" s="74"/>
      <c r="BG122" s="76"/>
      <c r="BH122" s="74"/>
      <c r="BJ122" s="74"/>
      <c r="BK122" s="74"/>
      <c r="BL122" s="74"/>
      <c r="BM122" s="74"/>
      <c r="BN122" s="74"/>
      <c r="BO122" s="74"/>
      <c r="BP122" s="74"/>
      <c r="BQ122" s="74"/>
      <c r="BR122" s="74"/>
      <c r="BS122" s="74"/>
      <c r="BT122" s="74"/>
      <c r="BU122" s="74"/>
      <c r="BV122" s="75"/>
      <c r="BW122" s="74"/>
      <c r="BX122" s="76"/>
      <c r="BY122" s="74"/>
    </row>
    <row r="123" spans="4:77" ht="17.100000000000001" hidden="1" customHeight="1" outlineLevel="1">
      <c r="D123" s="36" t="str">
        <f>X!C352</f>
        <v>Trocken</v>
      </c>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77"/>
      <c r="BF123" s="36"/>
      <c r="BG123" s="78"/>
      <c r="BH123" s="36"/>
      <c r="BJ123" s="36"/>
      <c r="BK123" s="36"/>
      <c r="BL123" s="36"/>
      <c r="BM123" s="36"/>
      <c r="BN123" s="36"/>
      <c r="BO123" s="36"/>
      <c r="BP123" s="36"/>
      <c r="BQ123" s="36"/>
      <c r="BR123" s="36"/>
      <c r="BS123" s="36"/>
      <c r="BT123" s="36"/>
      <c r="BU123" s="36"/>
      <c r="BV123" s="77"/>
      <c r="BW123" s="36"/>
      <c r="BX123" s="78"/>
      <c r="BY123" s="36"/>
    </row>
    <row r="124" spans="4:77" ht="17.100000000000001" hidden="1" customHeight="1" outlineLevel="1">
      <c r="D124" s="36" t="str">
        <f>X!C353</f>
        <v>Hybrid</v>
      </c>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3"/>
      <c r="BF124" s="82"/>
      <c r="BG124" s="84"/>
      <c r="BH124" s="82"/>
      <c r="BJ124" s="82"/>
      <c r="BK124" s="82"/>
      <c r="BL124" s="82"/>
      <c r="BM124" s="82"/>
      <c r="BN124" s="82"/>
      <c r="BO124" s="82"/>
      <c r="BP124" s="82"/>
      <c r="BQ124" s="82"/>
      <c r="BR124" s="82"/>
      <c r="BS124" s="82"/>
      <c r="BT124" s="82"/>
      <c r="BU124" s="82"/>
      <c r="BV124" s="83"/>
      <c r="BW124" s="82"/>
      <c r="BX124" s="84"/>
      <c r="BY124" s="82"/>
    </row>
    <row r="125" spans="4:77" hidden="1" outlineLevel="1"/>
    <row r="126" spans="4:77" hidden="1" outlineLevel="1"/>
    <row r="127" spans="4:77" ht="17.100000000000001" hidden="1" customHeight="1" outlineLevel="1">
      <c r="D127" s="73" t="s">
        <v>246</v>
      </c>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5"/>
      <c r="BF127" s="74"/>
      <c r="BG127" s="76"/>
      <c r="BH127" s="74"/>
      <c r="BJ127" s="74"/>
      <c r="BK127" s="74"/>
      <c r="BL127" s="74"/>
      <c r="BM127" s="74"/>
      <c r="BN127" s="74"/>
      <c r="BO127" s="74"/>
      <c r="BP127" s="74"/>
      <c r="BQ127" s="74"/>
      <c r="BR127" s="74"/>
      <c r="BS127" s="74"/>
      <c r="BT127" s="74"/>
      <c r="BU127" s="74"/>
      <c r="BV127" s="75"/>
      <c r="BW127" s="74"/>
      <c r="BX127" s="76"/>
      <c r="BY127" s="74"/>
    </row>
    <row r="128" spans="4:77" ht="17.100000000000001" hidden="1" customHeight="1" outlineLevel="1">
      <c r="D128" s="36" t="str">
        <f>X!$C$61</f>
        <v>Bezeichnung</v>
      </c>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77"/>
      <c r="BF128" s="36"/>
      <c r="BG128" s="78"/>
      <c r="BH128" s="36"/>
      <c r="BJ128" s="36"/>
      <c r="BK128" s="36"/>
      <c r="BL128" s="36"/>
      <c r="BM128" s="36"/>
      <c r="BN128" s="36"/>
      <c r="BO128" s="36"/>
      <c r="BP128" s="36"/>
      <c r="BQ128" s="36"/>
      <c r="BR128" s="36"/>
      <c r="BS128" s="36"/>
      <c r="BT128" s="36"/>
      <c r="BU128" s="36"/>
      <c r="BV128" s="77"/>
      <c r="BW128" s="36"/>
      <c r="BX128" s="78"/>
      <c r="BY128" s="36"/>
    </row>
    <row r="129" spans="4:82" ht="17.100000000000001" hidden="1" customHeight="1" outlineLevel="1">
      <c r="D129" s="36" t="str">
        <f>X!$C$62</f>
        <v>Bezeichnung der Variante A</v>
      </c>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3"/>
      <c r="BF129" s="82"/>
      <c r="BG129" s="84"/>
      <c r="BH129" s="82"/>
      <c r="BJ129" s="82"/>
      <c r="BK129" s="82"/>
      <c r="BL129" s="82"/>
      <c r="BM129" s="82"/>
      <c r="BN129" s="82"/>
      <c r="BO129" s="82"/>
      <c r="BP129" s="82"/>
      <c r="BQ129" s="82"/>
      <c r="BR129" s="82"/>
      <c r="BS129" s="82"/>
      <c r="BT129" s="82"/>
      <c r="BU129" s="82"/>
      <c r="BV129" s="83"/>
      <c r="BW129" s="82"/>
      <c r="BX129" s="84"/>
      <c r="BY129" s="82"/>
    </row>
    <row r="130" spans="4:82" ht="17.100000000000001" hidden="1" customHeight="1" outlineLevel="1">
      <c r="D130" s="36" t="str">
        <f>X!$C$63</f>
        <v>Bezeichnung der Variante B</v>
      </c>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3"/>
      <c r="BF130" s="82"/>
      <c r="BG130" s="84"/>
      <c r="BH130" s="82"/>
      <c r="BJ130" s="82"/>
      <c r="BK130" s="82"/>
      <c r="BL130" s="82"/>
      <c r="BM130" s="82"/>
      <c r="BN130" s="82"/>
      <c r="BO130" s="82"/>
      <c r="BP130" s="82"/>
      <c r="BQ130" s="82"/>
      <c r="BR130" s="82"/>
      <c r="BS130" s="82"/>
      <c r="BT130" s="82"/>
      <c r="BU130" s="82"/>
      <c r="BV130" s="83"/>
      <c r="BW130" s="82"/>
      <c r="BX130" s="84"/>
      <c r="BY130" s="82"/>
    </row>
    <row r="131" spans="4:82" hidden="1" outlineLevel="1"/>
    <row r="132" spans="4:82" ht="17.100000000000001" hidden="1" customHeight="1" outlineLevel="1">
      <c r="D132" s="36" t="str">
        <f>X!$C$239</f>
        <v>Variante A</v>
      </c>
      <c r="E132" s="82"/>
      <c r="F132" s="82"/>
      <c r="G132" s="82"/>
      <c r="H132" s="82"/>
      <c r="I132" s="82"/>
      <c r="J132" s="82"/>
      <c r="K132" s="82"/>
      <c r="L132" s="82"/>
      <c r="M132" s="82"/>
      <c r="N132" s="82"/>
      <c r="O132" s="90" t="str">
        <f>IF(U60="",D132,U60)</f>
        <v>Variante A</v>
      </c>
      <c r="P132" s="90"/>
      <c r="Q132" s="90"/>
      <c r="R132" s="90"/>
      <c r="S132" s="90"/>
      <c r="T132" s="90"/>
      <c r="U132" s="90"/>
      <c r="V132" s="90"/>
      <c r="W132" s="90"/>
      <c r="X132" s="90"/>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3"/>
      <c r="BF132" s="82"/>
      <c r="BG132" s="84"/>
      <c r="BH132" s="82"/>
      <c r="BJ132" s="82"/>
      <c r="BK132" s="82"/>
      <c r="BL132" s="82"/>
      <c r="BM132" s="82"/>
      <c r="BN132" s="82"/>
      <c r="BO132" s="82"/>
      <c r="BP132" s="82"/>
      <c r="BQ132" s="82"/>
      <c r="BR132" s="82"/>
      <c r="BS132" s="82"/>
      <c r="BT132" s="82"/>
      <c r="BU132" s="82"/>
      <c r="BV132" s="83"/>
      <c r="BW132" s="82"/>
      <c r="BX132" s="84"/>
      <c r="BY132" s="82"/>
    </row>
    <row r="133" spans="4:82" ht="17.100000000000001" hidden="1" customHeight="1" outlineLevel="1">
      <c r="D133" s="36" t="str">
        <f>X!$C$240</f>
        <v>Variante B</v>
      </c>
      <c r="E133" s="82"/>
      <c r="F133" s="82"/>
      <c r="G133" s="82"/>
      <c r="H133" s="82"/>
      <c r="I133" s="82"/>
      <c r="J133" s="82"/>
      <c r="K133" s="82"/>
      <c r="L133" s="82"/>
      <c r="M133" s="82"/>
      <c r="N133" s="82"/>
      <c r="O133" s="90" t="str">
        <f>IF(AH58=D119,IF(U62="",D133,U62),"")</f>
        <v/>
      </c>
      <c r="P133" s="90"/>
      <c r="Q133" s="90"/>
      <c r="R133" s="90"/>
      <c r="S133" s="90"/>
      <c r="T133" s="90"/>
      <c r="U133" s="90"/>
      <c r="V133" s="90"/>
      <c r="W133" s="90"/>
      <c r="X133" s="90"/>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3"/>
      <c r="BF133" s="82"/>
      <c r="BG133" s="84"/>
      <c r="BH133" s="82"/>
      <c r="BJ133" s="82"/>
      <c r="BK133" s="82"/>
      <c r="BL133" s="82"/>
      <c r="BM133" s="82"/>
      <c r="BN133" s="82"/>
      <c r="BO133" s="82"/>
      <c r="BP133" s="82"/>
      <c r="BQ133" s="82"/>
      <c r="BR133" s="82"/>
      <c r="BS133" s="82"/>
      <c r="BT133" s="82"/>
      <c r="BU133" s="82"/>
      <c r="BV133" s="83"/>
      <c r="BW133" s="82"/>
      <c r="BX133" s="84"/>
      <c r="BY133" s="82"/>
    </row>
    <row r="134" spans="4:82" ht="6.95" hidden="1" customHeight="1" outlineLevel="1">
      <c r="D134" s="52"/>
      <c r="E134" s="52"/>
      <c r="F134" s="52"/>
      <c r="G134" s="52"/>
      <c r="H134" s="52"/>
      <c r="I134" s="52"/>
      <c r="J134" s="91"/>
      <c r="K134" s="91"/>
      <c r="L134" s="91"/>
      <c r="M134" s="91"/>
      <c r="N134" s="91"/>
      <c r="O134" s="91"/>
      <c r="P134" s="91"/>
      <c r="Q134" s="91"/>
      <c r="R134" s="91"/>
      <c r="S134" s="91"/>
      <c r="T134" s="91"/>
      <c r="U134" s="91"/>
      <c r="V134" s="91"/>
      <c r="W134" s="91"/>
      <c r="X134" s="91"/>
      <c r="Y134" s="91"/>
      <c r="Z134" s="91"/>
      <c r="AA134" s="91"/>
      <c r="AB134" s="91"/>
      <c r="AC134" s="91"/>
      <c r="AD134" s="91"/>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92"/>
      <c r="BF134" s="52"/>
      <c r="BG134" s="93"/>
      <c r="BH134" s="52"/>
      <c r="BJ134" s="52"/>
      <c r="BK134" s="52"/>
      <c r="BL134" s="52"/>
      <c r="BM134" s="52"/>
      <c r="BN134" s="52"/>
      <c r="BO134" s="52"/>
      <c r="BP134" s="52"/>
      <c r="BQ134" s="52"/>
      <c r="BR134" s="52"/>
      <c r="BS134" s="52"/>
      <c r="BT134" s="52"/>
      <c r="BU134" s="52"/>
      <c r="BV134" s="92"/>
      <c r="BW134" s="52"/>
      <c r="BX134" s="93"/>
      <c r="BY134" s="52"/>
    </row>
    <row r="135" spans="4:82" ht="17.100000000000001" hidden="1" customHeight="1" outlineLevel="1">
      <c r="D135" s="52" t="str">
        <f>X!$C$31</f>
        <v xml:space="preserve">Anzahl Varianten </v>
      </c>
      <c r="E135" s="52"/>
      <c r="F135" s="52"/>
      <c r="G135" s="52"/>
      <c r="H135" s="52"/>
      <c r="I135" s="52"/>
      <c r="J135" s="91"/>
      <c r="K135" s="91"/>
      <c r="L135" s="91"/>
      <c r="M135" s="91"/>
      <c r="N135" s="91"/>
      <c r="O135" s="94">
        <f>IF(D119=AH58,2,1)</f>
        <v>1</v>
      </c>
      <c r="P135" s="94"/>
      <c r="Q135" s="94"/>
      <c r="R135" s="94"/>
      <c r="S135" s="94"/>
      <c r="T135" s="94"/>
      <c r="U135" s="94"/>
      <c r="V135" s="94"/>
      <c r="W135" s="94"/>
      <c r="X135" s="94"/>
      <c r="Y135" s="91"/>
      <c r="Z135" s="91"/>
      <c r="AA135" s="91"/>
      <c r="AB135" s="91"/>
      <c r="AC135" s="91"/>
      <c r="AD135" s="91"/>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92"/>
      <c r="BF135" s="52"/>
      <c r="BG135" s="93"/>
      <c r="BH135" s="52"/>
      <c r="BJ135" s="52"/>
      <c r="BK135" s="52"/>
      <c r="BL135" s="52"/>
      <c r="BM135" s="52"/>
      <c r="BN135" s="52"/>
      <c r="BO135" s="52"/>
      <c r="BP135" s="52"/>
      <c r="BQ135" s="52"/>
      <c r="BR135" s="52"/>
      <c r="BS135" s="52"/>
      <c r="BT135" s="52"/>
      <c r="BU135" s="52"/>
      <c r="BV135" s="92"/>
      <c r="BW135" s="52"/>
      <c r="BX135" s="93"/>
      <c r="BY135" s="52"/>
    </row>
    <row r="136" spans="4:82" hidden="1" outlineLevel="1">
      <c r="J136" s="95"/>
      <c r="K136" s="95"/>
      <c r="L136" s="95"/>
      <c r="M136" s="95"/>
      <c r="N136" s="95"/>
      <c r="O136" s="95"/>
      <c r="P136" s="95"/>
      <c r="Q136" s="95"/>
      <c r="R136" s="95"/>
      <c r="S136" s="95"/>
      <c r="T136" s="95"/>
      <c r="U136" s="95"/>
      <c r="V136" s="95"/>
      <c r="W136" s="95"/>
      <c r="X136" s="95"/>
      <c r="Y136" s="95"/>
      <c r="Z136" s="95"/>
      <c r="AA136" s="95"/>
      <c r="AB136" s="95"/>
      <c r="AC136" s="95"/>
      <c r="AD136" s="95"/>
    </row>
    <row r="137" spans="4:82" hidden="1" outlineLevel="1"/>
    <row r="138" spans="4:82" ht="17.100000000000001" hidden="1" customHeight="1" outlineLevel="1">
      <c r="D138" s="73" t="s">
        <v>985</v>
      </c>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5"/>
      <c r="BF138" s="74"/>
      <c r="BG138" s="76"/>
      <c r="BH138" s="74"/>
      <c r="BJ138" s="74"/>
      <c r="BK138" s="74"/>
      <c r="BL138" s="74"/>
      <c r="BM138" s="74"/>
      <c r="BN138" s="74"/>
      <c r="BO138" s="74"/>
      <c r="BP138" s="74"/>
      <c r="BQ138" s="74"/>
      <c r="BR138" s="74"/>
      <c r="BS138" s="74"/>
      <c r="BT138" s="74"/>
      <c r="BU138" s="74"/>
      <c r="BV138" s="75"/>
      <c r="BW138" s="74"/>
      <c r="BX138" s="76"/>
      <c r="BY138" s="74"/>
    </row>
    <row r="139" spans="4:82" hidden="1" outlineLevel="1"/>
    <row r="140" spans="4:82" hidden="1" outlineLevel="1"/>
    <row r="141" spans="4:82" ht="17.100000000000001" hidden="1" customHeight="1" outlineLevel="1">
      <c r="D141" s="82" t="s">
        <v>1051</v>
      </c>
      <c r="E141" s="1013"/>
      <c r="F141" s="1013"/>
      <c r="G141" s="1013"/>
      <c r="H141" s="1013"/>
      <c r="I141" s="1013"/>
      <c r="J141" s="1013"/>
      <c r="K141" s="1013"/>
      <c r="L141" s="1013"/>
      <c r="M141" s="1013"/>
      <c r="N141" s="1013"/>
      <c r="O141" s="1013"/>
      <c r="P141" s="1013"/>
      <c r="Q141" s="1013"/>
      <c r="R141" s="1013"/>
      <c r="S141" s="1014"/>
      <c r="T141" s="1014"/>
      <c r="U141" s="1014"/>
      <c r="V141" s="1014"/>
      <c r="W141" s="1153">
        <f>IF(AH48=D119,0,1)</f>
        <v>1</v>
      </c>
      <c r="X141" s="1013"/>
      <c r="Y141" s="83" t="s">
        <v>1014</v>
      </c>
      <c r="Z141" s="1016"/>
      <c r="AA141" s="1016"/>
      <c r="AB141" s="1016"/>
      <c r="AC141" s="1016"/>
      <c r="AD141" s="1016"/>
      <c r="AE141" s="1016"/>
      <c r="AF141" s="1015"/>
      <c r="AG141" s="1015"/>
      <c r="AH141" s="1015"/>
      <c r="AI141" s="1015"/>
      <c r="AJ141" s="1015"/>
      <c r="AK141" s="1015"/>
      <c r="AL141" s="1015"/>
      <c r="AM141" s="1015"/>
      <c r="AN141" s="1015"/>
      <c r="AO141" s="1015"/>
      <c r="AP141" s="1015"/>
      <c r="AQ141" s="1015"/>
      <c r="AR141" s="1015"/>
      <c r="AS141" s="1015"/>
      <c r="AT141" s="1015"/>
      <c r="AU141" s="1015"/>
      <c r="AV141" s="1015"/>
      <c r="AW141" s="1016"/>
      <c r="AX141" s="1016"/>
      <c r="AY141" s="1016"/>
      <c r="AZ141" s="1016"/>
      <c r="BA141" s="1016"/>
      <c r="BB141" s="1016"/>
      <c r="BC141" s="1016"/>
      <c r="BD141" s="1016"/>
      <c r="BE141" s="1016"/>
      <c r="BF141" s="1016"/>
      <c r="BG141" s="1016"/>
      <c r="BH141" s="1016"/>
      <c r="BI141" s="669"/>
      <c r="BJ141" s="1014"/>
      <c r="BK141" s="1014"/>
      <c r="BL141" s="1014"/>
      <c r="BM141" s="1014"/>
      <c r="BN141" s="1014"/>
      <c r="BO141" s="1015"/>
      <c r="BP141" s="1016"/>
      <c r="BQ141" s="1016"/>
      <c r="BR141" s="1016"/>
      <c r="BS141" s="1016"/>
      <c r="BT141" s="1016"/>
      <c r="BU141" s="1016"/>
      <c r="BV141" s="1016"/>
      <c r="BW141" s="1016"/>
      <c r="BX141" s="1016"/>
      <c r="BY141" s="1016"/>
      <c r="BZ141" s="1016"/>
      <c r="CA141" s="1016"/>
      <c r="CB141" s="1016"/>
      <c r="CC141" s="1016"/>
      <c r="CD141" s="1016"/>
    </row>
    <row r="142" spans="4:82" ht="17.100000000000001" hidden="1" customHeight="1" outlineLevel="1">
      <c r="D142" s="82" t="s">
        <v>1009</v>
      </c>
      <c r="E142" s="1013"/>
      <c r="F142" s="1013"/>
      <c r="G142" s="1013"/>
      <c r="H142" s="1013"/>
      <c r="I142" s="1013"/>
      <c r="J142" s="1013"/>
      <c r="K142" s="1013"/>
      <c r="L142" s="1013"/>
      <c r="M142" s="1013"/>
      <c r="N142" s="1013"/>
      <c r="O142" s="1013"/>
      <c r="P142" s="1013"/>
      <c r="Q142" s="1013"/>
      <c r="R142" s="1013"/>
      <c r="S142" s="1014"/>
      <c r="T142" s="1014"/>
      <c r="U142" s="1014"/>
      <c r="V142" s="1014"/>
      <c r="W142" s="1153">
        <f>IF(W141=1,0,AC107)</f>
        <v>0</v>
      </c>
      <c r="X142" s="1013"/>
      <c r="Y142" s="83" t="s">
        <v>1014</v>
      </c>
      <c r="Z142" s="1016"/>
      <c r="AA142" s="1016"/>
      <c r="AB142" s="1016"/>
      <c r="AC142" s="1016"/>
      <c r="AD142" s="1016"/>
      <c r="AE142" s="1016"/>
      <c r="AF142" s="1015"/>
      <c r="AG142" s="1015"/>
      <c r="AH142" s="1015"/>
      <c r="AI142" s="1015"/>
      <c r="AJ142" s="1015"/>
      <c r="AK142" s="1015"/>
      <c r="AL142" s="1015"/>
      <c r="AM142" s="1015"/>
      <c r="AN142" s="1015"/>
      <c r="AO142" s="1015"/>
      <c r="AP142" s="1015"/>
      <c r="AQ142" s="1015"/>
      <c r="AR142" s="1015"/>
      <c r="AS142" s="1015"/>
      <c r="AT142" s="1015"/>
      <c r="AU142" s="1015"/>
      <c r="AV142" s="1015"/>
      <c r="AW142" s="1016"/>
      <c r="AX142" s="1016"/>
      <c r="AY142" s="1016"/>
      <c r="AZ142" s="1016"/>
      <c r="BA142" s="1016"/>
      <c r="BB142" s="1016"/>
      <c r="BC142" s="1016"/>
      <c r="BD142" s="1016"/>
      <c r="BE142" s="1016"/>
      <c r="BF142" s="1016"/>
      <c r="BG142" s="1016"/>
      <c r="BH142" s="1016"/>
      <c r="BI142" s="669"/>
      <c r="BJ142" s="1014"/>
      <c r="BK142" s="1014"/>
      <c r="BL142" s="1014"/>
      <c r="BM142" s="1014"/>
      <c r="BN142" s="1014"/>
      <c r="BO142" s="1015"/>
      <c r="BP142" s="1016"/>
      <c r="BQ142" s="1016"/>
      <c r="BR142" s="1016"/>
      <c r="BS142" s="1016"/>
      <c r="BT142" s="1016"/>
      <c r="BU142" s="1016"/>
      <c r="BV142" s="1016"/>
      <c r="BW142" s="1016"/>
      <c r="BX142" s="1016"/>
      <c r="BY142" s="1016"/>
      <c r="BZ142" s="1016"/>
      <c r="CA142" s="1016"/>
      <c r="CB142" s="1016"/>
      <c r="CC142" s="1016"/>
      <c r="CD142" s="1016"/>
    </row>
    <row r="143" spans="4:82" ht="17.100000000000001" hidden="1" customHeight="1" outlineLevel="1">
      <c r="D143" s="31" t="s">
        <v>1010</v>
      </c>
      <c r="E143" s="82"/>
      <c r="F143" s="82"/>
      <c r="G143" s="82"/>
      <c r="H143" s="82"/>
      <c r="I143" s="82"/>
      <c r="J143" s="82"/>
      <c r="K143" s="82"/>
      <c r="L143" s="82"/>
      <c r="M143" s="82"/>
      <c r="N143" s="82"/>
      <c r="O143" s="82"/>
      <c r="P143" s="82"/>
      <c r="Q143" s="82"/>
      <c r="R143" s="82"/>
      <c r="S143" s="1012"/>
      <c r="T143" s="1012"/>
      <c r="U143" s="1012"/>
      <c r="V143" s="1012"/>
      <c r="W143" s="1079">
        <f>IF(W141=1,0,AK107)</f>
        <v>0</v>
      </c>
      <c r="X143" s="82"/>
      <c r="Y143" s="83" t="s">
        <v>1014</v>
      </c>
      <c r="Z143" s="77"/>
      <c r="AA143" s="77"/>
      <c r="AB143" s="77"/>
      <c r="AC143" s="77"/>
      <c r="AD143" s="77"/>
      <c r="AE143" s="77"/>
      <c r="AF143" s="963"/>
      <c r="AG143" s="963"/>
      <c r="AH143" s="963"/>
      <c r="AI143" s="963"/>
      <c r="AJ143" s="963"/>
      <c r="AK143" s="963"/>
      <c r="AL143" s="963"/>
      <c r="AM143" s="963"/>
      <c r="AN143" s="963"/>
      <c r="AO143" s="963"/>
      <c r="AP143" s="963"/>
      <c r="AQ143" s="963"/>
      <c r="AR143" s="963"/>
      <c r="AS143" s="963"/>
      <c r="AT143" s="963"/>
      <c r="AU143" s="963"/>
      <c r="AV143" s="963"/>
      <c r="AW143" s="77"/>
      <c r="AX143" s="83"/>
      <c r="AY143" s="83"/>
      <c r="AZ143" s="83"/>
      <c r="BA143" s="83"/>
      <c r="BB143" s="83"/>
      <c r="BC143" s="83"/>
      <c r="BD143" s="83"/>
      <c r="BE143" s="83"/>
      <c r="BF143" s="83"/>
      <c r="BG143" s="83"/>
      <c r="BH143" s="83"/>
      <c r="BJ143" s="1012"/>
      <c r="BK143" s="1012"/>
      <c r="BL143" s="1012"/>
      <c r="BM143" s="1012"/>
      <c r="BN143" s="1012"/>
      <c r="BO143" s="963"/>
      <c r="BP143" s="77"/>
      <c r="BQ143" s="77"/>
      <c r="BR143" s="77"/>
      <c r="BS143" s="77"/>
      <c r="BT143" s="77"/>
      <c r="BU143" s="77"/>
      <c r="BV143" s="77"/>
      <c r="BW143" s="77"/>
      <c r="BX143" s="963"/>
      <c r="BY143" s="963"/>
      <c r="BZ143" s="963"/>
      <c r="CA143" s="963"/>
      <c r="CB143" s="963"/>
      <c r="CC143" s="963"/>
      <c r="CD143" s="963"/>
    </row>
    <row r="144" spans="4:82" ht="17.100000000000001" hidden="1" customHeight="1" outlineLevel="1">
      <c r="D144" s="694" t="s">
        <v>1012</v>
      </c>
      <c r="E144" s="82"/>
      <c r="F144" s="82"/>
      <c r="G144" s="82"/>
      <c r="H144" s="82"/>
      <c r="I144" s="82"/>
      <c r="J144" s="82"/>
      <c r="K144" s="82"/>
      <c r="L144" s="82"/>
      <c r="M144" s="82"/>
      <c r="N144" s="82"/>
      <c r="O144" s="82"/>
      <c r="P144" s="82"/>
      <c r="Q144" s="82"/>
      <c r="R144" s="82"/>
      <c r="S144" s="1012"/>
      <c r="T144" s="1012"/>
      <c r="U144" s="1012"/>
      <c r="V144" s="1012"/>
      <c r="W144" s="1079">
        <f>U107</f>
        <v>0</v>
      </c>
      <c r="X144" s="82"/>
      <c r="Y144" s="83" t="s">
        <v>1014</v>
      </c>
      <c r="Z144" s="77"/>
      <c r="AA144" s="77"/>
      <c r="AB144" s="77"/>
      <c r="AC144" s="77"/>
      <c r="AD144" s="77"/>
      <c r="AE144" s="77"/>
      <c r="AG144" s="1068"/>
      <c r="AH144" s="1068"/>
      <c r="AI144" s="1068"/>
      <c r="AK144" s="1068"/>
      <c r="AL144" s="1068"/>
      <c r="AM144" s="1068"/>
      <c r="AN144" s="1068"/>
      <c r="AO144" s="1068"/>
      <c r="AP144" s="1068"/>
      <c r="AQ144" s="1068"/>
      <c r="AR144" s="1068"/>
      <c r="AS144" s="1068"/>
      <c r="AT144" s="1068"/>
      <c r="AU144" s="1068"/>
      <c r="AV144" s="1068"/>
      <c r="AW144" s="77"/>
      <c r="AX144" s="83"/>
      <c r="AY144" s="83"/>
      <c r="BC144" s="83"/>
      <c r="BD144" s="83"/>
      <c r="BE144" s="83"/>
      <c r="BF144" s="83"/>
      <c r="BG144" s="83"/>
      <c r="BH144" s="83"/>
      <c r="BJ144" s="1012"/>
      <c r="BK144" s="1012"/>
      <c r="BL144" s="1012"/>
      <c r="BM144" s="1012"/>
      <c r="BN144" s="1012"/>
      <c r="BO144" s="1068"/>
      <c r="BP144" s="77"/>
      <c r="BQ144" s="77"/>
      <c r="BR144" s="77"/>
      <c r="BS144" s="77"/>
      <c r="BT144" s="77"/>
      <c r="BU144" s="77"/>
      <c r="BV144" s="77"/>
      <c r="BW144" s="77"/>
      <c r="BX144" s="1068"/>
      <c r="BY144" s="1068"/>
      <c r="BZ144" s="1068"/>
      <c r="CA144" s="1068"/>
      <c r="CB144" s="1068"/>
      <c r="CC144" s="1068"/>
      <c r="CD144" s="1068"/>
    </row>
    <row r="145" spans="4:90" ht="17.100000000000001" hidden="1" customHeight="1" outlineLevel="1">
      <c r="D145" s="82" t="s">
        <v>1021</v>
      </c>
      <c r="E145" s="82"/>
      <c r="F145" s="82"/>
      <c r="G145" s="82"/>
      <c r="H145" s="82"/>
      <c r="I145" s="82"/>
      <c r="J145" s="82"/>
      <c r="K145" s="82"/>
      <c r="L145" s="82"/>
      <c r="M145" s="82"/>
      <c r="N145" s="82"/>
      <c r="O145" s="82"/>
      <c r="P145" s="82"/>
      <c r="Q145" s="82"/>
      <c r="R145" s="82"/>
      <c r="S145" s="1012"/>
      <c r="T145" s="1012"/>
      <c r="U145" s="1012"/>
      <c r="V145" s="1012"/>
      <c r="W145" s="1079">
        <f>IF(AH48=D119,1,0)</f>
        <v>0</v>
      </c>
      <c r="X145" s="82"/>
      <c r="Y145" s="83" t="s">
        <v>1014</v>
      </c>
      <c r="Z145" s="77"/>
      <c r="AA145" s="77"/>
      <c r="AB145" s="77"/>
      <c r="AC145" s="77"/>
      <c r="AD145" s="77"/>
      <c r="AE145" s="77"/>
      <c r="AF145" s="1068"/>
      <c r="AG145" s="1068"/>
      <c r="AH145" s="1068"/>
      <c r="AI145" s="1068"/>
      <c r="AJ145" s="1068"/>
      <c r="AK145" s="1068"/>
      <c r="AL145" s="1068"/>
      <c r="AM145" s="1068"/>
      <c r="AN145" s="1068"/>
      <c r="AO145" s="1068"/>
      <c r="AP145" s="1068"/>
      <c r="AQ145" s="1068"/>
      <c r="AR145" s="1068"/>
      <c r="AS145" s="1068"/>
      <c r="AT145" s="1068"/>
      <c r="AU145" s="1068"/>
      <c r="AV145" s="1068"/>
      <c r="AW145" s="77"/>
      <c r="AX145" s="83"/>
      <c r="AY145" s="83"/>
      <c r="AZ145" s="83"/>
      <c r="BA145" s="83"/>
      <c r="BB145" s="83"/>
      <c r="BC145" s="83"/>
      <c r="BD145" s="83"/>
      <c r="BE145" s="83"/>
      <c r="BF145" s="83"/>
      <c r="BG145" s="83"/>
      <c r="BH145" s="83"/>
      <c r="BJ145" s="1012"/>
      <c r="BK145" s="1012"/>
      <c r="BL145" s="1012"/>
      <c r="BM145" s="1012"/>
      <c r="BN145" s="1012"/>
      <c r="BO145" s="1068"/>
      <c r="BP145" s="77"/>
      <c r="BQ145" s="77"/>
      <c r="BR145" s="77"/>
      <c r="BS145" s="77"/>
      <c r="BT145" s="77"/>
      <c r="BU145" s="77"/>
      <c r="BV145" s="77"/>
      <c r="BW145" s="77"/>
      <c r="BX145" s="1068"/>
      <c r="BY145" s="1068"/>
      <c r="BZ145" s="1068"/>
      <c r="CA145" s="1068"/>
      <c r="CB145" s="1068"/>
      <c r="CC145" s="1068"/>
      <c r="CD145" s="1068"/>
    </row>
    <row r="146" spans="4:90" ht="17.100000000000001" hidden="1" customHeight="1" outlineLevel="1">
      <c r="D146" s="1068" t="s">
        <v>1022</v>
      </c>
      <c r="E146" s="82"/>
      <c r="F146" s="82"/>
      <c r="G146" s="82"/>
      <c r="H146" s="82"/>
      <c r="I146" s="82"/>
      <c r="J146" s="82"/>
      <c r="K146" s="82"/>
      <c r="L146" s="82"/>
      <c r="M146" s="82"/>
      <c r="N146" s="82"/>
      <c r="O146" s="82"/>
      <c r="P146" s="82"/>
      <c r="Q146" s="82"/>
      <c r="R146" s="82"/>
      <c r="S146" s="1012"/>
      <c r="T146" s="1012"/>
      <c r="U146" s="1012"/>
      <c r="V146" s="1012"/>
      <c r="W146" s="1078">
        <f>IF(W145=1,IF(W144=1,1,0),0)</f>
        <v>0</v>
      </c>
      <c r="X146" s="83"/>
      <c r="Y146" s="83" t="s">
        <v>1014</v>
      </c>
      <c r="Z146" s="77"/>
      <c r="AA146" s="77"/>
      <c r="AB146" s="77"/>
      <c r="AC146" s="77"/>
      <c r="AD146" s="77"/>
      <c r="AE146" s="77"/>
      <c r="AF146" s="1068"/>
      <c r="AG146" s="1068"/>
      <c r="AH146" s="1068"/>
      <c r="AI146" s="1068"/>
      <c r="AJ146" s="1068"/>
      <c r="AK146" s="1068"/>
      <c r="AL146" s="1068"/>
      <c r="AM146" s="1068"/>
      <c r="AN146" s="1068"/>
      <c r="AO146" s="1068"/>
      <c r="AP146" s="1068"/>
      <c r="AQ146" s="1068"/>
      <c r="AR146" s="1068"/>
      <c r="AS146" s="1068"/>
      <c r="AT146" s="1068"/>
      <c r="AU146" s="1068"/>
      <c r="AV146" s="1068"/>
      <c r="AW146" s="77"/>
      <c r="AX146" s="83"/>
      <c r="AY146" s="83"/>
      <c r="AZ146" s="83"/>
      <c r="BA146" s="83"/>
      <c r="BB146" s="83"/>
      <c r="BC146" s="83"/>
      <c r="BD146" s="83"/>
      <c r="BE146" s="83"/>
      <c r="BF146" s="83"/>
      <c r="BG146" s="83"/>
      <c r="BH146" s="83"/>
      <c r="BJ146" s="1012"/>
      <c r="BK146" s="1012"/>
      <c r="BL146" s="1012"/>
      <c r="BM146" s="1012"/>
      <c r="BN146" s="1012"/>
      <c r="BO146" s="1068"/>
      <c r="BP146" s="77"/>
      <c r="BQ146" s="77"/>
      <c r="BR146" s="77"/>
      <c r="BS146" s="77"/>
      <c r="BT146" s="77"/>
      <c r="BU146" s="77"/>
      <c r="BV146" s="77"/>
      <c r="BW146" s="77"/>
      <c r="BX146" s="1068"/>
      <c r="BY146" s="1068"/>
      <c r="BZ146" s="1068"/>
      <c r="CA146" s="1068"/>
      <c r="CB146" s="1068"/>
      <c r="CC146" s="1068"/>
      <c r="CD146" s="1068"/>
    </row>
    <row r="147" spans="4:90" ht="17.100000000000001" hidden="1" customHeight="1" outlineLevel="1">
      <c r="D147" s="1300" t="s">
        <v>1339</v>
      </c>
      <c r="E147" s="82"/>
      <c r="F147" s="82"/>
      <c r="G147" s="82"/>
      <c r="H147" s="82"/>
      <c r="I147" s="82"/>
      <c r="J147" s="82"/>
      <c r="K147" s="82"/>
      <c r="L147" s="82"/>
      <c r="M147" s="82"/>
      <c r="N147" s="82"/>
      <c r="O147" s="82"/>
      <c r="P147" s="82"/>
      <c r="Q147" s="82"/>
      <c r="R147" s="82"/>
      <c r="S147" s="1012"/>
      <c r="T147" s="1012"/>
      <c r="U147" s="1012"/>
      <c r="V147" s="1012"/>
      <c r="W147" s="1304">
        <f>AK107</f>
        <v>0</v>
      </c>
      <c r="X147" s="83"/>
      <c r="Y147" s="83" t="s">
        <v>1014</v>
      </c>
      <c r="Z147" s="77"/>
      <c r="AA147" s="77"/>
      <c r="AB147" s="77"/>
      <c r="AC147" s="77"/>
      <c r="AD147" s="77"/>
      <c r="AE147" s="77"/>
      <c r="AF147" s="1300"/>
      <c r="AG147" s="1300"/>
      <c r="AH147" s="1300"/>
      <c r="AI147" s="1300"/>
      <c r="AJ147" s="1300"/>
      <c r="AK147" s="1300"/>
      <c r="AL147" s="1300"/>
      <c r="AM147" s="1300"/>
      <c r="AN147" s="1300"/>
      <c r="AO147" s="1300"/>
      <c r="AP147" s="1300"/>
      <c r="AQ147" s="1300"/>
      <c r="AR147" s="1300"/>
      <c r="AS147" s="1300"/>
      <c r="AT147" s="1300"/>
      <c r="AU147" s="1300"/>
      <c r="AV147" s="1300"/>
      <c r="AW147" s="77"/>
      <c r="AX147" s="83"/>
      <c r="AY147" s="83"/>
      <c r="AZ147" s="83"/>
      <c r="BA147" s="83"/>
      <c r="BB147" s="83"/>
      <c r="BC147" s="83"/>
      <c r="BD147" s="83"/>
      <c r="BE147" s="83"/>
      <c r="BF147" s="83"/>
      <c r="BG147" s="83"/>
      <c r="BH147" s="83"/>
      <c r="BJ147" s="1012"/>
      <c r="BK147" s="1012"/>
      <c r="BL147" s="1012"/>
      <c r="BM147" s="1012"/>
      <c r="BN147" s="1012"/>
      <c r="BO147" s="1300"/>
      <c r="BP147" s="77"/>
      <c r="BQ147" s="77"/>
      <c r="BR147" s="77"/>
      <c r="BS147" s="77"/>
      <c r="BT147" s="77"/>
      <c r="BU147" s="77"/>
      <c r="BV147" s="77"/>
      <c r="BW147" s="77"/>
      <c r="BX147" s="1300"/>
      <c r="BY147" s="1300"/>
      <c r="BZ147" s="1300"/>
      <c r="CA147" s="1300"/>
      <c r="CB147" s="1300"/>
      <c r="CC147" s="1300"/>
      <c r="CD147" s="1300"/>
    </row>
    <row r="148" spans="4:90" ht="17.100000000000001" hidden="1" customHeight="1" outlineLevel="1">
      <c r="D148" s="694" t="s">
        <v>1027</v>
      </c>
      <c r="E148" s="82"/>
      <c r="F148" s="82"/>
      <c r="G148" s="82"/>
      <c r="H148" s="82"/>
      <c r="I148" s="82"/>
      <c r="J148" s="82"/>
      <c r="K148" s="82"/>
      <c r="L148" s="82"/>
      <c r="M148" s="82"/>
      <c r="N148" s="82"/>
      <c r="O148" s="82"/>
      <c r="P148" s="82"/>
      <c r="Q148" s="82"/>
      <c r="R148" s="82"/>
      <c r="S148" s="1012"/>
      <c r="T148" s="1012"/>
      <c r="U148" s="1012"/>
      <c r="V148" s="1012"/>
      <c r="W148" s="1079">
        <f>IF(AH48=D119,0,1)</f>
        <v>1</v>
      </c>
      <c r="X148" s="82"/>
      <c r="Y148" s="83" t="s">
        <v>1014</v>
      </c>
      <c r="Z148" s="77"/>
      <c r="AA148" s="77"/>
      <c r="AB148" s="77"/>
      <c r="AC148" s="77"/>
      <c r="AD148" s="77"/>
      <c r="AE148" s="77"/>
      <c r="AF148" s="1068"/>
      <c r="AG148" s="1068"/>
      <c r="AH148" s="1068"/>
      <c r="AI148" s="1068"/>
      <c r="AJ148" s="1068"/>
      <c r="AK148" s="1068"/>
      <c r="AL148" s="1068"/>
      <c r="AM148" s="1068"/>
      <c r="AN148" s="1068"/>
      <c r="AO148" s="1068"/>
      <c r="AP148" s="1068"/>
      <c r="AQ148" s="1068"/>
      <c r="AR148" s="1068"/>
      <c r="AS148" s="1068"/>
      <c r="AT148" s="1068"/>
      <c r="AU148" s="1068"/>
      <c r="AV148" s="1068"/>
      <c r="AW148" s="77"/>
      <c r="AX148" s="83"/>
      <c r="AY148" s="83"/>
      <c r="AZ148" s="83"/>
      <c r="BA148" s="83"/>
      <c r="BB148" s="83"/>
      <c r="BC148" s="83"/>
      <c r="BD148" s="83"/>
      <c r="BE148" s="83"/>
      <c r="BF148" s="83"/>
      <c r="BG148" s="83"/>
      <c r="BH148" s="83"/>
      <c r="BJ148" s="1012"/>
      <c r="BK148" s="1012"/>
      <c r="BL148" s="1012"/>
      <c r="BM148" s="1012"/>
      <c r="BN148" s="1012"/>
      <c r="BO148" s="1068"/>
      <c r="BP148" s="77"/>
      <c r="BQ148" s="77"/>
      <c r="BR148" s="77"/>
      <c r="BS148" s="77"/>
      <c r="BT148" s="77"/>
      <c r="BU148" s="77"/>
      <c r="BV148" s="77"/>
      <c r="BW148" s="77"/>
      <c r="BX148" s="1068"/>
      <c r="BY148" s="1068"/>
      <c r="BZ148" s="1068"/>
      <c r="CA148" s="1068"/>
      <c r="CB148" s="1068"/>
      <c r="CC148" s="1068"/>
      <c r="CD148" s="1068"/>
    </row>
    <row r="149" spans="4:90" ht="17.100000000000001" hidden="1" customHeight="1" outlineLevel="1">
      <c r="D149" s="694" t="s">
        <v>1048</v>
      </c>
      <c r="E149" s="82"/>
      <c r="F149" s="82"/>
      <c r="G149" s="82"/>
      <c r="H149" s="82"/>
      <c r="I149" s="82"/>
      <c r="J149" s="82"/>
      <c r="K149" s="82"/>
      <c r="L149" s="82"/>
      <c r="M149" s="82"/>
      <c r="N149" s="82"/>
      <c r="O149" s="82"/>
      <c r="P149" s="82"/>
      <c r="Q149" s="82"/>
      <c r="R149" s="82"/>
      <c r="S149" s="1012"/>
      <c r="T149" s="1012"/>
      <c r="U149" s="1012"/>
      <c r="V149" s="1012"/>
      <c r="W149" s="1079">
        <f t="shared" ref="W149" si="4">IF(AH49=D120,0,1)</f>
        <v>1</v>
      </c>
      <c r="X149" s="82"/>
      <c r="Y149" s="83" t="s">
        <v>1014</v>
      </c>
      <c r="Z149" s="77"/>
      <c r="AA149" s="77"/>
      <c r="AB149" s="77" t="s">
        <v>1049</v>
      </c>
      <c r="AC149" s="77"/>
      <c r="AD149" s="77"/>
      <c r="AE149" s="77"/>
      <c r="AF149" s="1068"/>
      <c r="AG149" s="1068"/>
      <c r="AH149" s="1079">
        <f t="shared" ref="AH149" si="5">IF(AS49=O120,0,1)</f>
        <v>0</v>
      </c>
      <c r="AI149" s="82"/>
      <c r="AJ149" s="83" t="s">
        <v>1014</v>
      </c>
      <c r="AK149" s="1068"/>
      <c r="AL149" s="1068"/>
      <c r="AM149" s="1068" t="s">
        <v>270</v>
      </c>
      <c r="AN149" s="1068"/>
      <c r="AO149" s="1068"/>
      <c r="AP149" s="1068"/>
      <c r="AQ149" s="1068"/>
      <c r="AR149" s="1068"/>
      <c r="AS149" s="1068"/>
      <c r="AT149" s="1079">
        <f t="shared" ref="AT149" si="6">IF(BE49=AA120,0,1)</f>
        <v>0</v>
      </c>
      <c r="AU149" s="82"/>
      <c r="AV149" s="83" t="s">
        <v>1014</v>
      </c>
      <c r="AW149" s="1068"/>
      <c r="AX149" s="1068"/>
      <c r="AY149" s="1068" t="s">
        <v>271</v>
      </c>
      <c r="AZ149" s="83"/>
      <c r="BA149" s="83"/>
      <c r="BB149" s="83"/>
      <c r="BC149" s="83"/>
      <c r="BD149" s="83"/>
      <c r="BE149" s="83"/>
      <c r="BF149" s="83"/>
      <c r="BG149" s="83"/>
      <c r="BH149" s="83"/>
      <c r="BJ149" s="1012"/>
      <c r="BK149" s="1012"/>
      <c r="BL149" s="1012"/>
      <c r="BM149" s="1012"/>
      <c r="BN149" s="1012"/>
      <c r="BO149" s="1068"/>
      <c r="BP149" s="77"/>
      <c r="BQ149" s="77"/>
      <c r="BR149" s="77"/>
      <c r="BS149" s="77"/>
      <c r="BT149" s="77"/>
      <c r="BU149" s="77"/>
      <c r="BV149" s="77"/>
      <c r="BW149" s="77"/>
      <c r="BX149" s="1068"/>
      <c r="BY149" s="1068"/>
      <c r="BZ149" s="1068"/>
      <c r="CA149" s="1068"/>
      <c r="CB149" s="1068"/>
      <c r="CC149" s="1068"/>
      <c r="CD149" s="1068"/>
    </row>
    <row r="150" spans="4:90" ht="17.100000000000001" hidden="1" customHeight="1" outlineLevel="1">
      <c r="D150" s="694" t="s">
        <v>1050</v>
      </c>
      <c r="E150" s="82"/>
      <c r="F150" s="82"/>
      <c r="G150" s="82"/>
      <c r="H150" s="82"/>
      <c r="I150" s="82"/>
      <c r="J150" s="82"/>
      <c r="K150" s="82"/>
      <c r="L150" s="82"/>
      <c r="M150" s="82"/>
      <c r="N150" s="82"/>
      <c r="O150" s="82"/>
      <c r="P150" s="82"/>
      <c r="Q150" s="82"/>
      <c r="R150" s="82"/>
      <c r="S150" s="1012"/>
      <c r="T150" s="1012"/>
      <c r="U150" s="1012"/>
      <c r="V150" s="1012"/>
      <c r="W150" s="1079">
        <f t="shared" ref="W150" si="7">IF(AH50=D125,0,1)</f>
        <v>0</v>
      </c>
      <c r="X150" s="82"/>
      <c r="Y150" s="83" t="s">
        <v>1014</v>
      </c>
      <c r="Z150" s="77"/>
      <c r="AA150" s="77"/>
      <c r="AB150" s="77" t="s">
        <v>1049</v>
      </c>
      <c r="AC150" s="77"/>
      <c r="AD150" s="77"/>
      <c r="AE150" s="77"/>
      <c r="AF150" s="1068"/>
      <c r="AG150" s="1068"/>
      <c r="AH150" s="1079">
        <f t="shared" ref="AH150" si="8">IF(AS50=O125,0,1)</f>
        <v>0</v>
      </c>
      <c r="AI150" s="82"/>
      <c r="AJ150" s="83" t="s">
        <v>1014</v>
      </c>
      <c r="AK150" s="1068"/>
      <c r="AL150" s="1068"/>
      <c r="AM150" s="1068" t="s">
        <v>270</v>
      </c>
      <c r="AN150" s="1068"/>
      <c r="AO150" s="1068"/>
      <c r="AP150" s="1068"/>
      <c r="AQ150" s="1068"/>
      <c r="AR150" s="1068"/>
      <c r="AS150" s="1068"/>
      <c r="AT150" s="1079">
        <f t="shared" ref="AT150" si="9">IF(BE50=AA125,0,1)</f>
        <v>0</v>
      </c>
      <c r="AU150" s="82"/>
      <c r="AV150" s="83" t="s">
        <v>1014</v>
      </c>
      <c r="AW150" s="1068"/>
      <c r="AX150" s="1068"/>
      <c r="AY150" s="1068" t="s">
        <v>271</v>
      </c>
      <c r="AZ150" s="83"/>
      <c r="BA150" s="83"/>
      <c r="BB150" s="83"/>
      <c r="BC150" s="83"/>
      <c r="BD150" s="83"/>
      <c r="BE150" s="83"/>
      <c r="BF150" s="83"/>
      <c r="BG150" s="83"/>
      <c r="BH150" s="83"/>
      <c r="BJ150" s="1012"/>
      <c r="BK150" s="1012"/>
      <c r="BL150" s="1012"/>
      <c r="BM150" s="1012"/>
      <c r="BN150" s="1012"/>
      <c r="BO150" s="1068"/>
      <c r="BP150" s="77"/>
      <c r="BQ150" s="77"/>
      <c r="BR150" s="77"/>
      <c r="BS150" s="77"/>
      <c r="BT150" s="77"/>
      <c r="BU150" s="77"/>
      <c r="BV150" s="77"/>
      <c r="BW150" s="77"/>
      <c r="BX150" s="1068"/>
      <c r="BY150" s="1068"/>
      <c r="BZ150" s="1068"/>
      <c r="CA150" s="1068"/>
      <c r="CB150" s="1068"/>
      <c r="CC150" s="1068"/>
      <c r="CD150" s="1068"/>
    </row>
    <row r="151" spans="4:90" ht="17.100000000000001" hidden="1" customHeight="1" outlineLevel="1">
      <c r="D151" s="52"/>
      <c r="E151" s="52"/>
      <c r="F151" s="52"/>
      <c r="G151" s="52"/>
      <c r="H151" s="52"/>
      <c r="I151" s="52"/>
      <c r="J151" s="52"/>
      <c r="K151" s="52"/>
      <c r="L151" s="52"/>
      <c r="M151" s="52"/>
      <c r="N151" s="52"/>
      <c r="O151" s="52"/>
      <c r="P151" s="52"/>
      <c r="Q151" s="52"/>
      <c r="R151" s="52"/>
      <c r="S151" s="1082"/>
      <c r="T151" s="1082"/>
      <c r="U151" s="1082"/>
      <c r="V151" s="1082"/>
      <c r="W151" s="1082"/>
      <c r="X151" s="1085"/>
      <c r="Y151" s="1083"/>
      <c r="Z151" s="1083"/>
      <c r="AA151" s="1083"/>
      <c r="AB151" s="1083"/>
      <c r="AC151" s="1083"/>
      <c r="AD151" s="1083"/>
      <c r="AE151" s="1083"/>
      <c r="AF151" s="1085"/>
      <c r="AG151" s="1085"/>
      <c r="AH151" s="1085"/>
      <c r="AI151" s="1085"/>
      <c r="AJ151" s="1085"/>
      <c r="AK151" s="1085"/>
      <c r="AL151" s="1085"/>
      <c r="AM151" s="1085"/>
      <c r="AN151" s="1085"/>
      <c r="AO151" s="1085"/>
      <c r="AP151" s="1085"/>
      <c r="AQ151" s="1085"/>
      <c r="AR151" s="1085"/>
      <c r="AS151" s="1085"/>
      <c r="AT151" s="1085"/>
      <c r="AU151" s="1085"/>
      <c r="AV151" s="1085"/>
      <c r="AW151" s="1083"/>
      <c r="AX151" s="1083"/>
      <c r="AY151" s="1083"/>
      <c r="AZ151" s="1083"/>
      <c r="BA151" s="1083"/>
      <c r="BB151" s="1083"/>
      <c r="BC151" s="1083"/>
      <c r="BD151" s="1083"/>
      <c r="BE151" s="1083"/>
      <c r="BF151" s="1083"/>
      <c r="BG151" s="1083"/>
      <c r="BH151" s="1083"/>
      <c r="BJ151" s="1082"/>
      <c r="BK151" s="1082"/>
      <c r="BL151" s="1082"/>
      <c r="BM151" s="1082"/>
      <c r="BN151" s="1082"/>
      <c r="BO151" s="1085"/>
      <c r="BP151" s="1083"/>
      <c r="BQ151" s="1083"/>
      <c r="BR151" s="1083"/>
      <c r="BS151" s="1083"/>
      <c r="BT151" s="1083"/>
      <c r="BU151" s="1083"/>
      <c r="BV151" s="1083"/>
      <c r="BW151" s="1083"/>
      <c r="BX151" s="1085"/>
      <c r="BY151" s="1085"/>
      <c r="BZ151" s="1085"/>
      <c r="CA151" s="1085"/>
      <c r="CB151" s="1085"/>
      <c r="CC151" s="1085"/>
      <c r="CD151" s="1085"/>
    </row>
    <row r="152" spans="4:90" hidden="1" outlineLevel="1"/>
    <row r="153" spans="4:90" hidden="1" outlineLevel="1"/>
    <row r="154" spans="4:90" s="882" customFormat="1" ht="17.100000000000001" hidden="1" customHeight="1" outlineLevel="1">
      <c r="D154" s="1017"/>
      <c r="E154" s="1017"/>
      <c r="F154" s="1017"/>
      <c r="G154" s="1017"/>
      <c r="H154" s="1017"/>
      <c r="I154" s="1017"/>
      <c r="J154" s="1017"/>
      <c r="K154" s="1017"/>
      <c r="L154" s="1017"/>
      <c r="M154" s="1017"/>
      <c r="N154" s="1017"/>
      <c r="O154" s="1017"/>
      <c r="P154" s="1017"/>
      <c r="Q154" s="1017"/>
      <c r="R154" s="1017"/>
      <c r="S154" s="1183" t="s">
        <v>101</v>
      </c>
      <c r="T154" s="1183"/>
      <c r="U154" s="1183"/>
      <c r="V154" s="1183"/>
      <c r="W154" s="1183"/>
      <c r="X154" s="1017"/>
      <c r="Y154" s="1017" t="s">
        <v>253</v>
      </c>
      <c r="Z154" s="1017"/>
      <c r="AA154" s="1017"/>
      <c r="AB154" s="1017"/>
      <c r="AC154" s="1017"/>
      <c r="AD154" s="1017"/>
      <c r="AE154" s="1017"/>
      <c r="AF154" s="1017"/>
      <c r="AG154" s="1017"/>
      <c r="AH154" s="1017"/>
      <c r="AI154" s="1017"/>
      <c r="AJ154" s="1017"/>
      <c r="AK154" s="1017"/>
      <c r="AL154" s="1017"/>
      <c r="AM154" s="1017"/>
      <c r="AN154" s="1017"/>
      <c r="AO154" s="1017"/>
      <c r="AP154" s="1017"/>
      <c r="AQ154" s="1017"/>
      <c r="AR154" s="1017"/>
      <c r="AS154" s="1017"/>
      <c r="AT154" s="1017"/>
      <c r="AU154" s="1017"/>
      <c r="AV154" s="1017"/>
      <c r="AW154" s="1017"/>
      <c r="AX154" s="1017" t="s">
        <v>254</v>
      </c>
      <c r="AY154" s="1017"/>
      <c r="AZ154" s="1017"/>
      <c r="BA154" s="1017"/>
      <c r="BB154" s="1017"/>
      <c r="BC154" s="1017"/>
      <c r="BD154" s="1017"/>
      <c r="BE154" s="1019"/>
      <c r="BF154" s="1017"/>
      <c r="BG154" s="1020"/>
      <c r="BH154" s="1017"/>
      <c r="BI154" s="1017"/>
      <c r="BJ154" s="1017" t="s">
        <v>101</v>
      </c>
      <c r="BK154" s="1017"/>
      <c r="BL154" s="1017"/>
      <c r="BM154" s="1017"/>
      <c r="BN154" s="1017"/>
      <c r="BO154" s="1017"/>
      <c r="BP154" s="1017" t="s">
        <v>253</v>
      </c>
      <c r="BQ154" s="1017"/>
      <c r="BR154" s="1017"/>
      <c r="BS154" s="1017"/>
      <c r="BT154" s="1017"/>
      <c r="BU154" s="1017"/>
      <c r="BV154" s="1017"/>
      <c r="BW154" s="1017"/>
      <c r="BX154" s="1017" t="s">
        <v>254</v>
      </c>
      <c r="BY154" s="1017"/>
      <c r="BZ154" s="1020"/>
      <c r="CA154" s="1020"/>
      <c r="CB154" s="1020"/>
      <c r="CC154" s="1020"/>
      <c r="CD154" s="1020"/>
    </row>
    <row r="155" spans="4:90" ht="17.100000000000001" hidden="1" customHeight="1" outlineLevel="1">
      <c r="D155" s="36" t="str">
        <f>X!$C$175</f>
        <v>manuelle Eingabe</v>
      </c>
      <c r="E155" s="36"/>
      <c r="F155" s="36"/>
      <c r="G155" s="36"/>
      <c r="H155" s="36"/>
      <c r="I155" s="36"/>
      <c r="J155" s="36"/>
      <c r="K155" s="36"/>
      <c r="L155" s="36"/>
      <c r="M155" s="36"/>
      <c r="N155" s="36"/>
      <c r="O155" s="36" t="s">
        <v>22</v>
      </c>
      <c r="P155" s="36"/>
      <c r="Q155" s="36"/>
      <c r="R155" s="36"/>
      <c r="S155" s="1405">
        <v>0</v>
      </c>
      <c r="T155" s="1405"/>
      <c r="U155" s="1405"/>
      <c r="V155" s="1405"/>
      <c r="W155" s="1405"/>
      <c r="X155" s="96"/>
      <c r="Y155" s="1407" t="str">
        <f>X!$C$175</f>
        <v>manuelle Eingabe</v>
      </c>
      <c r="Z155" s="1407"/>
      <c r="AA155" s="1407"/>
      <c r="AB155" s="1407"/>
      <c r="AC155" s="1407"/>
      <c r="AD155" s="1407"/>
      <c r="AE155" s="1407"/>
      <c r="AF155" s="615"/>
      <c r="AG155" s="615"/>
      <c r="AH155" s="615"/>
      <c r="AI155" s="615"/>
      <c r="AJ155" s="615"/>
      <c r="AK155" s="615"/>
      <c r="AL155" s="615"/>
      <c r="AM155" s="615"/>
      <c r="AN155" s="615"/>
      <c r="AO155" s="615"/>
      <c r="AP155" s="615"/>
      <c r="AQ155" s="615"/>
      <c r="AR155" s="615"/>
      <c r="AS155" s="615"/>
      <c r="AT155" s="615"/>
      <c r="AU155" s="615"/>
      <c r="AV155" s="615"/>
      <c r="AW155" s="77"/>
      <c r="AX155" s="1407" t="str">
        <f>X!$C$198</f>
        <v>Quelle prüfen</v>
      </c>
      <c r="AY155" s="1407"/>
      <c r="AZ155" s="1407"/>
      <c r="BA155" s="1407"/>
      <c r="BB155" s="1407"/>
      <c r="BC155" s="1407"/>
      <c r="BD155" s="1407"/>
      <c r="BE155" s="1407"/>
      <c r="BF155" s="1407"/>
      <c r="BG155" s="1407"/>
      <c r="BH155" s="1407"/>
      <c r="BJ155" s="1410">
        <f>S155</f>
        <v>0</v>
      </c>
      <c r="BK155" s="1410"/>
      <c r="BL155" s="1410"/>
      <c r="BM155" s="1410"/>
      <c r="BN155" s="1410"/>
      <c r="BO155" s="96"/>
      <c r="BP155" s="1407" t="str">
        <f>Y155</f>
        <v>manuelle Eingabe</v>
      </c>
      <c r="BQ155" s="1407"/>
      <c r="BR155" s="1407"/>
      <c r="BS155" s="1407"/>
      <c r="BT155" s="1407"/>
      <c r="BU155" s="1407"/>
      <c r="BV155" s="1407"/>
      <c r="BW155" s="77"/>
      <c r="BX155" s="1407" t="str">
        <f>AX155</f>
        <v>Quelle prüfen</v>
      </c>
      <c r="BY155" s="1407"/>
      <c r="BZ155" s="1407"/>
      <c r="CA155" s="1407"/>
      <c r="CB155" s="1407"/>
      <c r="CC155" s="1407"/>
      <c r="CD155" s="1407"/>
    </row>
    <row r="156" spans="4:90" ht="17.100000000000001" hidden="1" customHeight="1" outlineLevel="1">
      <c r="D156" s="82" t="s">
        <v>1009</v>
      </c>
      <c r="E156" s="82"/>
      <c r="F156" s="82"/>
      <c r="G156" s="82"/>
      <c r="H156" s="82"/>
      <c r="I156" s="82"/>
      <c r="J156" s="82"/>
      <c r="K156" s="82"/>
      <c r="L156" s="82"/>
      <c r="M156" s="82"/>
      <c r="N156" s="82"/>
      <c r="O156" s="36" t="s">
        <v>22</v>
      </c>
      <c r="P156" s="82"/>
      <c r="Q156" s="82"/>
      <c r="R156" s="82"/>
      <c r="S156" s="1405">
        <f>'2A Electricity regular'!R255</f>
        <v>0</v>
      </c>
      <c r="T156" s="1405"/>
      <c r="U156" s="1405"/>
      <c r="V156" s="1405"/>
      <c r="W156" s="1405"/>
      <c r="X156" s="96"/>
      <c r="Y156" s="1407" t="str">
        <f>X!$C$48</f>
        <v>Berechnung mit dem Kälte-Tool</v>
      </c>
      <c r="Z156" s="1407"/>
      <c r="AA156" s="1407"/>
      <c r="AB156" s="1407"/>
      <c r="AC156" s="1407"/>
      <c r="AD156" s="1407"/>
      <c r="AE156" s="1407"/>
      <c r="AF156" s="615"/>
      <c r="AG156" s="615"/>
      <c r="AH156" s="615"/>
      <c r="AI156" s="615"/>
      <c r="AJ156" s="615"/>
      <c r="AK156" s="615"/>
      <c r="AL156" s="615"/>
      <c r="AM156" s="615"/>
      <c r="AN156" s="615"/>
      <c r="AO156" s="615"/>
      <c r="AP156" s="615"/>
      <c r="AQ156" s="615"/>
      <c r="AR156" s="615"/>
      <c r="AS156" s="615"/>
      <c r="AT156" s="615"/>
      <c r="AU156" s="615"/>
      <c r="AV156" s="615"/>
      <c r="AW156" s="77"/>
      <c r="AX156" s="1411" t="str">
        <f>'2A Electricity regular'!S184</f>
        <v/>
      </c>
      <c r="AY156" s="1411"/>
      <c r="AZ156" s="1411"/>
      <c r="BA156" s="1411"/>
      <c r="BB156" s="1411"/>
      <c r="BC156" s="1411"/>
      <c r="BD156" s="1411"/>
      <c r="BE156" s="1411"/>
      <c r="BF156" s="1411"/>
      <c r="BG156" s="1411"/>
      <c r="BH156" s="1411"/>
      <c r="BJ156" s="1410">
        <f>'2A Electricity regular'!AP255</f>
        <v>0</v>
      </c>
      <c r="BK156" s="1410"/>
      <c r="BL156" s="1410"/>
      <c r="BM156" s="1410"/>
      <c r="BN156" s="1410"/>
      <c r="BO156" s="96"/>
      <c r="BP156" s="1407" t="str">
        <f>Y156</f>
        <v>Berechnung mit dem Kälte-Tool</v>
      </c>
      <c r="BQ156" s="1407"/>
      <c r="BR156" s="1407"/>
      <c r="BS156" s="1407"/>
      <c r="BT156" s="1407"/>
      <c r="BU156" s="1407"/>
      <c r="BV156" s="1407"/>
      <c r="BW156" s="77"/>
      <c r="BX156" s="1407" t="str">
        <f>'2A Electricity regular'!AQ184</f>
        <v/>
      </c>
      <c r="BY156" s="1407"/>
      <c r="BZ156" s="1407"/>
      <c r="CA156" s="1407"/>
      <c r="CB156" s="1407"/>
      <c r="CC156" s="1407"/>
      <c r="CD156" s="1407"/>
      <c r="CL156" s="31" t="s">
        <v>984</v>
      </c>
    </row>
    <row r="157" spans="4:90" ht="17.100000000000001" hidden="1" customHeight="1" outlineLevel="1">
      <c r="D157" s="31" t="s">
        <v>1010</v>
      </c>
      <c r="E157" s="82"/>
      <c r="F157" s="82"/>
      <c r="G157" s="82"/>
      <c r="H157" s="82"/>
      <c r="I157" s="82"/>
      <c r="J157" s="82"/>
      <c r="K157" s="82"/>
      <c r="L157" s="82"/>
      <c r="M157" s="82"/>
      <c r="N157" s="82"/>
      <c r="O157" s="36" t="s">
        <v>22</v>
      </c>
      <c r="P157" s="82"/>
      <c r="Q157" s="82"/>
      <c r="R157" s="82"/>
      <c r="S157" s="1405">
        <f>'2B Electricity simplified'!AI150</f>
        <v>0</v>
      </c>
      <c r="T157" s="1405"/>
      <c r="U157" s="1405"/>
      <c r="V157" s="1405"/>
      <c r="W157" s="1405"/>
      <c r="X157" s="96"/>
      <c r="Y157" s="1407" t="str">
        <f>Y156</f>
        <v>Berechnung mit dem Kälte-Tool</v>
      </c>
      <c r="Z157" s="1407"/>
      <c r="AA157" s="1407"/>
      <c r="AB157" s="1407"/>
      <c r="AC157" s="1407"/>
      <c r="AD157" s="1407"/>
      <c r="AE157" s="1407"/>
      <c r="AF157" s="615"/>
      <c r="AG157" s="615"/>
      <c r="AH157" s="615"/>
      <c r="AI157" s="615"/>
      <c r="AJ157" s="615"/>
      <c r="AK157" s="615"/>
      <c r="AL157" s="615"/>
      <c r="AM157" s="615"/>
      <c r="AN157" s="615"/>
      <c r="AO157" s="615"/>
      <c r="AP157" s="615"/>
      <c r="AQ157" s="615"/>
      <c r="AR157" s="615"/>
      <c r="AS157" s="615"/>
      <c r="AT157" s="615"/>
      <c r="AU157" s="615"/>
      <c r="AV157" s="615"/>
      <c r="AW157" s="77"/>
      <c r="AX157" s="1411" t="str">
        <f>'2B Electricity simplified'!S109</f>
        <v/>
      </c>
      <c r="AY157" s="1411"/>
      <c r="AZ157" s="1411"/>
      <c r="BA157" s="1411"/>
      <c r="BB157" s="1411"/>
      <c r="BC157" s="1411"/>
      <c r="BD157" s="1411"/>
      <c r="BE157" s="1411"/>
      <c r="BF157" s="1411"/>
      <c r="BG157" s="1411"/>
      <c r="BH157" s="1411"/>
      <c r="BJ157" s="1410">
        <f>'2B Electricity simplified'!BG154</f>
        <v>0</v>
      </c>
      <c r="BK157" s="1410"/>
      <c r="BL157" s="1410"/>
      <c r="BM157" s="1410"/>
      <c r="BN157" s="1410"/>
      <c r="BO157" s="96"/>
      <c r="BP157" s="1407" t="str">
        <f>Y157</f>
        <v>Berechnung mit dem Kälte-Tool</v>
      </c>
      <c r="BQ157" s="1407"/>
      <c r="BR157" s="1407"/>
      <c r="BS157" s="1407"/>
      <c r="BT157" s="1407"/>
      <c r="BU157" s="1407"/>
      <c r="BV157" s="1407"/>
      <c r="BW157" s="77"/>
      <c r="BX157" s="96" t="str">
        <f>'2B Electricity simplified'!AQ109</f>
        <v/>
      </c>
      <c r="BY157" s="96"/>
      <c r="BZ157" s="96"/>
      <c r="CA157" s="96"/>
      <c r="CB157" s="96"/>
      <c r="CC157" s="96"/>
      <c r="CD157" s="96"/>
      <c r="CL157" s="31" t="s">
        <v>984</v>
      </c>
    </row>
    <row r="158" spans="4:90" s="52" customFormat="1" ht="17.100000000000001" hidden="1" customHeight="1" outlineLevel="1">
      <c r="D158" s="1402" t="str">
        <f>IF($AH$48=$D$120,D155,IF($D$107=$AC$100,D156,IF($D$107=$U$100,D157,"")))</f>
        <v/>
      </c>
      <c r="E158" s="1402"/>
      <c r="F158" s="1402"/>
      <c r="G158" s="1402"/>
      <c r="H158" s="1402"/>
      <c r="I158" s="1402"/>
      <c r="J158" s="1402"/>
      <c r="K158" s="85"/>
      <c r="L158" s="85"/>
      <c r="M158" s="85"/>
      <c r="N158" s="85"/>
      <c r="O158" s="85" t="s">
        <v>22</v>
      </c>
      <c r="P158" s="85"/>
      <c r="Q158" s="85"/>
      <c r="R158" s="85"/>
      <c r="S158" s="1403">
        <f>IF($W$141=1,S155,IF($W$142=1,S156,IF($W$143=1,S157,0)))</f>
        <v>0</v>
      </c>
      <c r="T158" s="1403"/>
      <c r="U158" s="1403"/>
      <c r="V158" s="1403"/>
      <c r="W158" s="1403"/>
      <c r="X158" s="961"/>
      <c r="Y158" s="1402" t="str">
        <f>IF($W$141=1,Y155,IF($W$142=1,Y156,IF($W$143=1,Y157,0)))</f>
        <v>manuelle Eingabe</v>
      </c>
      <c r="Z158" s="1402"/>
      <c r="AA158" s="1402"/>
      <c r="AB158" s="1402"/>
      <c r="AC158" s="1402"/>
      <c r="AD158" s="1402"/>
      <c r="AE158" s="1402"/>
      <c r="AF158" s="961"/>
      <c r="AG158" s="961"/>
      <c r="AH158" s="961"/>
      <c r="AI158" s="961"/>
      <c r="AJ158" s="961"/>
      <c r="AK158" s="961"/>
      <c r="AL158" s="961"/>
      <c r="AM158" s="961"/>
      <c r="AN158" s="961"/>
      <c r="AO158" s="961"/>
      <c r="AP158" s="961"/>
      <c r="AQ158" s="961"/>
      <c r="AR158" s="961"/>
      <c r="AS158" s="961"/>
      <c r="AT158" s="961"/>
      <c r="AU158" s="961"/>
      <c r="AV158" s="961"/>
      <c r="AW158" s="97"/>
      <c r="AX158" s="1402" t="str">
        <f>IF($AH$48=$D$120,AX155,IF($D$107=$AC$100,AX156,IF($D$107=$U$100,AX157,"")))</f>
        <v/>
      </c>
      <c r="AY158" s="1402"/>
      <c r="AZ158" s="1402"/>
      <c r="BA158" s="1402"/>
      <c r="BB158" s="1402"/>
      <c r="BC158" s="1402"/>
      <c r="BD158" s="1402"/>
      <c r="BE158" s="1402"/>
      <c r="BF158" s="1402"/>
      <c r="BG158" s="1402"/>
      <c r="BH158" s="1402"/>
      <c r="BI158" s="1011"/>
      <c r="BJ158" s="1412">
        <f>IF($W$141=1,BJ155,IF($W$142=1,BJ156,IF($W$143=1,BJ157,0)))</f>
        <v>0</v>
      </c>
      <c r="BK158" s="1412"/>
      <c r="BL158" s="1412"/>
      <c r="BM158" s="1412"/>
      <c r="BN158" s="1412"/>
      <c r="BO158" s="1067"/>
      <c r="BP158" s="1402" t="str">
        <f>IF($W$141=1,BP155,IF($W$142=1,BP156,IF($W$143=1,BP157,0)))</f>
        <v>manuelle Eingabe</v>
      </c>
      <c r="BQ158" s="1402"/>
      <c r="BR158" s="1402"/>
      <c r="BS158" s="1402"/>
      <c r="BT158" s="1402"/>
      <c r="BU158" s="1402"/>
      <c r="BV158" s="1402"/>
      <c r="BW158" s="97"/>
      <c r="BX158" s="1402" t="str">
        <f>IF($AH$48=$D$120,BX155,IF($D$107=$AC$100,BX156,IF($D$107=$U$100,BX157,"")))</f>
        <v/>
      </c>
      <c r="BY158" s="1402"/>
      <c r="BZ158" s="1402"/>
      <c r="CA158" s="1402"/>
      <c r="CB158" s="1402"/>
      <c r="CC158" s="1402"/>
      <c r="CD158" s="1402"/>
    </row>
    <row r="159" spans="4:90" hidden="1" outlineLevel="1"/>
    <row r="160" spans="4:90" hidden="1" outlineLevel="1"/>
    <row r="161" spans="4:88" s="882" customFormat="1" ht="17.100000000000001" hidden="1" customHeight="1" outlineLevel="1">
      <c r="D161" s="1021"/>
      <c r="E161" s="1021"/>
      <c r="F161" s="1021"/>
      <c r="G161" s="1021"/>
      <c r="H161" s="1021"/>
      <c r="I161" s="1021"/>
      <c r="J161" s="1021"/>
      <c r="K161" s="1021"/>
      <c r="L161" s="1021"/>
      <c r="M161" s="1021"/>
      <c r="N161" s="1021"/>
      <c r="O161" s="1021"/>
      <c r="P161" s="1021"/>
      <c r="Q161" s="1021"/>
      <c r="R161" s="1021"/>
      <c r="S161" s="1184" t="s">
        <v>260</v>
      </c>
      <c r="T161" s="1185"/>
      <c r="U161" s="1185"/>
      <c r="V161" s="1185"/>
      <c r="W161" s="1185"/>
      <c r="X161" s="1021"/>
      <c r="Y161" s="1018" t="s">
        <v>261</v>
      </c>
      <c r="Z161" s="1021"/>
      <c r="AA161" s="1021"/>
      <c r="AB161" s="1021"/>
      <c r="AC161" s="1021"/>
      <c r="AD161" s="1021"/>
      <c r="AE161" s="1021"/>
      <c r="AF161" s="1021"/>
      <c r="AG161" s="1021"/>
      <c r="AH161" s="1021"/>
      <c r="AI161" s="1021"/>
      <c r="AJ161" s="1021"/>
      <c r="AK161" s="1021"/>
      <c r="AL161" s="1021"/>
      <c r="AM161" s="1021"/>
      <c r="AN161" s="1021"/>
      <c r="AO161" s="1021"/>
      <c r="AP161" s="1021"/>
      <c r="AQ161" s="1021"/>
      <c r="AR161" s="1021"/>
      <c r="AS161" s="1021"/>
      <c r="AT161" s="1021"/>
      <c r="AU161" s="1021"/>
      <c r="AV161" s="1021"/>
      <c r="AW161" s="1021"/>
      <c r="AX161" s="1021"/>
      <c r="AY161" s="1021"/>
      <c r="AZ161" s="1021"/>
      <c r="BA161" s="1021"/>
      <c r="BB161" s="1021"/>
      <c r="BC161" s="1021"/>
      <c r="BD161" s="1021"/>
      <c r="BE161" s="1022"/>
      <c r="BF161" s="1021"/>
      <c r="BG161" s="1023"/>
      <c r="BH161" s="1021"/>
      <c r="BI161" s="1021"/>
      <c r="BJ161" s="1021" t="str">
        <f>S161</f>
        <v>Kälteleistung Bedarf</v>
      </c>
      <c r="BK161" s="1021"/>
      <c r="BL161" s="1021"/>
      <c r="BM161" s="1021"/>
      <c r="BN161" s="1021"/>
      <c r="BO161" s="1021"/>
      <c r="BP161" s="1021" t="str">
        <f>Y161</f>
        <v>Kälteleistung installiert</v>
      </c>
      <c r="BQ161" s="1021"/>
      <c r="BR161" s="1021"/>
      <c r="BS161" s="1021"/>
      <c r="BT161" s="1021"/>
      <c r="BU161" s="1021"/>
      <c r="BV161" s="1021"/>
      <c r="BW161" s="1021"/>
      <c r="BX161" s="1021"/>
      <c r="BY161" s="1021"/>
      <c r="BZ161" s="1023"/>
      <c r="CA161" s="1023"/>
      <c r="CB161" s="1023"/>
      <c r="CC161" s="1023"/>
      <c r="CD161" s="1023"/>
    </row>
    <row r="162" spans="4:88" ht="17.100000000000001" hidden="1" customHeight="1" outlineLevel="1">
      <c r="D162" s="36" t="str">
        <f>X!$C$175</f>
        <v>manuelle Eingabe</v>
      </c>
      <c r="E162" s="36"/>
      <c r="F162" s="36"/>
      <c r="G162" s="36"/>
      <c r="H162" s="36"/>
      <c r="I162" s="36"/>
      <c r="J162" s="36"/>
      <c r="K162" s="36"/>
      <c r="L162" s="36"/>
      <c r="M162" s="36"/>
      <c r="N162" s="36"/>
      <c r="O162" s="36" t="s">
        <v>106</v>
      </c>
      <c r="P162" s="36"/>
      <c r="Q162" s="36"/>
      <c r="R162" s="36"/>
      <c r="S162" s="1405">
        <v>0</v>
      </c>
      <c r="T162" s="1405"/>
      <c r="U162" s="1405"/>
      <c r="V162" s="1405"/>
      <c r="W162" s="1405"/>
      <c r="X162" s="1068"/>
      <c r="Y162" s="1407">
        <v>0</v>
      </c>
      <c r="Z162" s="1407"/>
      <c r="AA162" s="1407"/>
      <c r="AB162" s="1407"/>
      <c r="AC162" s="1407"/>
      <c r="AD162" s="1407"/>
      <c r="AE162" s="1407"/>
      <c r="AF162" s="1068"/>
      <c r="AG162" s="1068"/>
      <c r="AH162" s="1068"/>
      <c r="AI162" s="1068"/>
      <c r="AJ162" s="1068"/>
      <c r="AK162" s="1068"/>
      <c r="AL162" s="1068"/>
      <c r="AM162" s="1068"/>
      <c r="AN162" s="1068"/>
      <c r="AO162" s="1068"/>
      <c r="AP162" s="1068"/>
      <c r="AQ162" s="1068"/>
      <c r="AR162" s="1068"/>
      <c r="AS162" s="1068"/>
      <c r="AT162" s="1068"/>
      <c r="AU162" s="1068"/>
      <c r="AV162" s="1068"/>
      <c r="AW162" s="77"/>
      <c r="AX162" s="1407"/>
      <c r="AY162" s="1407"/>
      <c r="AZ162" s="1407"/>
      <c r="BA162" s="1407"/>
      <c r="BB162" s="1407"/>
      <c r="BC162" s="1407"/>
      <c r="BD162" s="1407"/>
      <c r="BE162" s="1407"/>
      <c r="BF162" s="1407"/>
      <c r="BG162" s="1407"/>
      <c r="BH162" s="1407"/>
      <c r="BJ162" s="1410">
        <v>0</v>
      </c>
      <c r="BK162" s="1410"/>
      <c r="BL162" s="1410"/>
      <c r="BM162" s="1410"/>
      <c r="BN162" s="1410"/>
      <c r="BO162" s="1068"/>
      <c r="BP162" s="1407">
        <v>0</v>
      </c>
      <c r="BQ162" s="1407"/>
      <c r="BR162" s="1407"/>
      <c r="BS162" s="1407"/>
      <c r="BT162" s="1407"/>
      <c r="BU162" s="1407"/>
      <c r="BV162" s="1407"/>
      <c r="BW162" s="77"/>
      <c r="BX162" s="1407"/>
      <c r="BY162" s="1407"/>
      <c r="BZ162" s="1407"/>
      <c r="CA162" s="1407"/>
      <c r="CB162" s="1407"/>
      <c r="CC162" s="1407"/>
      <c r="CD162" s="1407"/>
    </row>
    <row r="163" spans="4:88" ht="17.100000000000001" hidden="1" customHeight="1" outlineLevel="1">
      <c r="D163" s="82" t="s">
        <v>1009</v>
      </c>
      <c r="E163" s="36"/>
      <c r="F163" s="36"/>
      <c r="G163" s="36"/>
      <c r="H163" s="36"/>
      <c r="I163" s="36"/>
      <c r="J163" s="36"/>
      <c r="K163" s="36"/>
      <c r="L163" s="36"/>
      <c r="M163" s="36"/>
      <c r="N163" s="36"/>
      <c r="O163" s="36" t="s">
        <v>106</v>
      </c>
      <c r="P163" s="36"/>
      <c r="Q163" s="36"/>
      <c r="R163" s="36"/>
      <c r="S163" s="1405">
        <f>'2A Electricity regular'!S25</f>
        <v>0</v>
      </c>
      <c r="T163" s="1405"/>
      <c r="U163" s="1405"/>
      <c r="V163" s="1405"/>
      <c r="W163" s="1405"/>
      <c r="X163" s="963"/>
      <c r="Y163" s="1441">
        <f>'2A Electricity regular'!AI311</f>
        <v>0</v>
      </c>
      <c r="Z163" s="1441"/>
      <c r="AA163" s="1441"/>
      <c r="AB163" s="1441"/>
      <c r="AC163" s="1441"/>
      <c r="AD163" s="1441"/>
      <c r="AE163" s="1441"/>
      <c r="AF163" s="962"/>
      <c r="AG163" s="962"/>
      <c r="AH163" s="962"/>
      <c r="AI163" s="962"/>
      <c r="AJ163" s="962"/>
      <c r="AK163" s="962"/>
      <c r="AL163" s="962"/>
      <c r="AM163" s="962"/>
      <c r="AN163" s="962"/>
      <c r="AO163" s="962"/>
      <c r="AP163" s="962"/>
      <c r="AQ163" s="962"/>
      <c r="AR163" s="962"/>
      <c r="AS163" s="962"/>
      <c r="AT163" s="962"/>
      <c r="AU163" s="962"/>
      <c r="AV163" s="962"/>
      <c r="AW163" s="77"/>
      <c r="AX163" s="77"/>
      <c r="AY163" s="77"/>
      <c r="AZ163" s="77"/>
      <c r="BA163" s="77"/>
      <c r="BB163" s="77"/>
      <c r="BC163" s="77"/>
      <c r="BD163" s="77"/>
      <c r="BE163" s="77"/>
      <c r="BF163" s="77"/>
      <c r="BG163" s="77"/>
      <c r="BH163" s="77"/>
      <c r="BI163" s="52"/>
      <c r="BJ163" s="1430">
        <f>S163</f>
        <v>0</v>
      </c>
      <c r="BK163" s="1430"/>
      <c r="BL163" s="1430"/>
      <c r="BM163" s="1430"/>
      <c r="BN163" s="1430"/>
      <c r="BO163" s="963"/>
      <c r="BP163" s="1441">
        <f>'2A Electricity regular'!BG311</f>
        <v>0</v>
      </c>
      <c r="BQ163" s="1441"/>
      <c r="BR163" s="1441"/>
      <c r="BS163" s="1441"/>
      <c r="BT163" s="1441"/>
      <c r="BU163" s="1441"/>
      <c r="BV163" s="1441"/>
      <c r="BW163" s="77"/>
      <c r="BX163" s="1407"/>
      <c r="BY163" s="1407"/>
      <c r="BZ163" s="1407"/>
      <c r="CA163" s="1407"/>
      <c r="CB163" s="1407"/>
      <c r="CC163" s="1407"/>
      <c r="CD163" s="1407"/>
    </row>
    <row r="164" spans="4:88" ht="17.100000000000001" hidden="1" customHeight="1" outlineLevel="1">
      <c r="D164" s="31" t="s">
        <v>1010</v>
      </c>
      <c r="E164" s="82"/>
      <c r="F164" s="82"/>
      <c r="G164" s="82"/>
      <c r="H164" s="82"/>
      <c r="I164" s="82"/>
      <c r="J164" s="82"/>
      <c r="K164" s="82"/>
      <c r="L164" s="82"/>
      <c r="M164" s="82"/>
      <c r="N164" s="82"/>
      <c r="O164" s="36" t="s">
        <v>106</v>
      </c>
      <c r="P164" s="82"/>
      <c r="Q164" s="82"/>
      <c r="R164" s="82"/>
      <c r="S164" s="1405">
        <f>'2B Electricity simplified'!S27</f>
        <v>0</v>
      </c>
      <c r="T164" s="1405"/>
      <c r="U164" s="1405"/>
      <c r="V164" s="1405"/>
      <c r="W164" s="1405"/>
      <c r="X164" s="96"/>
      <c r="Y164" s="1407">
        <f>'2B Electricity simplified'!S53</f>
        <v>0</v>
      </c>
      <c r="Z164" s="1407"/>
      <c r="AA164" s="1407"/>
      <c r="AB164" s="1407"/>
      <c r="AC164" s="1407"/>
      <c r="AD164" s="1407"/>
      <c r="AE164" s="1407"/>
      <c r="AF164" s="615"/>
      <c r="AG164" s="615"/>
      <c r="AH164" s="615"/>
      <c r="AI164" s="615"/>
      <c r="AJ164" s="615"/>
      <c r="AK164" s="615"/>
      <c r="AL164" s="615"/>
      <c r="AM164" s="615"/>
      <c r="AN164" s="615"/>
      <c r="AO164" s="615"/>
      <c r="AP164" s="615"/>
      <c r="AQ164" s="615"/>
      <c r="AR164" s="615"/>
      <c r="AS164" s="615"/>
      <c r="AT164" s="615"/>
      <c r="AU164" s="615"/>
      <c r="AV164" s="615"/>
      <c r="AW164" s="77"/>
      <c r="AX164" s="83"/>
      <c r="AY164" s="83"/>
      <c r="AZ164" s="83"/>
      <c r="BA164" s="83"/>
      <c r="BB164" s="83"/>
      <c r="BC164" s="83"/>
      <c r="BD164" s="83"/>
      <c r="BE164" s="83"/>
      <c r="BF164" s="83"/>
      <c r="BG164" s="83"/>
      <c r="BH164" s="83"/>
      <c r="BJ164" s="1410">
        <f>S164</f>
        <v>0</v>
      </c>
      <c r="BK164" s="1410"/>
      <c r="BL164" s="1410"/>
      <c r="BM164" s="1410"/>
      <c r="BN164" s="1410"/>
      <c r="BO164" s="96"/>
      <c r="BP164" s="1407">
        <f>'2B Electricity simplified'!AQ53</f>
        <v>0</v>
      </c>
      <c r="BQ164" s="1407"/>
      <c r="BR164" s="1407"/>
      <c r="BS164" s="1407"/>
      <c r="BT164" s="1407"/>
      <c r="BU164" s="1407"/>
      <c r="BV164" s="1407"/>
      <c r="BW164" s="77"/>
      <c r="BX164" s="96"/>
      <c r="BY164" s="96"/>
      <c r="BZ164" s="96"/>
      <c r="CA164" s="96"/>
      <c r="CB164" s="96"/>
      <c r="CC164" s="96"/>
      <c r="CD164" s="96"/>
    </row>
    <row r="165" spans="4:88" s="52" customFormat="1" ht="17.100000000000001" hidden="1" customHeight="1" outlineLevel="1">
      <c r="D165" s="1402"/>
      <c r="E165" s="1402"/>
      <c r="F165" s="1402"/>
      <c r="G165" s="1402"/>
      <c r="H165" s="1402"/>
      <c r="I165" s="1402"/>
      <c r="J165" s="1402"/>
      <c r="K165" s="85"/>
      <c r="L165" s="85"/>
      <c r="M165" s="85"/>
      <c r="N165" s="85"/>
      <c r="O165" s="85" t="s">
        <v>22</v>
      </c>
      <c r="P165" s="85"/>
      <c r="Q165" s="85"/>
      <c r="R165" s="85"/>
      <c r="S165" s="1403">
        <f>IF($W$141=1,S162,IF($W$142=1,S163,IF($W$143=1,S164,0)))</f>
        <v>0</v>
      </c>
      <c r="T165" s="1403"/>
      <c r="U165" s="1403"/>
      <c r="V165" s="1403"/>
      <c r="W165" s="1403"/>
      <c r="X165" s="1067"/>
      <c r="Y165" s="1429">
        <f>IF($W$141=1,Y162,IF($W$142=1,Y163,IF($W$143=1,Y164,0)))</f>
        <v>0</v>
      </c>
      <c r="Z165" s="1429"/>
      <c r="AA165" s="1429"/>
      <c r="AB165" s="1429"/>
      <c r="AC165" s="1429"/>
      <c r="AD165" s="1429"/>
      <c r="AE165" s="1429"/>
      <c r="AF165" s="961"/>
      <c r="AG165" s="961"/>
      <c r="AH165" s="961"/>
      <c r="AI165" s="961"/>
      <c r="AJ165" s="961"/>
      <c r="AK165" s="961"/>
      <c r="AL165" s="961"/>
      <c r="AM165" s="961"/>
      <c r="AN165" s="961"/>
      <c r="AO165" s="961"/>
      <c r="AP165" s="961"/>
      <c r="AQ165" s="961"/>
      <c r="AR165" s="961"/>
      <c r="AS165" s="961"/>
      <c r="AT165" s="961"/>
      <c r="AU165" s="961"/>
      <c r="AV165" s="961"/>
      <c r="AW165" s="97"/>
      <c r="AX165" s="97"/>
      <c r="AY165" s="97"/>
      <c r="AZ165" s="97"/>
      <c r="BA165" s="97"/>
      <c r="BB165" s="97"/>
      <c r="BC165" s="97"/>
      <c r="BD165" s="97"/>
      <c r="BE165" s="97"/>
      <c r="BF165" s="97"/>
      <c r="BG165" s="97"/>
      <c r="BH165" s="97"/>
      <c r="BI165" s="1011"/>
      <c r="BJ165" s="1412">
        <f>IF($W$141=1,BJ162,IF($W$142=1,BJ163,IF($W$143=1,BJ164,0)))</f>
        <v>0</v>
      </c>
      <c r="BK165" s="1412"/>
      <c r="BL165" s="1412"/>
      <c r="BM165" s="1412"/>
      <c r="BN165" s="1412"/>
      <c r="BO165" s="1067"/>
      <c r="BP165" s="1429">
        <f>IF($W$141=1,BP162,IF($W$142=1,BP163,IF($W$143=1,BP164,0)))</f>
        <v>0</v>
      </c>
      <c r="BQ165" s="1429"/>
      <c r="BR165" s="1429"/>
      <c r="BS165" s="1429"/>
      <c r="BT165" s="1429"/>
      <c r="BU165" s="1429"/>
      <c r="BV165" s="1429"/>
      <c r="BW165" s="97"/>
      <c r="BX165" s="1402"/>
      <c r="BY165" s="1402"/>
      <c r="BZ165" s="1402"/>
      <c r="CA165" s="1402"/>
      <c r="CB165" s="1402"/>
      <c r="CC165" s="1402"/>
      <c r="CD165" s="1402"/>
    </row>
    <row r="166" spans="4:88" hidden="1" outlineLevel="1"/>
    <row r="167" spans="4:88" hidden="1" outlineLevel="1"/>
    <row r="168" spans="4:88" s="882" customFormat="1" ht="17.100000000000001" hidden="1" customHeight="1" outlineLevel="1">
      <c r="D168" s="1017" t="s">
        <v>987</v>
      </c>
      <c r="E168" s="1017"/>
      <c r="F168" s="1017"/>
      <c r="G168" s="1017"/>
      <c r="H168" s="1017"/>
      <c r="I168" s="1017"/>
      <c r="J168" s="1017"/>
      <c r="K168" s="1017"/>
      <c r="L168" s="1017"/>
      <c r="M168" s="1017"/>
      <c r="N168" s="1017"/>
      <c r="O168" s="1017"/>
      <c r="P168" s="1017"/>
      <c r="Q168" s="1017"/>
      <c r="R168" s="1017"/>
      <c r="S168" s="1017" t="s">
        <v>1043</v>
      </c>
      <c r="T168" s="1017"/>
      <c r="U168" s="1017"/>
      <c r="V168" s="1017"/>
      <c r="W168" s="1017"/>
      <c r="X168" s="1017"/>
      <c r="Y168" s="1017"/>
      <c r="Z168" s="1017" t="s">
        <v>1044</v>
      </c>
      <c r="AA168" s="1017"/>
      <c r="AB168" s="1017"/>
      <c r="AC168" s="1017"/>
      <c r="AD168" s="1017"/>
      <c r="AE168" s="1017"/>
      <c r="AF168" s="1017"/>
      <c r="AG168" s="1017" t="s">
        <v>1045</v>
      </c>
      <c r="AH168" s="1017"/>
      <c r="AI168" s="1017"/>
      <c r="AJ168" s="1017"/>
      <c r="AK168" s="1017"/>
      <c r="AL168" s="1017"/>
      <c r="AM168" s="1017"/>
      <c r="AN168" s="1017"/>
      <c r="AO168" s="1017"/>
      <c r="AP168" s="1017"/>
      <c r="AQ168" s="1017"/>
      <c r="AR168" s="1017"/>
      <c r="AS168" s="1017"/>
      <c r="AT168" s="1017"/>
      <c r="AU168" s="1017"/>
      <c r="AV168" s="1017"/>
      <c r="AW168" s="1017"/>
      <c r="AX168" s="1017"/>
      <c r="AY168" s="1019"/>
      <c r="AZ168" s="1017"/>
      <c r="BA168" s="1020"/>
      <c r="BB168" s="1017"/>
      <c r="BI168" s="1017"/>
      <c r="BJ168" s="1017" t="str">
        <f>S168</f>
        <v>Faktor Kälte</v>
      </c>
      <c r="BK168" s="1017"/>
      <c r="BL168" s="1017"/>
      <c r="BM168" s="1017"/>
      <c r="BN168" s="1017"/>
      <c r="BO168" s="1017"/>
      <c r="BP168" s="1017"/>
      <c r="BQ168" s="1017" t="s">
        <v>1044</v>
      </c>
      <c r="BR168" s="1017"/>
      <c r="BS168" s="1017"/>
      <c r="BT168" s="1017"/>
      <c r="BU168" s="1017"/>
      <c r="BV168" s="1017"/>
      <c r="BW168" s="1017"/>
      <c r="BX168" s="1017" t="s">
        <v>1045</v>
      </c>
      <c r="BY168" s="1017"/>
      <c r="BZ168" s="1017"/>
      <c r="CA168" s="1017"/>
      <c r="CB168" s="1017"/>
      <c r="CC168" s="1017"/>
      <c r="CD168" s="1017"/>
    </row>
    <row r="169" spans="4:88" ht="17.100000000000001" hidden="1" customHeight="1" outlineLevel="1">
      <c r="D169" s="36" t="str">
        <f>X!$C$175</f>
        <v>manuelle Eingabe</v>
      </c>
      <c r="E169" s="36"/>
      <c r="F169" s="36"/>
      <c r="G169" s="36"/>
      <c r="H169" s="36"/>
      <c r="I169" s="36"/>
      <c r="J169" s="36"/>
      <c r="K169" s="36"/>
      <c r="L169" s="36"/>
      <c r="M169" s="36"/>
      <c r="N169" s="36"/>
      <c r="O169" s="36" t="s">
        <v>22</v>
      </c>
      <c r="P169" s="36"/>
      <c r="Q169" s="36"/>
      <c r="R169" s="36"/>
      <c r="S169" s="1407">
        <v>0</v>
      </c>
      <c r="T169" s="1407"/>
      <c r="U169" s="1407"/>
      <c r="V169" s="1407"/>
      <c r="W169" s="1407"/>
      <c r="X169" s="1407"/>
      <c r="Y169" s="1407"/>
      <c r="Z169" s="1406">
        <f>'2A Electricity regular'!S269</f>
        <v>0</v>
      </c>
      <c r="AA169" s="1406"/>
      <c r="AB169" s="1406"/>
      <c r="AC169" s="1406"/>
      <c r="AD169" s="1406"/>
      <c r="AE169" s="1406"/>
      <c r="AF169" s="1406"/>
      <c r="AG169" s="1406">
        <f>'2A Electricity regular'!S275</f>
        <v>0</v>
      </c>
      <c r="AH169" s="1406"/>
      <c r="AI169" s="1406"/>
      <c r="AJ169" s="1406"/>
      <c r="AK169" s="1406"/>
      <c r="AL169" s="1406"/>
      <c r="AM169" s="1406"/>
      <c r="AN169" s="1068"/>
      <c r="AO169" s="1068"/>
      <c r="AP169" s="1068"/>
      <c r="AQ169" s="77"/>
      <c r="AR169" s="1068"/>
      <c r="AS169" s="1068"/>
      <c r="AT169" s="1068"/>
      <c r="AU169" s="1068"/>
      <c r="AV169" s="1068"/>
      <c r="AW169" s="1068"/>
      <c r="AX169" s="1068"/>
      <c r="AY169" s="1068"/>
      <c r="AZ169" s="1068"/>
      <c r="BA169" s="1068"/>
      <c r="BB169" s="1068"/>
      <c r="BI169" s="1068"/>
      <c r="BJ169" s="1407">
        <v>0</v>
      </c>
      <c r="BK169" s="1407"/>
      <c r="BL169" s="1407"/>
      <c r="BM169" s="1407"/>
      <c r="BN169" s="1407"/>
      <c r="BO169" s="1407"/>
      <c r="BP169" s="1407"/>
      <c r="BQ169" s="1406">
        <f>'2A Electricity regular'!BJ269</f>
        <v>0</v>
      </c>
      <c r="BR169" s="1406"/>
      <c r="BS169" s="1406"/>
      <c r="BT169" s="1406"/>
      <c r="BU169" s="1406"/>
      <c r="BV169" s="1406"/>
      <c r="BW169" s="1406"/>
      <c r="BX169" s="1406">
        <f>'2A Electricity regular'!BJ275</f>
        <v>0</v>
      </c>
      <c r="BY169" s="1406"/>
      <c r="BZ169" s="1406"/>
      <c r="CA169" s="1406"/>
      <c r="CB169" s="1406"/>
      <c r="CC169" s="1406"/>
      <c r="CD169" s="1406"/>
    </row>
    <row r="170" spans="4:88" ht="17.100000000000001" hidden="1" customHeight="1" outlineLevel="1">
      <c r="D170" s="82" t="s">
        <v>1009</v>
      </c>
      <c r="E170" s="36"/>
      <c r="F170" s="36"/>
      <c r="G170" s="36"/>
      <c r="H170" s="36"/>
      <c r="I170" s="36"/>
      <c r="J170" s="36"/>
      <c r="K170" s="36"/>
      <c r="L170" s="36"/>
      <c r="M170" s="36"/>
      <c r="N170" s="36"/>
      <c r="O170" s="36" t="s">
        <v>22</v>
      </c>
      <c r="P170" s="36"/>
      <c r="Q170" s="36"/>
      <c r="R170" s="36"/>
      <c r="S170" s="1406">
        <f>'2A Electricity regular'!S264</f>
        <v>0</v>
      </c>
      <c r="T170" s="1406"/>
      <c r="U170" s="1406"/>
      <c r="V170" s="1406"/>
      <c r="W170" s="1406"/>
      <c r="X170" s="1406"/>
      <c r="Y170" s="1406"/>
      <c r="Z170" s="1406">
        <f>'2A Electricity regular'!S270</f>
        <v>0</v>
      </c>
      <c r="AA170" s="1406"/>
      <c r="AB170" s="1406"/>
      <c r="AC170" s="1406"/>
      <c r="AD170" s="1406"/>
      <c r="AE170" s="1406"/>
      <c r="AF170" s="1406"/>
      <c r="AG170" s="1406">
        <f>'2A Electricity regular'!S276</f>
        <v>0</v>
      </c>
      <c r="AH170" s="1406"/>
      <c r="AI170" s="1406"/>
      <c r="AJ170" s="1406"/>
      <c r="AK170" s="1406"/>
      <c r="AL170" s="1406"/>
      <c r="AM170" s="1406"/>
      <c r="AN170" s="1069"/>
      <c r="AO170" s="1069"/>
      <c r="AP170" s="1069"/>
      <c r="AQ170" s="77"/>
      <c r="AR170" s="77"/>
      <c r="AS170" s="77"/>
      <c r="AT170" s="77"/>
      <c r="AU170" s="77"/>
      <c r="AV170" s="77"/>
      <c r="AW170" s="77"/>
      <c r="AX170" s="77"/>
      <c r="AY170" s="77"/>
      <c r="AZ170" s="77"/>
      <c r="BA170" s="77"/>
      <c r="BB170" s="77"/>
      <c r="BI170" s="1068"/>
      <c r="BJ170" s="1409">
        <f>'2A Electricity regular'!AQ264</f>
        <v>0</v>
      </c>
      <c r="BK170" s="1409"/>
      <c r="BL170" s="1409"/>
      <c r="BM170" s="1409"/>
      <c r="BN170" s="1409"/>
      <c r="BO170" s="1409"/>
      <c r="BP170" s="1409"/>
      <c r="BQ170" s="1409">
        <f>'2A Electricity regular'!AQ270</f>
        <v>0</v>
      </c>
      <c r="BR170" s="1409"/>
      <c r="BS170" s="1409"/>
      <c r="BT170" s="1409"/>
      <c r="BU170" s="1409"/>
      <c r="BV170" s="1409"/>
      <c r="BW170" s="1409"/>
      <c r="BX170" s="1409">
        <f>'2A Electricity regular'!AQ276</f>
        <v>0</v>
      </c>
      <c r="BY170" s="1409"/>
      <c r="BZ170" s="1409"/>
      <c r="CA170" s="1409"/>
      <c r="CB170" s="1409"/>
      <c r="CC170" s="1409"/>
      <c r="CD170" s="1409"/>
    </row>
    <row r="171" spans="4:88" ht="17.100000000000001" hidden="1" customHeight="1" outlineLevel="1">
      <c r="D171" s="31" t="s">
        <v>1010</v>
      </c>
      <c r="E171" s="82"/>
      <c r="F171" s="82"/>
      <c r="G171" s="82"/>
      <c r="H171" s="82"/>
      <c r="I171" s="82"/>
      <c r="J171" s="82"/>
      <c r="K171" s="82"/>
      <c r="L171" s="82"/>
      <c r="M171" s="82"/>
      <c r="N171" s="82"/>
      <c r="O171" s="36" t="s">
        <v>22</v>
      </c>
      <c r="P171" s="82"/>
      <c r="Q171" s="82"/>
      <c r="R171" s="82"/>
      <c r="S171" s="1406">
        <f>'2B Electricity simplified'!AI156</f>
        <v>0</v>
      </c>
      <c r="T171" s="1406"/>
      <c r="U171" s="1406"/>
      <c r="V171" s="1406"/>
      <c r="W171" s="1406"/>
      <c r="X171" s="1406"/>
      <c r="Y171" s="1406"/>
      <c r="Z171" s="1406">
        <f>'2B Electricity simplified'!AP156</f>
        <v>0</v>
      </c>
      <c r="AA171" s="1406"/>
      <c r="AB171" s="1406"/>
      <c r="AC171" s="1406"/>
      <c r="AD171" s="1406"/>
      <c r="AE171" s="1406"/>
      <c r="AF171" s="1406"/>
      <c r="AG171" s="1406">
        <f>S171</f>
        <v>0</v>
      </c>
      <c r="AH171" s="1406"/>
      <c r="AI171" s="1406"/>
      <c r="AJ171" s="1406"/>
      <c r="AK171" s="1406"/>
      <c r="AL171" s="1406"/>
      <c r="AM171" s="1406"/>
      <c r="AN171" s="1069"/>
      <c r="AO171" s="1069"/>
      <c r="AP171" s="1069"/>
      <c r="AQ171" s="77"/>
      <c r="AR171" s="83"/>
      <c r="AS171" s="83"/>
      <c r="AT171" s="83"/>
      <c r="AU171" s="83"/>
      <c r="AV171" s="83"/>
      <c r="AW171" s="83"/>
      <c r="AX171" s="83"/>
      <c r="AY171" s="83"/>
      <c r="AZ171" s="83"/>
      <c r="BA171" s="83"/>
      <c r="BB171" s="83"/>
      <c r="BI171" s="1068"/>
      <c r="BJ171" s="1409">
        <f>'2B Electricity simplified'!BG156</f>
        <v>0</v>
      </c>
      <c r="BK171" s="1409"/>
      <c r="BL171" s="1409"/>
      <c r="BM171" s="1409"/>
      <c r="BN171" s="1409"/>
      <c r="BO171" s="1409"/>
      <c r="BP171" s="1409"/>
      <c r="BQ171" s="1409">
        <f>'2B Electricity simplified'!CG156</f>
        <v>0</v>
      </c>
      <c r="BR171" s="1409"/>
      <c r="BS171" s="1409"/>
      <c r="BT171" s="1409"/>
      <c r="BU171" s="1409"/>
      <c r="BV171" s="1409"/>
      <c r="BW171" s="1409"/>
      <c r="BX171" s="1409">
        <f>BJ171</f>
        <v>0</v>
      </c>
      <c r="BY171" s="1409"/>
      <c r="BZ171" s="1409"/>
      <c r="CA171" s="1409"/>
      <c r="CB171" s="1409"/>
      <c r="CC171" s="1409"/>
      <c r="CD171" s="1409"/>
    </row>
    <row r="172" spans="4:88" s="52" customFormat="1" ht="17.100000000000001" hidden="1" customHeight="1" outlineLevel="1">
      <c r="D172" s="1402"/>
      <c r="E172" s="1402"/>
      <c r="F172" s="1402"/>
      <c r="G172" s="1402"/>
      <c r="H172" s="1402"/>
      <c r="I172" s="1402"/>
      <c r="J172" s="1402"/>
      <c r="K172" s="85"/>
      <c r="L172" s="85"/>
      <c r="M172" s="85"/>
      <c r="N172" s="85"/>
      <c r="O172" s="85" t="s">
        <v>22</v>
      </c>
      <c r="P172" s="85"/>
      <c r="Q172" s="85"/>
      <c r="R172" s="85"/>
      <c r="S172" s="1404">
        <f>IF($W$141=1,S169,IF($W$142=1,S170,IF($W$143=1,S171,0)))</f>
        <v>0</v>
      </c>
      <c r="T172" s="1404"/>
      <c r="U172" s="1404"/>
      <c r="V172" s="1404"/>
      <c r="W172" s="1404"/>
      <c r="X172" s="1404"/>
      <c r="Y172" s="1404"/>
      <c r="Z172" s="1404">
        <f>IF($W$141=1,Z169,IF($W$142=1,Z170,IF($W$143=1,Z171,0)))</f>
        <v>0</v>
      </c>
      <c r="AA172" s="1404"/>
      <c r="AB172" s="1404"/>
      <c r="AC172" s="1404"/>
      <c r="AD172" s="1404"/>
      <c r="AE172" s="1404"/>
      <c r="AF172" s="1404"/>
      <c r="AG172" s="1404">
        <f>IF($W$141=1,AG169,IF($W$142=1,AG170,IF($W$143=1,AG171,0)))</f>
        <v>0</v>
      </c>
      <c r="AH172" s="1404"/>
      <c r="AI172" s="1404"/>
      <c r="AJ172" s="1404"/>
      <c r="AK172" s="1404"/>
      <c r="AL172" s="1404"/>
      <c r="AM172" s="1404"/>
      <c r="AN172" s="1067"/>
      <c r="AO172" s="1067"/>
      <c r="AP172" s="1067"/>
      <c r="AQ172" s="97"/>
      <c r="AR172" s="97"/>
      <c r="AS172" s="97"/>
      <c r="AT172" s="97"/>
      <c r="AU172" s="97"/>
      <c r="AV172" s="97"/>
      <c r="AW172" s="97"/>
      <c r="AX172" s="97"/>
      <c r="AY172" s="97"/>
      <c r="AZ172" s="97"/>
      <c r="BA172" s="97"/>
      <c r="BB172" s="97"/>
      <c r="BI172" s="1067"/>
      <c r="BJ172" s="1408">
        <f>IF($W$141=1,BJ169,IF($W$142=1,BJ170,IF($W$143=1,BJ171,0)))</f>
        <v>0</v>
      </c>
      <c r="BK172" s="1408"/>
      <c r="BL172" s="1408"/>
      <c r="BM172" s="1408"/>
      <c r="BN172" s="1408"/>
      <c r="BO172" s="1408"/>
      <c r="BP172" s="1408"/>
      <c r="BQ172" s="1408">
        <f>IF($W$141=1,BQ169,IF($W$142=1,BQ170,IF($W$143=1,BQ171,0)))</f>
        <v>0</v>
      </c>
      <c r="BR172" s="1408"/>
      <c r="BS172" s="1408"/>
      <c r="BT172" s="1408"/>
      <c r="BU172" s="1408"/>
      <c r="BV172" s="1408"/>
      <c r="BW172" s="1408"/>
      <c r="BX172" s="1408">
        <f>IF($W$141=1,BX169,IF($W$142=1,BX170,IF($W$143=1,BX171,0)))</f>
        <v>0</v>
      </c>
      <c r="BY172" s="1408"/>
      <c r="BZ172" s="1408"/>
      <c r="CA172" s="1408"/>
      <c r="CB172" s="1408"/>
      <c r="CC172" s="1408"/>
      <c r="CD172" s="1408"/>
    </row>
    <row r="173" spans="4:88" hidden="1" outlineLevel="1"/>
    <row r="174" spans="4:88" hidden="1" outlineLevel="1"/>
    <row r="175" spans="4:88" s="882" customFormat="1" ht="17.100000000000001" hidden="1" customHeight="1" outlineLevel="1">
      <c r="D175" s="1017" t="s">
        <v>987</v>
      </c>
      <c r="E175" s="1017"/>
      <c r="F175" s="1017"/>
      <c r="G175" s="1017"/>
      <c r="H175" s="1017"/>
      <c r="I175" s="1017"/>
      <c r="J175" s="1017"/>
      <c r="K175" s="1017"/>
      <c r="L175" s="1017"/>
      <c r="M175" s="1017"/>
      <c r="N175" s="1017"/>
      <c r="O175" s="1017"/>
      <c r="P175" s="1017"/>
      <c r="Q175" s="1017"/>
      <c r="R175" s="1017"/>
      <c r="S175" s="1186" t="s">
        <v>148</v>
      </c>
      <c r="T175" s="1183"/>
      <c r="U175" s="1183"/>
      <c r="V175" s="1183"/>
      <c r="W175" s="1183"/>
      <c r="X175" s="1017"/>
      <c r="Y175" s="1017" t="s">
        <v>1052</v>
      </c>
      <c r="Z175" s="1017"/>
      <c r="AA175" s="1017"/>
      <c r="AB175" s="1017"/>
      <c r="AC175" s="1017"/>
      <c r="AD175" s="1017"/>
      <c r="AE175" s="1017"/>
      <c r="AF175" s="1017" t="s">
        <v>816</v>
      </c>
      <c r="AG175" s="1017"/>
      <c r="AH175" s="1017"/>
      <c r="AI175" s="1017"/>
      <c r="AJ175" s="1017"/>
      <c r="AK175" s="1017"/>
      <c r="AL175" s="1017"/>
      <c r="AM175" s="1017"/>
      <c r="AN175" s="1017"/>
      <c r="AO175" s="1017"/>
      <c r="AP175" s="1017"/>
      <c r="AQ175" s="1017"/>
      <c r="AR175" s="1017"/>
      <c r="AS175" s="1017"/>
      <c r="AT175" s="1017"/>
      <c r="AU175" s="1017"/>
      <c r="AV175" s="1017"/>
      <c r="AW175" s="1017"/>
      <c r="AX175" s="1017"/>
      <c r="AY175" s="1017"/>
      <c r="AZ175" s="1017"/>
      <c r="BA175" s="1017"/>
      <c r="BB175" s="1017"/>
      <c r="BC175" s="1017"/>
      <c r="BD175" s="1017"/>
      <c r="BE175" s="1019"/>
      <c r="BF175" s="1017"/>
      <c r="BG175" s="1020"/>
      <c r="BH175" s="1017"/>
      <c r="BI175" s="1017"/>
      <c r="BJ175" s="1017" t="str">
        <f>S175</f>
        <v>Kälteeergiebedarf</v>
      </c>
      <c r="BK175" s="1017"/>
      <c r="BL175" s="1017"/>
      <c r="BM175" s="1017"/>
      <c r="BN175" s="1017"/>
      <c r="BO175" s="1017"/>
      <c r="BP175" s="1017" t="s">
        <v>1052</v>
      </c>
      <c r="BQ175" s="1017"/>
      <c r="BR175" s="1017"/>
      <c r="BS175" s="1017"/>
      <c r="BT175" s="1017"/>
      <c r="BU175" s="1017"/>
      <c r="BV175" s="1017"/>
      <c r="BW175" s="1017" t="s">
        <v>816</v>
      </c>
      <c r="BX175" s="1017"/>
      <c r="BY175" s="1017"/>
      <c r="BZ175" s="1017"/>
      <c r="CA175" s="1017"/>
      <c r="CB175" s="1017"/>
      <c r="CC175" s="1017"/>
      <c r="CD175" s="1017"/>
      <c r="CE175" s="1017"/>
      <c r="CF175" s="1017"/>
      <c r="CG175" s="1017"/>
      <c r="CH175" s="1017"/>
      <c r="CI175" s="1017"/>
      <c r="CJ175" s="1017"/>
    </row>
    <row r="176" spans="4:88" ht="17.100000000000001" hidden="1" customHeight="1" outlineLevel="1">
      <c r="D176" s="36" t="str">
        <f>X!$C$175</f>
        <v>manuelle Eingabe</v>
      </c>
      <c r="E176" s="36"/>
      <c r="F176" s="36"/>
      <c r="G176" s="36"/>
      <c r="H176" s="36"/>
      <c r="I176" s="36"/>
      <c r="J176" s="36"/>
      <c r="K176" s="36"/>
      <c r="L176" s="36"/>
      <c r="M176" s="36"/>
      <c r="N176" s="36"/>
      <c r="O176" s="36" t="s">
        <v>22</v>
      </c>
      <c r="P176" s="36"/>
      <c r="Q176" s="36"/>
      <c r="R176" s="36"/>
      <c r="S176" s="1405">
        <f>AH68</f>
        <v>0</v>
      </c>
      <c r="T176" s="1405"/>
      <c r="U176" s="1405"/>
      <c r="V176" s="1405"/>
      <c r="W176" s="1405"/>
      <c r="X176" s="1071"/>
      <c r="Y176" s="1405">
        <v>0</v>
      </c>
      <c r="Z176" s="1405"/>
      <c r="AA176" s="1405"/>
      <c r="AB176" s="1405"/>
      <c r="AC176" s="1405"/>
      <c r="AD176" s="1405"/>
      <c r="AE176" s="1405"/>
      <c r="AF176" s="1405">
        <v>0</v>
      </c>
      <c r="AG176" s="1405"/>
      <c r="AH176" s="1405"/>
      <c r="AI176" s="1405"/>
      <c r="AJ176" s="1405"/>
      <c r="AK176" s="1405"/>
      <c r="AL176" s="1405"/>
      <c r="AM176" s="1406"/>
      <c r="AN176" s="1406"/>
      <c r="AO176" s="1406"/>
      <c r="AP176" s="1406"/>
      <c r="AQ176" s="1406"/>
      <c r="AR176" s="1406"/>
      <c r="AS176" s="1406"/>
      <c r="AT176" s="1068"/>
      <c r="AU176" s="1068"/>
      <c r="AV176" s="1068"/>
      <c r="AW176" s="77"/>
      <c r="AX176" s="1407"/>
      <c r="AY176" s="1407"/>
      <c r="AZ176" s="1407"/>
      <c r="BA176" s="1407"/>
      <c r="BB176" s="1407"/>
      <c r="BC176" s="1407"/>
      <c r="BD176" s="1407"/>
      <c r="BE176" s="1407"/>
      <c r="BF176" s="1407"/>
      <c r="BG176" s="1407"/>
      <c r="BH176" s="1407"/>
      <c r="BJ176" s="1405">
        <f>S176</f>
        <v>0</v>
      </c>
      <c r="BK176" s="1405"/>
      <c r="BL176" s="1405"/>
      <c r="BM176" s="1405"/>
      <c r="BN176" s="1405"/>
      <c r="BO176" s="1071"/>
      <c r="BP176" s="1405">
        <v>0</v>
      </c>
      <c r="BQ176" s="1405"/>
      <c r="BR176" s="1405"/>
      <c r="BS176" s="1405"/>
      <c r="BT176" s="1405"/>
      <c r="BU176" s="1405"/>
      <c r="BV176" s="1405"/>
      <c r="BW176" s="1405">
        <v>0</v>
      </c>
      <c r="BX176" s="1405"/>
      <c r="BY176" s="1405"/>
      <c r="BZ176" s="1405"/>
      <c r="CA176" s="1405"/>
      <c r="CB176" s="1405"/>
      <c r="CC176" s="1405"/>
      <c r="CD176" s="1406"/>
      <c r="CE176" s="1406"/>
      <c r="CF176" s="1406"/>
      <c r="CG176" s="1406"/>
      <c r="CH176" s="1406"/>
      <c r="CI176" s="1406"/>
      <c r="CJ176" s="1406"/>
    </row>
    <row r="177" spans="4:90" ht="17.100000000000001" hidden="1" customHeight="1" outlineLevel="1">
      <c r="D177" s="82" t="s">
        <v>1009</v>
      </c>
      <c r="E177" s="36"/>
      <c r="F177" s="36"/>
      <c r="G177" s="36"/>
      <c r="H177" s="36"/>
      <c r="I177" s="36"/>
      <c r="J177" s="36"/>
      <c r="K177" s="36"/>
      <c r="L177" s="36"/>
      <c r="M177" s="36"/>
      <c r="N177" s="36"/>
      <c r="O177" s="36" t="s">
        <v>22</v>
      </c>
      <c r="P177" s="36"/>
      <c r="Q177" s="36"/>
      <c r="R177" s="36"/>
      <c r="S177" s="1405">
        <f>'2A Electricity regular'!AH373</f>
        <v>0</v>
      </c>
      <c r="T177" s="1405"/>
      <c r="U177" s="1405"/>
      <c r="V177" s="1405"/>
      <c r="W177" s="1405"/>
      <c r="X177" s="1071"/>
      <c r="Y177" s="1405">
        <f>S177-AF177</f>
        <v>0</v>
      </c>
      <c r="Z177" s="1405"/>
      <c r="AA177" s="1405"/>
      <c r="AB177" s="1405"/>
      <c r="AC177" s="1405"/>
      <c r="AD177" s="1405"/>
      <c r="AE177" s="1405"/>
      <c r="AF177" s="1405">
        <f>'2A Electricity regular'!R259</f>
        <v>0</v>
      </c>
      <c r="AG177" s="1405"/>
      <c r="AH177" s="1405"/>
      <c r="AI177" s="1405"/>
      <c r="AJ177" s="1405"/>
      <c r="AK177" s="1405"/>
      <c r="AL177" s="1405"/>
      <c r="AM177" s="1406"/>
      <c r="AN177" s="1406"/>
      <c r="AO177" s="1406"/>
      <c r="AP177" s="1406"/>
      <c r="AQ177" s="1406"/>
      <c r="AR177" s="1406"/>
      <c r="AS177" s="1406"/>
      <c r="AT177" s="1069"/>
      <c r="AU177" s="1069"/>
      <c r="AV177" s="1069"/>
      <c r="AW177" s="77"/>
      <c r="AX177" s="77"/>
      <c r="AY177" s="77"/>
      <c r="AZ177" s="77"/>
      <c r="BA177" s="77"/>
      <c r="BB177" s="77"/>
      <c r="BC177" s="77"/>
      <c r="BD177" s="77"/>
      <c r="BE177" s="77"/>
      <c r="BF177" s="77"/>
      <c r="BG177" s="77"/>
      <c r="BH177" s="77"/>
      <c r="BI177" s="52"/>
      <c r="BJ177" s="1405">
        <f>'2A Electricity regular'!BF373</f>
        <v>0</v>
      </c>
      <c r="BK177" s="1405"/>
      <c r="BL177" s="1405"/>
      <c r="BM177" s="1405"/>
      <c r="BN177" s="1405"/>
      <c r="BO177" s="1071"/>
      <c r="BP177" s="1405">
        <f>BJ177-BW177</f>
        <v>0</v>
      </c>
      <c r="BQ177" s="1405"/>
      <c r="BR177" s="1405"/>
      <c r="BS177" s="1405"/>
      <c r="BT177" s="1405"/>
      <c r="BU177" s="1405"/>
      <c r="BV177" s="1405"/>
      <c r="BW177" s="1405">
        <f>'2A Electricity regular'!AP259</f>
        <v>0</v>
      </c>
      <c r="BX177" s="1405"/>
      <c r="BY177" s="1405"/>
      <c r="BZ177" s="1405"/>
      <c r="CA177" s="1405"/>
      <c r="CB177" s="1405"/>
      <c r="CC177" s="1405"/>
      <c r="CD177" s="1406"/>
      <c r="CE177" s="1406"/>
      <c r="CF177" s="1406"/>
      <c r="CG177" s="1406"/>
      <c r="CH177" s="1406"/>
      <c r="CI177" s="1406"/>
      <c r="CJ177" s="1406"/>
    </row>
    <row r="178" spans="4:90" ht="17.100000000000001" hidden="1" customHeight="1" outlineLevel="1">
      <c r="D178" s="31" t="s">
        <v>1010</v>
      </c>
      <c r="E178" s="82"/>
      <c r="F178" s="82"/>
      <c r="G178" s="82"/>
      <c r="H178" s="82"/>
      <c r="I178" s="82"/>
      <c r="J178" s="82"/>
      <c r="K178" s="82"/>
      <c r="L178" s="82"/>
      <c r="M178" s="82"/>
      <c r="N178" s="82"/>
      <c r="O178" s="36" t="s">
        <v>22</v>
      </c>
      <c r="P178" s="82"/>
      <c r="Q178" s="82"/>
      <c r="R178" s="82"/>
      <c r="S178" s="1405">
        <f>'2B Electricity simplified'!AI153</f>
        <v>0</v>
      </c>
      <c r="T178" s="1405"/>
      <c r="U178" s="1405"/>
      <c r="V178" s="1405"/>
      <c r="W178" s="1405"/>
      <c r="X178" s="1071"/>
      <c r="Y178" s="1405">
        <f>S178</f>
        <v>0</v>
      </c>
      <c r="Z178" s="1405"/>
      <c r="AA178" s="1405"/>
      <c r="AB178" s="1405"/>
      <c r="AC178" s="1405"/>
      <c r="AD178" s="1405"/>
      <c r="AE178" s="1405"/>
      <c r="AF178" s="1405">
        <v>0</v>
      </c>
      <c r="AG178" s="1405"/>
      <c r="AH178" s="1405"/>
      <c r="AI178" s="1405"/>
      <c r="AJ178" s="1405"/>
      <c r="AK178" s="1405"/>
      <c r="AL178" s="1405"/>
      <c r="AM178" s="1406"/>
      <c r="AN178" s="1406"/>
      <c r="AO178" s="1406"/>
      <c r="AP178" s="1406"/>
      <c r="AQ178" s="1406"/>
      <c r="AR178" s="1406"/>
      <c r="AS178" s="1406"/>
      <c r="AT178" s="1069"/>
      <c r="AU178" s="1069"/>
      <c r="AV178" s="1069"/>
      <c r="AW178" s="77"/>
      <c r="AX178" s="83"/>
      <c r="AY178" s="83"/>
      <c r="AZ178" s="83"/>
      <c r="BA178" s="83"/>
      <c r="BB178" s="83"/>
      <c r="BC178" s="83"/>
      <c r="BD178" s="83"/>
      <c r="BE178" s="83"/>
      <c r="BF178" s="83"/>
      <c r="BG178" s="83"/>
      <c r="BH178" s="83"/>
      <c r="BJ178" s="1405">
        <f>'2B Electricity simplified'!BG153</f>
        <v>0</v>
      </c>
      <c r="BK178" s="1405"/>
      <c r="BL178" s="1405"/>
      <c r="BM178" s="1405"/>
      <c r="BN178" s="1405"/>
      <c r="BO178" s="1071"/>
      <c r="BP178" s="1405">
        <f>BJ178</f>
        <v>0</v>
      </c>
      <c r="BQ178" s="1405"/>
      <c r="BR178" s="1405"/>
      <c r="BS178" s="1405"/>
      <c r="BT178" s="1405"/>
      <c r="BU178" s="1405"/>
      <c r="BV178" s="1405"/>
      <c r="BW178" s="1405">
        <v>0</v>
      </c>
      <c r="BX178" s="1405"/>
      <c r="BY178" s="1405"/>
      <c r="BZ178" s="1405"/>
      <c r="CA178" s="1405"/>
      <c r="CB178" s="1405"/>
      <c r="CC178" s="1405"/>
      <c r="CD178" s="1406"/>
      <c r="CE178" s="1406"/>
      <c r="CF178" s="1406"/>
      <c r="CG178" s="1406"/>
      <c r="CH178" s="1406"/>
      <c r="CI178" s="1406"/>
      <c r="CJ178" s="1406"/>
    </row>
    <row r="179" spans="4:90" s="52" customFormat="1" ht="17.100000000000001" hidden="1" customHeight="1" outlineLevel="1">
      <c r="D179" s="1402"/>
      <c r="E179" s="1402"/>
      <c r="F179" s="1402"/>
      <c r="G179" s="1402"/>
      <c r="H179" s="1402"/>
      <c r="I179" s="1402"/>
      <c r="J179" s="1402"/>
      <c r="K179" s="85"/>
      <c r="L179" s="85"/>
      <c r="M179" s="85"/>
      <c r="N179" s="85"/>
      <c r="O179" s="85" t="s">
        <v>22</v>
      </c>
      <c r="P179" s="85"/>
      <c r="Q179" s="85"/>
      <c r="R179" s="85"/>
      <c r="S179" s="1403">
        <f>IF($W$141=1,S176,IF($W$142=1,S177,IF($W$143=1,S178,0)))</f>
        <v>0</v>
      </c>
      <c r="T179" s="1403"/>
      <c r="U179" s="1403"/>
      <c r="V179" s="1403"/>
      <c r="W179" s="1403"/>
      <c r="X179" s="1072"/>
      <c r="Y179" s="1403">
        <f>IF($W$141=1,Y176,IF($W$142=1,Y177,IF($W$143=1,Y178,0)))</f>
        <v>0</v>
      </c>
      <c r="Z179" s="1403"/>
      <c r="AA179" s="1403"/>
      <c r="AB179" s="1403"/>
      <c r="AC179" s="1403"/>
      <c r="AD179" s="1403"/>
      <c r="AE179" s="1403"/>
      <c r="AF179" s="1403">
        <f>IF($W$141=1,AF176,IF($W$142=1,AF177,IF($W$143=1,AF178,0)))</f>
        <v>0</v>
      </c>
      <c r="AG179" s="1403"/>
      <c r="AH179" s="1403"/>
      <c r="AI179" s="1403"/>
      <c r="AJ179" s="1403"/>
      <c r="AK179" s="1403"/>
      <c r="AL179" s="1403"/>
      <c r="AM179" s="1404"/>
      <c r="AN179" s="1404"/>
      <c r="AO179" s="1404"/>
      <c r="AP179" s="1404"/>
      <c r="AQ179" s="1404"/>
      <c r="AR179" s="1404"/>
      <c r="AS179" s="1404"/>
      <c r="AT179" s="1067"/>
      <c r="AU179" s="1067"/>
      <c r="AV179" s="1067"/>
      <c r="AW179" s="97"/>
      <c r="AX179" s="97"/>
      <c r="AY179" s="97"/>
      <c r="AZ179" s="97"/>
      <c r="BA179" s="97"/>
      <c r="BB179" s="97"/>
      <c r="BC179" s="97"/>
      <c r="BD179" s="97"/>
      <c r="BE179" s="97"/>
      <c r="BF179" s="97"/>
      <c r="BG179" s="97"/>
      <c r="BH179" s="97"/>
      <c r="BI179" s="1011"/>
      <c r="BJ179" s="1403">
        <f>IF($W$141=1,BJ176,IF($W$142=1,BJ177,IF($W$143=1,BJ178,0)))</f>
        <v>0</v>
      </c>
      <c r="BK179" s="1403"/>
      <c r="BL179" s="1403"/>
      <c r="BM179" s="1403"/>
      <c r="BN179" s="1403"/>
      <c r="BO179" s="1072"/>
      <c r="BP179" s="1403">
        <f>IF($W$141=1,BP176,IF($W$142=1,BP177,IF($W$143=1,BP178,0)))</f>
        <v>0</v>
      </c>
      <c r="BQ179" s="1403"/>
      <c r="BR179" s="1403"/>
      <c r="BS179" s="1403"/>
      <c r="BT179" s="1403"/>
      <c r="BU179" s="1403"/>
      <c r="BV179" s="1403"/>
      <c r="BW179" s="1403">
        <f>IF($W$141=1,BW176,IF($W$142=1,BW177,IF($W$143=1,BW178,0)))</f>
        <v>0</v>
      </c>
      <c r="BX179" s="1403"/>
      <c r="BY179" s="1403"/>
      <c r="BZ179" s="1403"/>
      <c r="CA179" s="1403"/>
      <c r="CB179" s="1403"/>
      <c r="CC179" s="1403"/>
      <c r="CD179" s="1404"/>
      <c r="CE179" s="1404"/>
      <c r="CF179" s="1404"/>
      <c r="CG179" s="1404"/>
      <c r="CH179" s="1404"/>
      <c r="CI179" s="1404"/>
      <c r="CJ179" s="1404"/>
    </row>
    <row r="180" spans="4:90" hidden="1" outlineLevel="1"/>
    <row r="181" spans="4:90" hidden="1" outlineLevel="1"/>
    <row r="182" spans="4:90" s="882" customFormat="1" ht="17.100000000000001" hidden="1" customHeight="1" outlineLevel="1">
      <c r="D182" s="1017" t="s">
        <v>1017</v>
      </c>
      <c r="E182" s="1017"/>
      <c r="F182" s="1017"/>
      <c r="G182" s="1017"/>
      <c r="H182" s="1017"/>
      <c r="I182" s="1017"/>
      <c r="J182" s="1017"/>
      <c r="K182" s="1017"/>
      <c r="L182" s="1017"/>
      <c r="M182" s="1017"/>
      <c r="N182" s="1017"/>
      <c r="O182" s="1017"/>
      <c r="P182" s="1017"/>
      <c r="Q182" s="1017"/>
      <c r="R182" s="1017"/>
      <c r="S182" s="801" t="s">
        <v>18</v>
      </c>
      <c r="T182" s="1017"/>
      <c r="U182" s="1017"/>
      <c r="V182" s="1017"/>
      <c r="W182" s="1017"/>
      <c r="X182" s="1017"/>
      <c r="Y182" s="1018"/>
      <c r="Z182" s="1017"/>
      <c r="AA182" s="1017"/>
      <c r="AB182" s="1017"/>
      <c r="AC182" s="1017"/>
      <c r="AD182" s="1017"/>
      <c r="AE182" s="1017"/>
      <c r="AF182" s="1017"/>
      <c r="AG182" s="1017"/>
      <c r="AH182" s="1017"/>
      <c r="AI182" s="1017"/>
      <c r="AJ182" s="1017"/>
      <c r="AK182" s="1017"/>
      <c r="AL182" s="1017"/>
      <c r="AM182" s="1017"/>
      <c r="AN182" s="1017"/>
      <c r="AO182" s="1017"/>
      <c r="AP182" s="1017"/>
      <c r="AQ182" s="1017"/>
      <c r="AR182" s="1017"/>
      <c r="AS182" s="1017"/>
      <c r="AT182" s="1017"/>
      <c r="AU182" s="1017"/>
      <c r="AV182" s="1017"/>
      <c r="AW182" s="1017"/>
      <c r="AX182" s="1017"/>
      <c r="AY182" s="1017"/>
      <c r="AZ182" s="1017"/>
      <c r="BA182" s="1017"/>
      <c r="BB182" s="1017"/>
      <c r="BC182" s="1017"/>
      <c r="BD182" s="1017"/>
      <c r="BE182" s="1019"/>
      <c r="BF182" s="1017"/>
      <c r="BG182" s="1020"/>
      <c r="BH182" s="1017"/>
      <c r="BI182" s="1017"/>
      <c r="BJ182" s="1017" t="str">
        <f>S182</f>
        <v>Kältemittel</v>
      </c>
      <c r="BK182" s="1017"/>
      <c r="BL182" s="1017"/>
      <c r="BM182" s="1017"/>
      <c r="BN182" s="1017"/>
      <c r="BO182" s="1017"/>
      <c r="BP182" s="1017"/>
      <c r="BQ182" s="1017"/>
      <c r="BR182" s="1017"/>
      <c r="BS182" s="1017"/>
      <c r="BT182" s="1017"/>
      <c r="BU182" s="1017"/>
      <c r="BV182" s="1017"/>
      <c r="BW182" s="1017"/>
      <c r="BX182" s="1017"/>
      <c r="BY182" s="1017"/>
      <c r="BZ182" s="1020"/>
      <c r="CA182" s="1020"/>
      <c r="CB182" s="1020"/>
      <c r="CC182" s="1020"/>
      <c r="CD182" s="1020"/>
    </row>
    <row r="183" spans="4:90" ht="17.100000000000001" hidden="1" customHeight="1" outlineLevel="1">
      <c r="D183" s="36" t="s">
        <v>1018</v>
      </c>
      <c r="E183" s="36"/>
      <c r="F183" s="36"/>
      <c r="G183" s="36"/>
      <c r="H183" s="36"/>
      <c r="I183" s="36"/>
      <c r="J183" s="36"/>
      <c r="K183" s="36"/>
      <c r="L183" s="36"/>
      <c r="M183" s="36"/>
      <c r="N183" s="36"/>
      <c r="O183" s="36" t="s">
        <v>986</v>
      </c>
      <c r="P183" s="36"/>
      <c r="Q183" s="36"/>
      <c r="R183" s="36"/>
      <c r="S183" s="1405">
        <f>'3 TEWI'!Y31</f>
        <v>0</v>
      </c>
      <c r="T183" s="1405"/>
      <c r="U183" s="1405"/>
      <c r="V183" s="1405"/>
      <c r="W183" s="1405"/>
      <c r="X183" s="1068"/>
      <c r="Y183" s="1407"/>
      <c r="Z183" s="1407"/>
      <c r="AA183" s="1407"/>
      <c r="AB183" s="1407"/>
      <c r="AC183" s="1407"/>
      <c r="AD183" s="1407"/>
      <c r="AE183" s="1407"/>
      <c r="AF183" s="1068"/>
      <c r="AG183" s="1068"/>
      <c r="AH183" s="1068"/>
      <c r="AI183" s="1068"/>
      <c r="AJ183" s="1068"/>
      <c r="AK183" s="1068"/>
      <c r="AL183" s="1068"/>
      <c r="AM183" s="1068"/>
      <c r="AN183" s="1068"/>
      <c r="AO183" s="1068"/>
      <c r="AP183" s="1068"/>
      <c r="AQ183" s="1068"/>
      <c r="AR183" s="1068"/>
      <c r="AS183" s="1068"/>
      <c r="AT183" s="1068"/>
      <c r="AU183" s="1068"/>
      <c r="AV183" s="1068"/>
      <c r="AW183" s="77"/>
      <c r="AX183" s="77"/>
      <c r="AY183" s="77"/>
      <c r="AZ183" s="77"/>
      <c r="BA183" s="77"/>
      <c r="BB183" s="77"/>
      <c r="BC183" s="77"/>
      <c r="BD183" s="77"/>
      <c r="BE183" s="77"/>
      <c r="BF183" s="77"/>
      <c r="BG183" s="77"/>
      <c r="BH183" s="77"/>
      <c r="BJ183" s="1405">
        <f>'3 TEWI'!AR31</f>
        <v>0</v>
      </c>
      <c r="BK183" s="1405"/>
      <c r="BL183" s="1405"/>
      <c r="BM183" s="1405"/>
      <c r="BN183" s="1405"/>
      <c r="BO183" s="1068"/>
      <c r="BP183" s="1407"/>
      <c r="BQ183" s="1407"/>
      <c r="BR183" s="1407"/>
      <c r="BS183" s="1407"/>
      <c r="BT183" s="1407"/>
      <c r="BU183" s="1407"/>
      <c r="BV183" s="1407"/>
      <c r="BW183" s="77"/>
      <c r="BX183" s="1407"/>
      <c r="BY183" s="1407"/>
      <c r="BZ183" s="1407"/>
      <c r="CA183" s="1407"/>
      <c r="CB183" s="1407"/>
      <c r="CC183" s="1407"/>
      <c r="CD183" s="1407"/>
      <c r="CL183" s="31" t="s">
        <v>1016</v>
      </c>
    </row>
    <row r="184" spans="4:90" ht="17.100000000000001" hidden="1" customHeight="1" outlineLevel="1">
      <c r="D184" s="82" t="s">
        <v>1009</v>
      </c>
      <c r="E184" s="36"/>
      <c r="F184" s="36"/>
      <c r="G184" s="36"/>
      <c r="H184" s="36"/>
      <c r="I184" s="36"/>
      <c r="J184" s="36"/>
      <c r="K184" s="36"/>
      <c r="L184" s="36"/>
      <c r="M184" s="36"/>
      <c r="N184" s="36"/>
      <c r="O184" s="36" t="s">
        <v>986</v>
      </c>
      <c r="P184" s="36"/>
      <c r="Q184" s="36"/>
      <c r="R184" s="36"/>
      <c r="S184" s="1405">
        <f>'2A Electricity regular'!S52</f>
        <v>0</v>
      </c>
      <c r="T184" s="1405"/>
      <c r="U184" s="1405"/>
      <c r="V184" s="1405"/>
      <c r="W184" s="1405"/>
      <c r="X184" s="963"/>
      <c r="Y184" s="1441"/>
      <c r="Z184" s="1441"/>
      <c r="AA184" s="1441"/>
      <c r="AB184" s="1441"/>
      <c r="AC184" s="1441"/>
      <c r="AD184" s="1441"/>
      <c r="AE184" s="1441"/>
      <c r="AF184" s="962"/>
      <c r="AG184" s="962"/>
      <c r="AH184" s="962"/>
      <c r="AI184" s="962"/>
      <c r="AJ184" s="962"/>
      <c r="AK184" s="962"/>
      <c r="AL184" s="962"/>
      <c r="AM184" s="962"/>
      <c r="AN184" s="962"/>
      <c r="AO184" s="962"/>
      <c r="AP184" s="962"/>
      <c r="AQ184" s="962"/>
      <c r="AR184" s="962"/>
      <c r="AS184" s="962"/>
      <c r="AT184" s="962"/>
      <c r="AU184" s="962"/>
      <c r="AV184" s="962"/>
      <c r="AW184" s="77"/>
      <c r="AX184" s="77"/>
      <c r="AY184" s="77"/>
      <c r="AZ184" s="77"/>
      <c r="BA184" s="77"/>
      <c r="BB184" s="77"/>
      <c r="BC184" s="77"/>
      <c r="BD184" s="77"/>
      <c r="BE184" s="77"/>
      <c r="BF184" s="77"/>
      <c r="BG184" s="77"/>
      <c r="BH184" s="77"/>
      <c r="BI184" s="52"/>
      <c r="BJ184" s="1405">
        <f>'2A Electricity regular'!AQ52</f>
        <v>0</v>
      </c>
      <c r="BK184" s="1405"/>
      <c r="BL184" s="1405"/>
      <c r="BM184" s="1405"/>
      <c r="BN184" s="1405"/>
      <c r="BO184" s="963"/>
      <c r="BP184" s="1441"/>
      <c r="BQ184" s="1441"/>
      <c r="BR184" s="1441"/>
      <c r="BS184" s="1441"/>
      <c r="BT184" s="1441"/>
      <c r="BU184" s="1441"/>
      <c r="BV184" s="1441"/>
      <c r="BW184" s="77"/>
      <c r="BX184" s="1407"/>
      <c r="BY184" s="1407"/>
      <c r="BZ184" s="1407"/>
      <c r="CA184" s="1407"/>
      <c r="CB184" s="1407"/>
      <c r="CC184" s="1407"/>
      <c r="CD184" s="1407"/>
    </row>
    <row r="185" spans="4:90" ht="17.100000000000001" hidden="1" customHeight="1" outlineLevel="1">
      <c r="D185" s="31" t="s">
        <v>1010</v>
      </c>
      <c r="E185" s="82"/>
      <c r="F185" s="82"/>
      <c r="G185" s="82"/>
      <c r="H185" s="82"/>
      <c r="I185" s="82"/>
      <c r="J185" s="82"/>
      <c r="K185" s="82"/>
      <c r="L185" s="82"/>
      <c r="M185" s="82"/>
      <c r="N185" s="82"/>
      <c r="O185" s="36" t="s">
        <v>986</v>
      </c>
      <c r="P185" s="82"/>
      <c r="Q185" s="82"/>
      <c r="R185" s="82"/>
      <c r="S185" s="1405">
        <f>'2B Electricity simplified'!W59</f>
        <v>0</v>
      </c>
      <c r="T185" s="1405"/>
      <c r="U185" s="1405"/>
      <c r="V185" s="1405"/>
      <c r="W185" s="1405"/>
      <c r="X185" s="963"/>
      <c r="Y185" s="1407"/>
      <c r="Z185" s="1407"/>
      <c r="AA185" s="1407"/>
      <c r="AB185" s="1407"/>
      <c r="AC185" s="1407"/>
      <c r="AD185" s="1407"/>
      <c r="AE185" s="1407"/>
      <c r="AF185" s="963"/>
      <c r="AG185" s="963"/>
      <c r="AH185" s="963"/>
      <c r="AI185" s="963"/>
      <c r="AJ185" s="963"/>
      <c r="AK185" s="963"/>
      <c r="AL185" s="963"/>
      <c r="AM185" s="963"/>
      <c r="AN185" s="963"/>
      <c r="AO185" s="963"/>
      <c r="AP185" s="963"/>
      <c r="AQ185" s="963"/>
      <c r="AR185" s="963"/>
      <c r="AS185" s="963"/>
      <c r="AT185" s="963"/>
      <c r="AU185" s="963"/>
      <c r="AV185" s="963"/>
      <c r="AW185" s="77"/>
      <c r="AX185" s="83"/>
      <c r="AY185" s="83"/>
      <c r="AZ185" s="83"/>
      <c r="BA185" s="83"/>
      <c r="BB185" s="83"/>
      <c r="BC185" s="83"/>
      <c r="BD185" s="83"/>
      <c r="BE185" s="83"/>
      <c r="BF185" s="83"/>
      <c r="BG185" s="83"/>
      <c r="BH185" s="83"/>
      <c r="BJ185" s="1405">
        <f>'2B Electricity simplified'!AU59</f>
        <v>0</v>
      </c>
      <c r="BK185" s="1405"/>
      <c r="BL185" s="1405"/>
      <c r="BM185" s="1405"/>
      <c r="BN185" s="1405"/>
      <c r="BO185" s="963"/>
      <c r="BP185" s="1407"/>
      <c r="BQ185" s="1407"/>
      <c r="BR185" s="1407"/>
      <c r="BS185" s="1407"/>
      <c r="BT185" s="1407"/>
      <c r="BU185" s="1407"/>
      <c r="BV185" s="1407"/>
      <c r="BW185" s="77"/>
      <c r="BX185" s="963"/>
      <c r="BY185" s="963"/>
      <c r="BZ185" s="963"/>
      <c r="CA185" s="963"/>
      <c r="CB185" s="963"/>
      <c r="CC185" s="963"/>
      <c r="CD185" s="963"/>
    </row>
    <row r="186" spans="4:90" s="52" customFormat="1" ht="17.100000000000001" hidden="1" customHeight="1" outlineLevel="1">
      <c r="D186" s="1402"/>
      <c r="E186" s="1402"/>
      <c r="F186" s="1402"/>
      <c r="G186" s="1402"/>
      <c r="H186" s="1402"/>
      <c r="I186" s="1402"/>
      <c r="J186" s="1402"/>
      <c r="K186" s="85"/>
      <c r="L186" s="85"/>
      <c r="M186" s="85"/>
      <c r="N186" s="85"/>
      <c r="O186" s="85" t="s">
        <v>986</v>
      </c>
      <c r="P186" s="85"/>
      <c r="Q186" s="85"/>
      <c r="R186" s="85"/>
      <c r="S186" s="1403">
        <f>IF($AH48=$D119,IF($W$142=1,S184,S185),S183)</f>
        <v>0</v>
      </c>
      <c r="T186" s="1403"/>
      <c r="U186" s="1403"/>
      <c r="V186" s="1403"/>
      <c r="W186" s="1403"/>
      <c r="X186" s="961"/>
      <c r="Y186" s="1404"/>
      <c r="Z186" s="1404"/>
      <c r="AA186" s="1404"/>
      <c r="AB186" s="1404"/>
      <c r="AC186" s="1404"/>
      <c r="AD186" s="1404"/>
      <c r="AE186" s="1404"/>
      <c r="AF186" s="961"/>
      <c r="AG186" s="961"/>
      <c r="AH186" s="961"/>
      <c r="AI186" s="961"/>
      <c r="AJ186" s="961"/>
      <c r="AK186" s="961"/>
      <c r="AL186" s="961"/>
      <c r="AM186" s="961"/>
      <c r="AN186" s="961"/>
      <c r="AO186" s="961"/>
      <c r="AP186" s="961"/>
      <c r="AQ186" s="961"/>
      <c r="AR186" s="961"/>
      <c r="AS186" s="961"/>
      <c r="AT186" s="961"/>
      <c r="AU186" s="961"/>
      <c r="AV186" s="961"/>
      <c r="AW186" s="97"/>
      <c r="AX186" s="97"/>
      <c r="AY186" s="97"/>
      <c r="AZ186" s="97"/>
      <c r="BA186" s="97"/>
      <c r="BB186" s="97"/>
      <c r="BC186" s="97"/>
      <c r="BD186" s="97"/>
      <c r="BE186" s="97"/>
      <c r="BF186" s="97"/>
      <c r="BG186" s="97"/>
      <c r="BH186" s="97"/>
      <c r="BI186" s="1011"/>
      <c r="BJ186" s="1403">
        <f>IF($AH48=$D119,IF($W$142=1,BJ184,BJ185),BJ183)</f>
        <v>0</v>
      </c>
      <c r="BK186" s="1403"/>
      <c r="BL186" s="1403"/>
      <c r="BM186" s="1403"/>
      <c r="BN186" s="1403"/>
      <c r="BO186" s="961"/>
      <c r="BP186" s="1404"/>
      <c r="BQ186" s="1404"/>
      <c r="BR186" s="1404"/>
      <c r="BS186" s="1404"/>
      <c r="BT186" s="1404"/>
      <c r="BU186" s="1404"/>
      <c r="BV186" s="1404"/>
      <c r="BW186" s="97"/>
      <c r="BX186" s="1402"/>
      <c r="BY186" s="1402"/>
      <c r="BZ186" s="1402"/>
      <c r="CA186" s="1402"/>
      <c r="CB186" s="1402"/>
      <c r="CC186" s="1402"/>
      <c r="CD186" s="1402"/>
    </row>
    <row r="187" spans="4:90" hidden="1" outlineLevel="1"/>
    <row r="188" spans="4:90" hidden="1" outlineLevel="1"/>
    <row r="189" spans="4:90" s="882" customFormat="1" ht="17.100000000000001" hidden="1" customHeight="1" outlineLevel="1">
      <c r="D189" s="1017" t="s">
        <v>975</v>
      </c>
      <c r="E189" s="1017"/>
      <c r="F189" s="1017"/>
      <c r="G189" s="1017"/>
      <c r="H189" s="1017"/>
      <c r="I189" s="1017"/>
      <c r="J189" s="1017"/>
      <c r="K189" s="1017"/>
      <c r="L189" s="1017"/>
      <c r="M189" s="1017"/>
      <c r="N189" s="1017"/>
      <c r="O189" s="1017"/>
      <c r="P189" s="1017"/>
      <c r="Q189" s="1017"/>
      <c r="R189" s="1017"/>
      <c r="S189" s="1018"/>
      <c r="T189" s="1017"/>
      <c r="U189" s="1017"/>
      <c r="V189" s="1017"/>
      <c r="W189" s="1017"/>
      <c r="X189" s="1017"/>
      <c r="Y189" s="1018"/>
      <c r="Z189" s="1017"/>
      <c r="AA189" s="1017"/>
      <c r="AB189" s="1017"/>
      <c r="AC189" s="1017"/>
      <c r="AD189" s="1017"/>
      <c r="AE189" s="1017"/>
      <c r="AF189" s="1017"/>
      <c r="AG189" s="1017"/>
      <c r="AH189" s="1017"/>
      <c r="AI189" s="1017"/>
      <c r="AJ189" s="1017"/>
      <c r="AK189" s="1017"/>
      <c r="AL189" s="1017"/>
      <c r="AM189" s="1017"/>
      <c r="AN189" s="1017"/>
      <c r="AO189" s="1017"/>
      <c r="AP189" s="1017"/>
      <c r="AQ189" s="1017"/>
      <c r="AR189" s="1017"/>
      <c r="AS189" s="1017"/>
      <c r="AT189" s="1017"/>
      <c r="AU189" s="1017"/>
      <c r="AV189" s="1017"/>
      <c r="AW189" s="1017"/>
      <c r="AX189" s="1017"/>
      <c r="AY189" s="1017"/>
      <c r="AZ189" s="1017"/>
      <c r="BA189" s="1017"/>
      <c r="BB189" s="1017"/>
      <c r="BC189" s="1017"/>
      <c r="BD189" s="1017"/>
      <c r="BE189" s="1019"/>
      <c r="BF189" s="1017"/>
      <c r="BG189" s="1020"/>
      <c r="BH189" s="1017"/>
      <c r="BI189" s="1017"/>
      <c r="BJ189" s="1017"/>
      <c r="BK189" s="1017"/>
      <c r="BL189" s="1017"/>
      <c r="BM189" s="1017"/>
      <c r="BN189" s="1017"/>
      <c r="BO189" s="1017"/>
      <c r="BP189" s="1017"/>
      <c r="BQ189" s="1017"/>
      <c r="BR189" s="1017"/>
      <c r="BS189" s="1017"/>
      <c r="BT189" s="1017"/>
      <c r="BU189" s="1017"/>
      <c r="BV189" s="1017"/>
      <c r="BW189" s="1017"/>
      <c r="BX189" s="1017"/>
      <c r="BY189" s="1017"/>
      <c r="BZ189" s="1020"/>
      <c r="CA189" s="1020"/>
      <c r="CB189" s="1020"/>
      <c r="CC189" s="1020"/>
      <c r="CD189" s="1020"/>
    </row>
    <row r="190" spans="4:90" ht="17.100000000000001" hidden="1" customHeight="1" outlineLevel="1">
      <c r="D190" s="36" t="s">
        <v>1030</v>
      </c>
      <c r="E190" s="36"/>
      <c r="F190" s="36"/>
      <c r="G190" s="36"/>
      <c r="H190" s="36"/>
      <c r="I190" s="36"/>
      <c r="J190" s="36"/>
      <c r="K190" s="36"/>
      <c r="L190" s="36"/>
      <c r="M190" s="36"/>
      <c r="N190" s="36"/>
      <c r="O190" s="36"/>
      <c r="P190" s="36"/>
      <c r="Q190" s="36"/>
      <c r="R190" s="36"/>
      <c r="S190" s="1410">
        <f>'2A Electricity regular'!R236</f>
        <v>0</v>
      </c>
      <c r="T190" s="1410"/>
      <c r="U190" s="1410"/>
      <c r="V190" s="1410"/>
      <c r="W190" s="1410"/>
      <c r="X190" s="1012"/>
      <c r="Y190" s="1012"/>
      <c r="Z190" s="1012"/>
      <c r="AA190" s="1012"/>
      <c r="AB190" s="1012"/>
      <c r="AC190" s="1012"/>
      <c r="AD190" s="1012"/>
      <c r="AE190" s="1012"/>
      <c r="AF190" s="1068"/>
      <c r="AG190" s="1068" t="s">
        <v>1031</v>
      </c>
      <c r="AH190" s="1068"/>
      <c r="AI190" s="1068"/>
      <c r="AJ190" s="1068"/>
      <c r="AK190" s="1068"/>
      <c r="AL190" s="1068"/>
      <c r="AM190" s="1068"/>
      <c r="AN190" s="1068"/>
      <c r="AO190" s="1068"/>
      <c r="AP190" s="1068"/>
      <c r="AQ190" s="1068"/>
      <c r="AR190" s="1068"/>
      <c r="AS190" s="1068"/>
      <c r="AT190" s="1068"/>
      <c r="AU190" s="1068"/>
      <c r="AV190" s="1068"/>
      <c r="AW190" s="77"/>
      <c r="AX190" s="77"/>
      <c r="AY190" s="77"/>
      <c r="AZ190" s="77"/>
      <c r="BA190" s="77"/>
      <c r="BB190" s="77"/>
      <c r="BC190" s="77"/>
      <c r="BD190" s="77"/>
      <c r="BE190" s="77"/>
      <c r="BF190" s="77"/>
      <c r="BG190" s="77"/>
      <c r="BH190" s="77"/>
      <c r="BJ190" s="1410"/>
      <c r="BK190" s="1410"/>
      <c r="BL190" s="1410"/>
      <c r="BM190" s="1410"/>
      <c r="BN190" s="1410"/>
      <c r="BO190" s="1012"/>
      <c r="BP190" s="1012"/>
      <c r="BQ190" s="1012"/>
      <c r="BR190" s="1012"/>
      <c r="BS190" s="1012"/>
      <c r="BT190" s="1012"/>
      <c r="BU190" s="1012"/>
      <c r="BV190" s="1012"/>
      <c r="BW190" s="77"/>
      <c r="BX190" s="1068" t="s">
        <v>1031</v>
      </c>
      <c r="BY190" s="77"/>
      <c r="BZ190" s="77"/>
      <c r="CA190" s="77"/>
      <c r="CB190" s="77"/>
      <c r="CC190" s="77"/>
      <c r="CD190" s="77"/>
      <c r="CL190" s="31" t="s">
        <v>1016</v>
      </c>
    </row>
    <row r="191" spans="4:90" ht="17.100000000000001" hidden="1" customHeight="1" outlineLevel="1">
      <c r="D191" s="82" t="s">
        <v>1009</v>
      </c>
      <c r="E191" s="36"/>
      <c r="F191" s="36"/>
      <c r="G191" s="36"/>
      <c r="H191" s="36"/>
      <c r="I191" s="36"/>
      <c r="J191" s="36"/>
      <c r="K191" s="36"/>
      <c r="L191" s="36"/>
      <c r="M191" s="36"/>
      <c r="N191" s="36"/>
      <c r="O191" s="36" t="s">
        <v>22</v>
      </c>
      <c r="P191" s="36"/>
      <c r="Q191" s="36"/>
      <c r="R191" s="36"/>
      <c r="S191" s="1410">
        <f>'2A Electricity regular'!R237</f>
        <v>0</v>
      </c>
      <c r="T191" s="1410"/>
      <c r="U191" s="1410"/>
      <c r="V191" s="1410"/>
      <c r="W191" s="1410"/>
      <c r="X191" s="1028"/>
      <c r="Y191" s="1441"/>
      <c r="Z191" s="1441"/>
      <c r="AA191" s="1441"/>
      <c r="AB191" s="1441"/>
      <c r="AC191" s="1441"/>
      <c r="AD191" s="1441"/>
      <c r="AE191" s="1441"/>
      <c r="AF191" s="962"/>
      <c r="AG191" s="962"/>
      <c r="AH191" s="962"/>
      <c r="AI191" s="962"/>
      <c r="AJ191" s="962"/>
      <c r="AK191" s="962"/>
      <c r="AL191" s="962"/>
      <c r="AM191" s="962"/>
      <c r="AN191" s="962"/>
      <c r="AO191" s="962"/>
      <c r="AP191" s="962"/>
      <c r="AQ191" s="962"/>
      <c r="AR191" s="962"/>
      <c r="AS191" s="962"/>
      <c r="AT191" s="962"/>
      <c r="AU191" s="962"/>
      <c r="AV191" s="962"/>
      <c r="AW191" s="77"/>
      <c r="AX191" s="77"/>
      <c r="AY191" s="77"/>
      <c r="AZ191" s="77"/>
      <c r="BA191" s="77"/>
      <c r="BB191" s="77"/>
      <c r="BC191" s="77"/>
      <c r="BD191" s="77"/>
      <c r="BE191" s="77"/>
      <c r="BF191" s="77"/>
      <c r="BG191" s="77"/>
      <c r="BH191" s="77"/>
      <c r="BI191" s="52"/>
      <c r="BJ191" s="1410">
        <f>'2A Electricity regular'!AP237</f>
        <v>0</v>
      </c>
      <c r="BK191" s="1410"/>
      <c r="BL191" s="1410"/>
      <c r="BM191" s="1410"/>
      <c r="BN191" s="1410"/>
      <c r="BO191" s="1028"/>
      <c r="BP191" s="1441"/>
      <c r="BQ191" s="1441"/>
      <c r="BR191" s="1441"/>
      <c r="BS191" s="1441"/>
      <c r="BT191" s="1441"/>
      <c r="BU191" s="1441"/>
      <c r="BV191" s="1441"/>
      <c r="BW191" s="77"/>
      <c r="BX191" s="1407"/>
      <c r="BY191" s="1407"/>
      <c r="BZ191" s="1407"/>
      <c r="CA191" s="1407"/>
      <c r="CB191" s="1407"/>
      <c r="CC191" s="1407"/>
      <c r="CD191" s="1407"/>
    </row>
    <row r="192" spans="4:90" ht="17.100000000000001" hidden="1" customHeight="1" outlineLevel="1">
      <c r="D192" s="31" t="s">
        <v>1010</v>
      </c>
      <c r="E192" s="82"/>
      <c r="F192" s="82"/>
      <c r="G192" s="82"/>
      <c r="H192" s="82"/>
      <c r="I192" s="82"/>
      <c r="J192" s="82"/>
      <c r="K192" s="82"/>
      <c r="L192" s="82"/>
      <c r="M192" s="82"/>
      <c r="N192" s="82"/>
      <c r="O192" s="36" t="s">
        <v>22</v>
      </c>
      <c r="P192" s="82"/>
      <c r="Q192" s="82"/>
      <c r="R192" s="82"/>
      <c r="S192" s="1410">
        <v>0</v>
      </c>
      <c r="T192" s="1410"/>
      <c r="U192" s="1410"/>
      <c r="V192" s="1410"/>
      <c r="W192" s="1410"/>
      <c r="X192" s="1028"/>
      <c r="Y192" s="1411"/>
      <c r="Z192" s="1411"/>
      <c r="AA192" s="1411"/>
      <c r="AB192" s="1411"/>
      <c r="AC192" s="1411"/>
      <c r="AD192" s="1411"/>
      <c r="AE192" s="1411"/>
      <c r="AF192" s="963"/>
      <c r="AG192" s="963"/>
      <c r="AH192" s="963"/>
      <c r="AI192" s="963"/>
      <c r="AJ192" s="963"/>
      <c r="AK192" s="963"/>
      <c r="AL192" s="963"/>
      <c r="AM192" s="963"/>
      <c r="AN192" s="963"/>
      <c r="AO192" s="963"/>
      <c r="AP192" s="963"/>
      <c r="AQ192" s="963"/>
      <c r="AR192" s="963"/>
      <c r="AS192" s="963"/>
      <c r="AT192" s="963"/>
      <c r="AU192" s="963"/>
      <c r="AV192" s="963"/>
      <c r="AW192" s="77"/>
      <c r="AX192" s="83"/>
      <c r="AY192" s="83"/>
      <c r="AZ192" s="83"/>
      <c r="BA192" s="83"/>
      <c r="BB192" s="83"/>
      <c r="BC192" s="83"/>
      <c r="BD192" s="83"/>
      <c r="BE192" s="83"/>
      <c r="BF192" s="83"/>
      <c r="BG192" s="83"/>
      <c r="BH192" s="83"/>
      <c r="BJ192" s="1442"/>
      <c r="BK192" s="1442"/>
      <c r="BL192" s="1442"/>
      <c r="BM192" s="1442"/>
      <c r="BN192" s="1442"/>
      <c r="BO192" s="1028"/>
      <c r="BP192" s="1411"/>
      <c r="BQ192" s="1411"/>
      <c r="BR192" s="1411"/>
      <c r="BS192" s="1411"/>
      <c r="BT192" s="1411"/>
      <c r="BU192" s="1411"/>
      <c r="BV192" s="1411"/>
      <c r="BW192" s="77"/>
      <c r="BX192" s="963"/>
      <c r="BY192" s="963"/>
      <c r="BZ192" s="963"/>
      <c r="CA192" s="963"/>
      <c r="CB192" s="963"/>
      <c r="CC192" s="963"/>
      <c r="CD192" s="963"/>
    </row>
    <row r="193" spans="4:90" s="52" customFormat="1" ht="17.100000000000001" hidden="1" customHeight="1" outlineLevel="1">
      <c r="D193" s="1402"/>
      <c r="E193" s="1402"/>
      <c r="F193" s="1402"/>
      <c r="G193" s="1402"/>
      <c r="H193" s="1402"/>
      <c r="I193" s="1402"/>
      <c r="J193" s="1402"/>
      <c r="K193" s="85"/>
      <c r="L193" s="85"/>
      <c r="M193" s="85"/>
      <c r="N193" s="85"/>
      <c r="O193" s="85" t="s">
        <v>22</v>
      </c>
      <c r="P193" s="85"/>
      <c r="Q193" s="85"/>
      <c r="R193" s="85"/>
      <c r="S193" s="1412">
        <f>IF($AH48=$D119,IF($W$142=1,S191,S192),S190)</f>
        <v>0</v>
      </c>
      <c r="T193" s="1412"/>
      <c r="U193" s="1412"/>
      <c r="V193" s="1412"/>
      <c r="W193" s="1412"/>
      <c r="X193" s="961"/>
      <c r="Y193" s="1404"/>
      <c r="Z193" s="1404"/>
      <c r="AA193" s="1404"/>
      <c r="AB193" s="1404"/>
      <c r="AC193" s="1404"/>
      <c r="AD193" s="1404"/>
      <c r="AE193" s="1404"/>
      <c r="AF193" s="961"/>
      <c r="AG193" s="961"/>
      <c r="AH193" s="961"/>
      <c r="AI193" s="961"/>
      <c r="AJ193" s="961"/>
      <c r="AK193" s="961"/>
      <c r="AL193" s="961"/>
      <c r="AM193" s="961"/>
      <c r="AN193" s="961"/>
      <c r="AO193" s="961"/>
      <c r="AP193" s="961"/>
      <c r="AQ193" s="961"/>
      <c r="AR193" s="961"/>
      <c r="AS193" s="961"/>
      <c r="AT193" s="961"/>
      <c r="AU193" s="961"/>
      <c r="AV193" s="961"/>
      <c r="AW193" s="97"/>
      <c r="AX193" s="97"/>
      <c r="AY193" s="97"/>
      <c r="AZ193" s="97"/>
      <c r="BA193" s="97"/>
      <c r="BB193" s="97"/>
      <c r="BC193" s="97"/>
      <c r="BD193" s="97"/>
      <c r="BE193" s="97"/>
      <c r="BF193" s="97"/>
      <c r="BG193" s="97"/>
      <c r="BH193" s="97"/>
      <c r="BI193" s="1011"/>
      <c r="BJ193" s="1412">
        <f>IF($AH48=$D119,IF($W$142=1,BJ191,BJ192),BJ190)</f>
        <v>0</v>
      </c>
      <c r="BK193" s="1412"/>
      <c r="BL193" s="1412"/>
      <c r="BM193" s="1412"/>
      <c r="BN193" s="1412"/>
      <c r="BO193" s="961"/>
      <c r="BP193" s="1404"/>
      <c r="BQ193" s="1404"/>
      <c r="BR193" s="1404"/>
      <c r="BS193" s="1404"/>
      <c r="BT193" s="1404"/>
      <c r="BU193" s="1404"/>
      <c r="BV193" s="1404"/>
      <c r="BW193" s="97"/>
      <c r="BX193" s="1402"/>
      <c r="BY193" s="1402"/>
      <c r="BZ193" s="1402"/>
      <c r="CA193" s="1402"/>
      <c r="CB193" s="1402"/>
      <c r="CC193" s="1402"/>
      <c r="CD193" s="1402"/>
    </row>
    <row r="194" spans="4:90" hidden="1" outlineLevel="1"/>
    <row r="195" spans="4:90" hidden="1" outlineLevel="1"/>
    <row r="196" spans="4:90" s="882" customFormat="1" ht="17.100000000000001" hidden="1" customHeight="1" outlineLevel="1">
      <c r="D196" s="1017" t="s">
        <v>1007</v>
      </c>
      <c r="E196" s="1017"/>
      <c r="F196" s="1017"/>
      <c r="G196" s="1017"/>
      <c r="H196" s="1017"/>
      <c r="I196" s="1017"/>
      <c r="J196" s="1017"/>
      <c r="K196" s="1017"/>
      <c r="L196" s="1017"/>
      <c r="M196" s="1017"/>
      <c r="N196" s="1017"/>
      <c r="O196" s="1017"/>
      <c r="P196" s="1017"/>
      <c r="Q196" s="1017"/>
      <c r="R196" s="1017"/>
      <c r="S196" s="1018"/>
      <c r="T196" s="1017"/>
      <c r="U196" s="1017"/>
      <c r="V196" s="1017"/>
      <c r="W196" s="1017"/>
      <c r="X196" s="1017"/>
      <c r="Y196" s="1018"/>
      <c r="Z196" s="1017"/>
      <c r="AA196" s="1017"/>
      <c r="AB196" s="1017"/>
      <c r="AC196" s="1017"/>
      <c r="AD196" s="1017"/>
      <c r="AE196" s="1017"/>
      <c r="AF196" s="1017"/>
      <c r="AG196" s="1017"/>
      <c r="AH196" s="1017"/>
      <c r="AI196" s="1017"/>
      <c r="AJ196" s="1017"/>
      <c r="AK196" s="1017"/>
      <c r="AL196" s="1017"/>
      <c r="AM196" s="1017"/>
      <c r="AN196" s="1017"/>
      <c r="AO196" s="1017"/>
      <c r="AP196" s="1017"/>
      <c r="AQ196" s="1017"/>
      <c r="AR196" s="1017"/>
      <c r="AS196" s="1017"/>
      <c r="AT196" s="1017"/>
      <c r="AU196" s="1017"/>
      <c r="AV196" s="1017"/>
      <c r="AW196" s="1017"/>
      <c r="AX196" s="1017"/>
      <c r="AY196" s="1017"/>
      <c r="AZ196" s="1017"/>
      <c r="BA196" s="1017"/>
      <c r="BB196" s="1017"/>
      <c r="BC196" s="1017"/>
      <c r="BD196" s="1017"/>
      <c r="BE196" s="1019"/>
      <c r="BF196" s="1017"/>
      <c r="BG196" s="1020"/>
      <c r="BH196" s="1017"/>
      <c r="BI196" s="1017"/>
      <c r="BJ196" s="1017"/>
      <c r="BK196" s="1017"/>
      <c r="BL196" s="1017"/>
      <c r="BM196" s="1017"/>
      <c r="BN196" s="1017"/>
      <c r="BO196" s="1017"/>
      <c r="BP196" s="1017"/>
      <c r="BQ196" s="1017"/>
      <c r="BR196" s="1017"/>
      <c r="BS196" s="1017"/>
      <c r="BT196" s="1017"/>
      <c r="BU196" s="1017"/>
      <c r="BV196" s="1017"/>
      <c r="BW196" s="1017"/>
      <c r="BX196" s="1017"/>
      <c r="BY196" s="1017"/>
      <c r="BZ196" s="1020"/>
      <c r="CA196" s="1020"/>
      <c r="CB196" s="1020"/>
      <c r="CC196" s="1020"/>
      <c r="CD196" s="1020"/>
    </row>
    <row r="197" spans="4:90" ht="17.100000000000001" hidden="1" customHeight="1" outlineLevel="1">
      <c r="D197" s="36" t="s">
        <v>1030</v>
      </c>
      <c r="E197" s="36"/>
      <c r="F197" s="36"/>
      <c r="G197" s="36"/>
      <c r="H197" s="36"/>
      <c r="I197" s="36"/>
      <c r="J197" s="36"/>
      <c r="K197" s="36"/>
      <c r="L197" s="36"/>
      <c r="M197" s="36"/>
      <c r="N197" s="36"/>
      <c r="O197" s="36"/>
      <c r="P197" s="36"/>
      <c r="Q197" s="36"/>
      <c r="R197" s="36"/>
      <c r="S197" s="1405"/>
      <c r="T197" s="1405"/>
      <c r="U197" s="1405"/>
      <c r="V197" s="1405"/>
      <c r="W197" s="1405"/>
      <c r="X197" s="1405"/>
      <c r="Y197" s="1405"/>
      <c r="Z197" s="1405"/>
      <c r="AA197" s="1405"/>
      <c r="AB197" s="1405"/>
      <c r="AC197" s="1405"/>
      <c r="AD197" s="1405"/>
      <c r="AE197" s="1405"/>
      <c r="AF197" s="1068"/>
      <c r="AG197" s="1068" t="s">
        <v>1031</v>
      </c>
      <c r="AH197" s="1068"/>
      <c r="AI197" s="1068"/>
      <c r="AJ197" s="1068"/>
      <c r="AK197" s="1068"/>
      <c r="AL197" s="1068"/>
      <c r="AM197" s="1068"/>
      <c r="AN197" s="1068"/>
      <c r="AO197" s="1068"/>
      <c r="AP197" s="1068"/>
      <c r="AQ197" s="1068"/>
      <c r="AR197" s="1068"/>
      <c r="AS197" s="1068"/>
      <c r="AT197" s="1068"/>
      <c r="AU197" s="1068"/>
      <c r="AV197" s="1068"/>
      <c r="AW197" s="77"/>
      <c r="AX197" s="77"/>
      <c r="AY197" s="77"/>
      <c r="AZ197" s="77"/>
      <c r="BA197" s="77"/>
      <c r="BB197" s="77"/>
      <c r="BC197" s="77"/>
      <c r="BD197" s="77"/>
      <c r="BE197" s="77"/>
      <c r="BF197" s="77"/>
      <c r="BG197" s="77"/>
      <c r="BH197" s="77"/>
      <c r="BJ197" s="1405"/>
      <c r="BK197" s="1405"/>
      <c r="BL197" s="1405"/>
      <c r="BM197" s="1405"/>
      <c r="BN197" s="1405"/>
      <c r="BO197" s="1405"/>
      <c r="BP197" s="1405"/>
      <c r="BQ197" s="1405"/>
      <c r="BR197" s="1405"/>
      <c r="BS197" s="1405"/>
      <c r="BT197" s="1405"/>
      <c r="BU197" s="1405"/>
      <c r="BV197" s="1405"/>
      <c r="BW197" s="77"/>
      <c r="BX197" s="1068" t="s">
        <v>1031</v>
      </c>
      <c r="BY197" s="77"/>
      <c r="BZ197" s="77"/>
      <c r="CA197" s="77"/>
      <c r="CB197" s="77"/>
      <c r="CC197" s="77"/>
      <c r="CD197" s="77"/>
      <c r="CL197" s="31" t="s">
        <v>1016</v>
      </c>
    </row>
    <row r="198" spans="4:90" ht="17.100000000000001" hidden="1" customHeight="1" outlineLevel="1">
      <c r="D198" s="82" t="s">
        <v>1009</v>
      </c>
      <c r="E198" s="36"/>
      <c r="F198" s="36"/>
      <c r="G198" s="36"/>
      <c r="H198" s="36"/>
      <c r="I198" s="36"/>
      <c r="J198" s="36"/>
      <c r="K198" s="36"/>
      <c r="L198" s="36"/>
      <c r="M198" s="36"/>
      <c r="N198" s="36"/>
      <c r="O198" s="36"/>
      <c r="P198" s="36"/>
      <c r="Q198" s="36"/>
      <c r="R198" s="36"/>
      <c r="S198" s="1405">
        <f>IF('2A Electricity regular'!W97='2A Electricity regular'!AV445,"",'2A Electricity regular'!W97)</f>
        <v>0</v>
      </c>
      <c r="T198" s="1405"/>
      <c r="U198" s="1405"/>
      <c r="V198" s="1405"/>
      <c r="W198" s="1405"/>
      <c r="X198" s="1405"/>
      <c r="Y198" s="1405"/>
      <c r="Z198" s="1405"/>
      <c r="AA198" s="1405"/>
      <c r="AB198" s="1405"/>
      <c r="AC198" s="1405"/>
      <c r="AD198" s="1405"/>
      <c r="AE198" s="1405"/>
      <c r="AF198" s="1029"/>
      <c r="AG198" s="1029"/>
      <c r="AH198" s="1029"/>
      <c r="AI198" s="1029"/>
      <c r="AJ198" s="1029"/>
      <c r="AK198" s="1029"/>
      <c r="AL198" s="1029"/>
      <c r="AM198" s="1029"/>
      <c r="AN198" s="1029"/>
      <c r="AO198" s="1029"/>
      <c r="AP198" s="1029"/>
      <c r="AQ198" s="1029"/>
      <c r="AR198" s="1029"/>
      <c r="AS198" s="1029"/>
      <c r="AT198" s="1029"/>
      <c r="AU198" s="1029"/>
      <c r="AV198" s="1029"/>
      <c r="AW198" s="77"/>
      <c r="AX198" s="77"/>
      <c r="AY198" s="77"/>
      <c r="AZ198" s="77"/>
      <c r="BA198" s="77"/>
      <c r="BB198" s="77"/>
      <c r="BC198" s="77"/>
      <c r="BD198" s="77"/>
      <c r="BE198" s="77"/>
      <c r="BF198" s="77"/>
      <c r="BG198" s="77"/>
      <c r="BH198" s="77"/>
      <c r="BI198" s="52"/>
      <c r="BJ198" s="1405">
        <f>IF('2A Electricity regular'!AU97='2A Electricity regular'!AV445,"",'2A Electricity regular'!AU97)</f>
        <v>0</v>
      </c>
      <c r="BK198" s="1405"/>
      <c r="BL198" s="1405"/>
      <c r="BM198" s="1405"/>
      <c r="BN198" s="1405"/>
      <c r="BO198" s="1405"/>
      <c r="BP198" s="1405"/>
      <c r="BQ198" s="1405"/>
      <c r="BR198" s="1405"/>
      <c r="BS198" s="1405"/>
      <c r="BT198" s="1405"/>
      <c r="BU198" s="1405"/>
      <c r="BV198" s="1405"/>
      <c r="BW198" s="77"/>
      <c r="BX198" s="1070"/>
      <c r="BY198" s="77"/>
      <c r="BZ198" s="77"/>
      <c r="CA198" s="77"/>
      <c r="CB198" s="77"/>
      <c r="CC198" s="77"/>
      <c r="CD198" s="77"/>
    </row>
    <row r="199" spans="4:90" ht="17.100000000000001" hidden="1" customHeight="1" outlineLevel="1">
      <c r="D199" s="31" t="s">
        <v>1010</v>
      </c>
      <c r="E199" s="82"/>
      <c r="F199" s="82"/>
      <c r="G199" s="82"/>
      <c r="H199" s="82"/>
      <c r="I199" s="82"/>
      <c r="J199" s="82"/>
      <c r="K199" s="82"/>
      <c r="L199" s="82"/>
      <c r="M199" s="82"/>
      <c r="N199" s="82"/>
      <c r="O199" s="36"/>
      <c r="P199" s="82"/>
      <c r="Q199" s="82"/>
      <c r="R199" s="82"/>
      <c r="S199" s="1443"/>
      <c r="T199" s="1443"/>
      <c r="U199" s="1443"/>
      <c r="V199" s="1443"/>
      <c r="W199" s="1443"/>
      <c r="X199" s="1443"/>
      <c r="Y199" s="1443"/>
      <c r="Z199" s="1443"/>
      <c r="AA199" s="1443"/>
      <c r="AB199" s="1443"/>
      <c r="AC199" s="1443"/>
      <c r="AD199" s="1443"/>
      <c r="AE199" s="1443"/>
      <c r="AF199" s="1028"/>
      <c r="AG199" s="1028" t="s">
        <v>1031</v>
      </c>
      <c r="AH199" s="1028"/>
      <c r="AI199" s="1028"/>
      <c r="AJ199" s="1028"/>
      <c r="AK199" s="1028"/>
      <c r="AL199" s="1028"/>
      <c r="AM199" s="1028"/>
      <c r="AN199" s="1028"/>
      <c r="AO199" s="1028"/>
      <c r="AP199" s="1028"/>
      <c r="AQ199" s="1028"/>
      <c r="AR199" s="1028"/>
      <c r="AS199" s="1028"/>
      <c r="AT199" s="1028"/>
      <c r="AU199" s="1028"/>
      <c r="AV199" s="1028"/>
      <c r="AW199" s="77"/>
      <c r="AX199" s="83"/>
      <c r="AY199" s="83"/>
      <c r="AZ199" s="83"/>
      <c r="BA199" s="83"/>
      <c r="BB199" s="83"/>
      <c r="BC199" s="83"/>
      <c r="BD199" s="83"/>
      <c r="BE199" s="83"/>
      <c r="BF199" s="83"/>
      <c r="BG199" s="83"/>
      <c r="BH199" s="83"/>
      <c r="BJ199" s="1443"/>
      <c r="BK199" s="1443"/>
      <c r="BL199" s="1443"/>
      <c r="BM199" s="1443"/>
      <c r="BN199" s="1443"/>
      <c r="BO199" s="1443"/>
      <c r="BP199" s="1443"/>
      <c r="BQ199" s="1443"/>
      <c r="BR199" s="1443"/>
      <c r="BS199" s="1443"/>
      <c r="BT199" s="1443"/>
      <c r="BU199" s="1443"/>
      <c r="BV199" s="1443"/>
      <c r="BW199" s="77"/>
      <c r="BX199" s="1068" t="s">
        <v>1031</v>
      </c>
      <c r="BY199" s="1028"/>
      <c r="BZ199" s="1028"/>
      <c r="CA199" s="1028"/>
      <c r="CB199" s="1028"/>
      <c r="CC199" s="1028"/>
      <c r="CD199" s="1028"/>
    </row>
    <row r="200" spans="4:90" s="52" customFormat="1" ht="17.100000000000001" hidden="1" customHeight="1" outlineLevel="1">
      <c r="D200" s="1402"/>
      <c r="E200" s="1402"/>
      <c r="F200" s="1402"/>
      <c r="G200" s="1402"/>
      <c r="H200" s="1402"/>
      <c r="I200" s="1402"/>
      <c r="J200" s="1402"/>
      <c r="K200" s="85"/>
      <c r="L200" s="85"/>
      <c r="M200" s="85"/>
      <c r="N200" s="85"/>
      <c r="O200" s="85"/>
      <c r="P200" s="85"/>
      <c r="Q200" s="85"/>
      <c r="R200" s="85"/>
      <c r="S200" s="1444" t="str">
        <f>IF(W145=1,IF($W142=1,S198,""),"")</f>
        <v/>
      </c>
      <c r="T200" s="1444"/>
      <c r="U200" s="1444"/>
      <c r="V200" s="1444"/>
      <c r="W200" s="1444"/>
      <c r="X200" s="1444"/>
      <c r="Y200" s="1444"/>
      <c r="Z200" s="1444"/>
      <c r="AA200" s="1444"/>
      <c r="AB200" s="1444"/>
      <c r="AC200" s="1444"/>
      <c r="AD200" s="1444"/>
      <c r="AE200" s="1444"/>
      <c r="AF200" s="1027"/>
      <c r="AG200" s="1027"/>
      <c r="AH200" s="1027"/>
      <c r="AI200" s="1027"/>
      <c r="AJ200" s="1027"/>
      <c r="AK200" s="1027"/>
      <c r="AL200" s="1027"/>
      <c r="AM200" s="1027"/>
      <c r="AN200" s="1027"/>
      <c r="AO200" s="1027"/>
      <c r="AP200" s="1027"/>
      <c r="AQ200" s="1027"/>
      <c r="AR200" s="1027"/>
      <c r="AS200" s="1027"/>
      <c r="AT200" s="1027"/>
      <c r="AU200" s="1027"/>
      <c r="AV200" s="1027"/>
      <c r="AW200" s="97"/>
      <c r="AX200" s="1402"/>
      <c r="AY200" s="1402"/>
      <c r="AZ200" s="1402"/>
      <c r="BA200" s="1402"/>
      <c r="BB200" s="1402"/>
      <c r="BC200" s="1402"/>
      <c r="BD200" s="1402"/>
      <c r="BE200" s="1402"/>
      <c r="BF200" s="1402"/>
      <c r="BG200" s="1402"/>
      <c r="BH200" s="1402"/>
      <c r="BI200" s="1011"/>
      <c r="BJ200" s="1444" t="str">
        <f>IF(W145=1,IF($W142=1,BJ198,""),"")</f>
        <v/>
      </c>
      <c r="BK200" s="1444"/>
      <c r="BL200" s="1444"/>
      <c r="BM200" s="1444"/>
      <c r="BN200" s="1444"/>
      <c r="BO200" s="1444"/>
      <c r="BP200" s="1444"/>
      <c r="BQ200" s="1444"/>
      <c r="BR200" s="1444"/>
      <c r="BS200" s="1444"/>
      <c r="BT200" s="1444"/>
      <c r="BU200" s="1444"/>
      <c r="BV200" s="1444"/>
      <c r="BW200" s="97"/>
      <c r="BX200" s="1402"/>
      <c r="BY200" s="1402"/>
      <c r="BZ200" s="1402"/>
      <c r="CA200" s="1402"/>
      <c r="CB200" s="1402"/>
      <c r="CC200" s="1402"/>
      <c r="CD200" s="1402"/>
    </row>
    <row r="201" spans="4:90" hidden="1" outlineLevel="1"/>
    <row r="202" spans="4:90" hidden="1" outlineLevel="1"/>
    <row r="203" spans="4:90" s="882" customFormat="1" ht="17.100000000000001" hidden="1" customHeight="1" outlineLevel="1">
      <c r="D203" s="1017" t="s">
        <v>1093</v>
      </c>
      <c r="E203" s="1017"/>
      <c r="F203" s="1017"/>
      <c r="G203" s="1017"/>
      <c r="H203" s="1017"/>
      <c r="I203" s="1017"/>
      <c r="J203" s="1017"/>
      <c r="K203" s="1017"/>
      <c r="L203" s="1017"/>
      <c r="M203" s="1017"/>
      <c r="N203" s="1017"/>
      <c r="O203" s="1017"/>
      <c r="P203" s="1017"/>
      <c r="Q203" s="1017"/>
      <c r="R203" s="1017"/>
      <c r="S203" s="1186" t="s">
        <v>313</v>
      </c>
      <c r="T203" s="1183"/>
      <c r="U203" s="1183"/>
      <c r="V203" s="1183"/>
      <c r="W203" s="1183"/>
      <c r="X203" s="1017"/>
      <c r="Y203" s="1186" t="s">
        <v>313</v>
      </c>
      <c r="Z203" s="1017"/>
      <c r="AA203" s="1017"/>
      <c r="AB203" s="1017"/>
      <c r="AC203" s="1017"/>
      <c r="AD203" s="1017"/>
      <c r="AE203" s="1017"/>
      <c r="AF203" s="1017"/>
      <c r="AG203" s="1017"/>
      <c r="AH203" s="1017"/>
      <c r="AI203" s="1017"/>
      <c r="AJ203" s="1017"/>
      <c r="AK203" s="1017"/>
      <c r="AL203" s="1017"/>
      <c r="AM203" s="1017"/>
      <c r="AN203" s="1017"/>
      <c r="AO203" s="1017"/>
      <c r="AP203" s="1017"/>
      <c r="AQ203" s="1017"/>
      <c r="AR203" s="1017"/>
      <c r="AS203" s="1017"/>
      <c r="AT203" s="1017"/>
      <c r="AU203" s="1017"/>
      <c r="AV203" s="1017"/>
      <c r="AW203" s="1017"/>
      <c r="AX203" s="1017"/>
      <c r="AY203" s="1017"/>
      <c r="AZ203" s="1017"/>
      <c r="BA203" s="1017"/>
      <c r="BB203" s="1017"/>
      <c r="BC203" s="1017"/>
      <c r="BD203" s="1017"/>
      <c r="BE203" s="1019"/>
      <c r="BF203" s="1017"/>
      <c r="BG203" s="1020"/>
      <c r="BH203" s="1017"/>
      <c r="BI203" s="1017"/>
      <c r="BJ203" s="1017" t="str">
        <f>S203</f>
        <v>Art</v>
      </c>
      <c r="BK203" s="1017"/>
      <c r="BL203" s="1017"/>
      <c r="BM203" s="1017"/>
      <c r="BN203" s="1017"/>
      <c r="BO203" s="1017"/>
      <c r="BP203" s="1017"/>
      <c r="BQ203" s="1017"/>
      <c r="BR203" s="1017"/>
      <c r="BS203" s="1017"/>
      <c r="BT203" s="1017"/>
      <c r="BU203" s="1017"/>
      <c r="BV203" s="1017"/>
      <c r="BW203" s="1017"/>
      <c r="BX203" s="1017"/>
      <c r="BY203" s="1017"/>
      <c r="BZ203" s="1017"/>
      <c r="CA203" s="1017"/>
      <c r="CB203" s="1017"/>
      <c r="CC203" s="1017"/>
      <c r="CD203" s="1017"/>
      <c r="CE203" s="1017"/>
      <c r="CF203" s="1017"/>
      <c r="CG203" s="1017"/>
      <c r="CH203" s="1017"/>
      <c r="CI203" s="1017"/>
      <c r="CJ203" s="1017"/>
    </row>
    <row r="204" spans="4:90" ht="17.100000000000001" hidden="1" customHeight="1" outlineLevel="1">
      <c r="D204" s="36" t="str">
        <f>X!$C$175</f>
        <v>manuelle Eingabe</v>
      </c>
      <c r="E204" s="36"/>
      <c r="F204" s="36"/>
      <c r="G204" s="36"/>
      <c r="H204" s="36"/>
      <c r="I204" s="36"/>
      <c r="J204" s="36"/>
      <c r="K204" s="36"/>
      <c r="L204" s="36"/>
      <c r="M204" s="36"/>
      <c r="N204" s="36"/>
      <c r="O204" s="36"/>
      <c r="P204" s="36"/>
      <c r="Q204" s="36"/>
      <c r="R204" s="36"/>
      <c r="S204" s="1405">
        <f>AH52</f>
        <v>0</v>
      </c>
      <c r="T204" s="1405"/>
      <c r="U204" s="1405"/>
      <c r="V204" s="1405"/>
      <c r="W204" s="1405"/>
      <c r="X204" s="1274"/>
      <c r="Y204" s="1405"/>
      <c r="Z204" s="1405"/>
      <c r="AA204" s="1405"/>
      <c r="AB204" s="1405"/>
      <c r="AC204" s="1405"/>
      <c r="AD204" s="1405"/>
      <c r="AE204" s="1405"/>
      <c r="AF204" s="1405"/>
      <c r="AG204" s="1405"/>
      <c r="AH204" s="1405"/>
      <c r="AI204" s="1405"/>
      <c r="AJ204" s="1405"/>
      <c r="AK204" s="1405"/>
      <c r="AL204" s="1405"/>
      <c r="AM204" s="1406"/>
      <c r="AN204" s="1406"/>
      <c r="AO204" s="1406"/>
      <c r="AP204" s="1406"/>
      <c r="AQ204" s="1406"/>
      <c r="AR204" s="1406"/>
      <c r="AS204" s="1406"/>
      <c r="AT204" s="1273"/>
      <c r="AU204" s="1273"/>
      <c r="AV204" s="1273"/>
      <c r="AW204" s="77"/>
      <c r="AX204" s="1407"/>
      <c r="AY204" s="1407"/>
      <c r="AZ204" s="1407"/>
      <c r="BA204" s="1407"/>
      <c r="BB204" s="1407"/>
      <c r="BC204" s="1407"/>
      <c r="BD204" s="1407"/>
      <c r="BE204" s="1407"/>
      <c r="BF204" s="1407"/>
      <c r="BG204" s="1407"/>
      <c r="BH204" s="1407"/>
      <c r="BJ204" s="1405">
        <f>S204</f>
        <v>0</v>
      </c>
      <c r="BK204" s="1405"/>
      <c r="BL204" s="1405"/>
      <c r="BM204" s="1405"/>
      <c r="BN204" s="1405"/>
      <c r="BO204" s="1274"/>
      <c r="BP204" s="1405"/>
      <c r="BQ204" s="1405"/>
      <c r="BR204" s="1405"/>
      <c r="BS204" s="1405"/>
      <c r="BT204" s="1405"/>
      <c r="BU204" s="1405"/>
      <c r="BV204" s="1405"/>
      <c r="BW204" s="1405"/>
      <c r="BX204" s="1405"/>
      <c r="BY204" s="1405"/>
      <c r="BZ204" s="1405"/>
      <c r="CA204" s="1405"/>
      <c r="CB204" s="1405"/>
      <c r="CC204" s="1405"/>
      <c r="CD204" s="1406"/>
      <c r="CE204" s="1406"/>
      <c r="CF204" s="1406"/>
      <c r="CG204" s="1406"/>
      <c r="CH204" s="1406"/>
      <c r="CI204" s="1406"/>
      <c r="CJ204" s="1406"/>
    </row>
    <row r="205" spans="4:90" ht="17.100000000000001" hidden="1" customHeight="1" outlineLevel="1">
      <c r="D205" s="82" t="s">
        <v>1009</v>
      </c>
      <c r="E205" s="36"/>
      <c r="F205" s="36"/>
      <c r="G205" s="36"/>
      <c r="H205" s="36"/>
      <c r="I205" s="36"/>
      <c r="J205" s="36"/>
      <c r="K205" s="36"/>
      <c r="L205" s="36"/>
      <c r="M205" s="36"/>
      <c r="N205" s="36"/>
      <c r="O205" s="36"/>
      <c r="P205" s="36"/>
      <c r="Q205" s="36"/>
      <c r="R205" s="36"/>
      <c r="S205" s="1405">
        <f>'2A Electricity regular'!W88</f>
        <v>0</v>
      </c>
      <c r="T205" s="1405"/>
      <c r="U205" s="1405"/>
      <c r="V205" s="1405"/>
      <c r="W205" s="1405"/>
      <c r="X205" s="1274"/>
      <c r="Y205" s="1405"/>
      <c r="Z205" s="1405"/>
      <c r="AA205" s="1405"/>
      <c r="AB205" s="1405"/>
      <c r="AC205" s="1405"/>
      <c r="AD205" s="1405"/>
      <c r="AE205" s="1405"/>
      <c r="AF205" s="1405"/>
      <c r="AG205" s="1405"/>
      <c r="AH205" s="1405"/>
      <c r="AI205" s="1405"/>
      <c r="AJ205" s="1405"/>
      <c r="AK205" s="1405"/>
      <c r="AL205" s="1405"/>
      <c r="AM205" s="1406"/>
      <c r="AN205" s="1406"/>
      <c r="AO205" s="1406"/>
      <c r="AP205" s="1406"/>
      <c r="AQ205" s="1406"/>
      <c r="AR205" s="1406"/>
      <c r="AS205" s="1406"/>
      <c r="AT205" s="1275"/>
      <c r="AU205" s="1275"/>
      <c r="AV205" s="1275"/>
      <c r="AW205" s="77"/>
      <c r="AX205" s="77"/>
      <c r="AY205" s="77"/>
      <c r="AZ205" s="77"/>
      <c r="BA205" s="77"/>
      <c r="BB205" s="77"/>
      <c r="BC205" s="77"/>
      <c r="BD205" s="77"/>
      <c r="BE205" s="77"/>
      <c r="BF205" s="77"/>
      <c r="BG205" s="77"/>
      <c r="BH205" s="77"/>
      <c r="BI205" s="52"/>
      <c r="BJ205" s="1405">
        <f>'2A Electricity regular'!AU88</f>
        <v>0</v>
      </c>
      <c r="BK205" s="1405"/>
      <c r="BL205" s="1405"/>
      <c r="BM205" s="1405"/>
      <c r="BN205" s="1405"/>
      <c r="BO205" s="1274"/>
      <c r="BP205" s="1405"/>
      <c r="BQ205" s="1405"/>
      <c r="BR205" s="1405"/>
      <c r="BS205" s="1405"/>
      <c r="BT205" s="1405"/>
      <c r="BU205" s="1405"/>
      <c r="BV205" s="1405"/>
      <c r="BW205" s="1405"/>
      <c r="BX205" s="1405"/>
      <c r="BY205" s="1405"/>
      <c r="BZ205" s="1405"/>
      <c r="CA205" s="1405"/>
      <c r="CB205" s="1405"/>
      <c r="CC205" s="1405"/>
      <c r="CD205" s="1406"/>
      <c r="CE205" s="1406"/>
      <c r="CF205" s="1406"/>
      <c r="CG205" s="1406"/>
      <c r="CH205" s="1406"/>
      <c r="CI205" s="1406"/>
      <c r="CJ205" s="1406"/>
    </row>
    <row r="206" spans="4:90" ht="17.100000000000001" hidden="1" customHeight="1" outlineLevel="1">
      <c r="D206" s="31" t="s">
        <v>1010</v>
      </c>
      <c r="E206" s="82"/>
      <c r="F206" s="82"/>
      <c r="G206" s="82"/>
      <c r="H206" s="82"/>
      <c r="I206" s="82"/>
      <c r="J206" s="82"/>
      <c r="K206" s="82"/>
      <c r="L206" s="82"/>
      <c r="M206" s="82"/>
      <c r="N206" s="82"/>
      <c r="O206" s="36"/>
      <c r="P206" s="82"/>
      <c r="Q206" s="82"/>
      <c r="R206" s="82"/>
      <c r="S206" s="1405">
        <f>'2B Electricity simplified'!W81</f>
        <v>0</v>
      </c>
      <c r="T206" s="1405"/>
      <c r="U206" s="1405"/>
      <c r="V206" s="1405"/>
      <c r="W206" s="1405"/>
      <c r="X206" s="1274"/>
      <c r="Y206" s="1405"/>
      <c r="Z206" s="1405"/>
      <c r="AA206" s="1405"/>
      <c r="AB206" s="1405"/>
      <c r="AC206" s="1405"/>
      <c r="AD206" s="1405"/>
      <c r="AE206" s="1405"/>
      <c r="AF206" s="1405"/>
      <c r="AG206" s="1405"/>
      <c r="AH206" s="1405"/>
      <c r="AI206" s="1405"/>
      <c r="AJ206" s="1405"/>
      <c r="AK206" s="1405"/>
      <c r="AL206" s="1405"/>
      <c r="AM206" s="1406"/>
      <c r="AN206" s="1406"/>
      <c r="AO206" s="1406"/>
      <c r="AP206" s="1406"/>
      <c r="AQ206" s="1406"/>
      <c r="AR206" s="1406"/>
      <c r="AS206" s="1406"/>
      <c r="AT206" s="1275"/>
      <c r="AU206" s="1275"/>
      <c r="AV206" s="1275"/>
      <c r="AW206" s="77"/>
      <c r="AX206" s="83"/>
      <c r="AY206" s="83"/>
      <c r="AZ206" s="83"/>
      <c r="BA206" s="83"/>
      <c r="BB206" s="83"/>
      <c r="BC206" s="83"/>
      <c r="BD206" s="83"/>
      <c r="BE206" s="83"/>
      <c r="BF206" s="83"/>
      <c r="BG206" s="83"/>
      <c r="BH206" s="83"/>
      <c r="BJ206" s="1405">
        <f>'2B Electricity simplified'!AU81</f>
        <v>0</v>
      </c>
      <c r="BK206" s="1405"/>
      <c r="BL206" s="1405"/>
      <c r="BM206" s="1405"/>
      <c r="BN206" s="1405"/>
      <c r="BO206" s="1274"/>
      <c r="BP206" s="1405"/>
      <c r="BQ206" s="1405"/>
      <c r="BR206" s="1405"/>
      <c r="BS206" s="1405"/>
      <c r="BT206" s="1405"/>
      <c r="BU206" s="1405"/>
      <c r="BV206" s="1405"/>
      <c r="BW206" s="1405"/>
      <c r="BX206" s="1405"/>
      <c r="BY206" s="1405"/>
      <c r="BZ206" s="1405"/>
      <c r="CA206" s="1405"/>
      <c r="CB206" s="1405"/>
      <c r="CC206" s="1405"/>
      <c r="CD206" s="1406"/>
      <c r="CE206" s="1406"/>
      <c r="CF206" s="1406"/>
      <c r="CG206" s="1406"/>
      <c r="CH206" s="1406"/>
      <c r="CI206" s="1406"/>
      <c r="CJ206" s="1406"/>
    </row>
    <row r="207" spans="4:90" s="52" customFormat="1" ht="17.100000000000001" hidden="1" customHeight="1" outlineLevel="1">
      <c r="D207" s="1402"/>
      <c r="E207" s="1402"/>
      <c r="F207" s="1402"/>
      <c r="G207" s="1402"/>
      <c r="H207" s="1402"/>
      <c r="I207" s="1402"/>
      <c r="J207" s="1402"/>
      <c r="K207" s="85"/>
      <c r="L207" s="85"/>
      <c r="M207" s="85"/>
      <c r="N207" s="85"/>
      <c r="O207" s="85"/>
      <c r="P207" s="85"/>
      <c r="Q207" s="85"/>
      <c r="R207" s="85"/>
      <c r="S207" s="1403">
        <f>IF(W141=1,S204,IF(W142=1,S205,S206))</f>
        <v>0</v>
      </c>
      <c r="T207" s="1403"/>
      <c r="U207" s="1403"/>
      <c r="V207" s="1403"/>
      <c r="W207" s="1403"/>
      <c r="X207" s="1277"/>
      <c r="Y207" s="1403"/>
      <c r="Z207" s="1403"/>
      <c r="AA207" s="1403"/>
      <c r="AB207" s="1403"/>
      <c r="AC207" s="1403"/>
      <c r="AD207" s="1403"/>
      <c r="AE207" s="1403"/>
      <c r="AF207" s="1403"/>
      <c r="AG207" s="1403"/>
      <c r="AH207" s="1403"/>
      <c r="AI207" s="1403"/>
      <c r="AJ207" s="1403"/>
      <c r="AK207" s="1403"/>
      <c r="AL207" s="1403"/>
      <c r="AM207" s="1404"/>
      <c r="AN207" s="1404"/>
      <c r="AO207" s="1404"/>
      <c r="AP207" s="1404"/>
      <c r="AQ207" s="1404"/>
      <c r="AR207" s="1404"/>
      <c r="AS207" s="1404"/>
      <c r="AT207" s="1276"/>
      <c r="AU207" s="1276"/>
      <c r="AV207" s="1276"/>
      <c r="AW207" s="97"/>
      <c r="AX207" s="97"/>
      <c r="AY207" s="97"/>
      <c r="AZ207" s="97"/>
      <c r="BA207" s="97"/>
      <c r="BB207" s="97"/>
      <c r="BC207" s="97"/>
      <c r="BD207" s="97"/>
      <c r="BE207" s="97"/>
      <c r="BF207" s="97"/>
      <c r="BG207" s="97"/>
      <c r="BH207" s="97"/>
      <c r="BI207" s="1011"/>
      <c r="BJ207" s="1403">
        <f>IF(W141=1,BJ204,IF(W142=1,BJ205,BJ206))</f>
        <v>0</v>
      </c>
      <c r="BK207" s="1403"/>
      <c r="BL207" s="1403"/>
      <c r="BM207" s="1403"/>
      <c r="BN207" s="1403"/>
      <c r="BO207" s="1277"/>
      <c r="BP207" s="1403"/>
      <c r="BQ207" s="1403"/>
      <c r="BR207" s="1403"/>
      <c r="BS207" s="1403"/>
      <c r="BT207" s="1403"/>
      <c r="BU207" s="1403"/>
      <c r="BV207" s="1403"/>
      <c r="BW207" s="1403"/>
      <c r="BX207" s="1403"/>
      <c r="BY207" s="1403"/>
      <c r="BZ207" s="1403"/>
      <c r="CA207" s="1403"/>
      <c r="CB207" s="1403"/>
      <c r="CC207" s="1403"/>
      <c r="CD207" s="1404"/>
      <c r="CE207" s="1404"/>
      <c r="CF207" s="1404"/>
      <c r="CG207" s="1404"/>
      <c r="CH207" s="1404"/>
      <c r="CI207" s="1404"/>
      <c r="CJ207" s="1404"/>
    </row>
    <row r="208" spans="4:90" collapsed="1"/>
    <row r="229" spans="61:61">
      <c r="BI229" s="1255">
        <v>1</v>
      </c>
    </row>
  </sheetData>
  <sheetProtection algorithmName="SHA-512" hashValue="vZSeDGHu9iWWq2n6Xmc/+tZPjR7viMV2HgDjMoFiUV6ydDj7sHtNy3nOHd89cY5NdoDNsFgxQ5oBMr9I0Xnrpg==" saltValue="NudWdRFsCMEXkxAwZdD2ZQ==" spinCount="100000" sheet="1" objects="1" scenarios="1" selectLockedCells="1"/>
  <mergeCells count="213">
    <mergeCell ref="D200:J200"/>
    <mergeCell ref="AX200:BH200"/>
    <mergeCell ref="BX200:CD200"/>
    <mergeCell ref="S198:AE198"/>
    <mergeCell ref="S199:AE199"/>
    <mergeCell ref="BJ198:BV198"/>
    <mergeCell ref="BJ199:BV199"/>
    <mergeCell ref="S200:AE200"/>
    <mergeCell ref="BJ200:BV200"/>
    <mergeCell ref="BP193:BV193"/>
    <mergeCell ref="BX193:CD193"/>
    <mergeCell ref="D193:J193"/>
    <mergeCell ref="S193:W193"/>
    <mergeCell ref="Y193:AE193"/>
    <mergeCell ref="BJ193:BN193"/>
    <mergeCell ref="S192:W192"/>
    <mergeCell ref="Y192:AE192"/>
    <mergeCell ref="BJ192:BN192"/>
    <mergeCell ref="BP192:BV192"/>
    <mergeCell ref="BP186:BV186"/>
    <mergeCell ref="BX186:CD186"/>
    <mergeCell ref="S191:W191"/>
    <mergeCell ref="Y191:AE191"/>
    <mergeCell ref="BJ191:BN191"/>
    <mergeCell ref="BP191:BV191"/>
    <mergeCell ref="BX191:CD191"/>
    <mergeCell ref="D186:J186"/>
    <mergeCell ref="S186:W186"/>
    <mergeCell ref="Y186:AE186"/>
    <mergeCell ref="D172:J172"/>
    <mergeCell ref="S172:Y172"/>
    <mergeCell ref="D165:J165"/>
    <mergeCell ref="S165:W165"/>
    <mergeCell ref="Y165:AE165"/>
    <mergeCell ref="Y163:AE163"/>
    <mergeCell ref="S156:W156"/>
    <mergeCell ref="S162:W162"/>
    <mergeCell ref="Y162:AE162"/>
    <mergeCell ref="Z169:AF169"/>
    <mergeCell ref="Y164:AE164"/>
    <mergeCell ref="AG169:AM169"/>
    <mergeCell ref="BX184:CD184"/>
    <mergeCell ref="S185:W185"/>
    <mergeCell ref="Y185:AE185"/>
    <mergeCell ref="BJ185:BN185"/>
    <mergeCell ref="BP185:BV185"/>
    <mergeCell ref="S184:W184"/>
    <mergeCell ref="Y184:AE184"/>
    <mergeCell ref="BJ184:BN184"/>
    <mergeCell ref="BP184:BV184"/>
    <mergeCell ref="S170:Y170"/>
    <mergeCell ref="BJ177:BN177"/>
    <mergeCell ref="Z170:AF170"/>
    <mergeCell ref="Z171:AF171"/>
    <mergeCell ref="AG170:AM170"/>
    <mergeCell ref="AG171:AM171"/>
    <mergeCell ref="Y177:AE177"/>
    <mergeCell ref="AF177:AL177"/>
    <mergeCell ref="AM177:AS177"/>
    <mergeCell ref="BJ172:BP172"/>
    <mergeCell ref="AM178:AS178"/>
    <mergeCell ref="BP178:BV178"/>
    <mergeCell ref="BQ170:BW170"/>
    <mergeCell ref="BX170:CD170"/>
    <mergeCell ref="BJ162:BN162"/>
    <mergeCell ref="BP162:BV162"/>
    <mergeCell ref="BP165:BV165"/>
    <mergeCell ref="BJ163:BN163"/>
    <mergeCell ref="W21:AE21"/>
    <mergeCell ref="E2:K2"/>
    <mergeCell ref="I28:AA28"/>
    <mergeCell ref="I35:AA35"/>
    <mergeCell ref="C21:N21"/>
    <mergeCell ref="BP155:BV155"/>
    <mergeCell ref="AG21:BD21"/>
    <mergeCell ref="AH28:AZ28"/>
    <mergeCell ref="Q21:U21"/>
    <mergeCell ref="E4:AE7"/>
    <mergeCell ref="BJ165:BN165"/>
    <mergeCell ref="E70:AZ70"/>
    <mergeCell ref="E69:AZ69"/>
    <mergeCell ref="E72:AZ72"/>
    <mergeCell ref="AE78:BC78"/>
    <mergeCell ref="E75:AZ75"/>
    <mergeCell ref="AH54:AM54"/>
    <mergeCell ref="AX162:BH162"/>
    <mergeCell ref="BP163:BV163"/>
    <mergeCell ref="S164:W164"/>
    <mergeCell ref="BX155:CD155"/>
    <mergeCell ref="U46:AZ46"/>
    <mergeCell ref="U60:AZ60"/>
    <mergeCell ref="U62:AZ62"/>
    <mergeCell ref="AH35:AZ35"/>
    <mergeCell ref="E74:AZ74"/>
    <mergeCell ref="E76:AZ76"/>
    <mergeCell ref="I38:AZ39"/>
    <mergeCell ref="S155:W155"/>
    <mergeCell ref="Y155:AE155"/>
    <mergeCell ref="AX155:BH155"/>
    <mergeCell ref="BJ155:BN155"/>
    <mergeCell ref="AH50:AM50"/>
    <mergeCell ref="AH58:AM58"/>
    <mergeCell ref="AH48:AM48"/>
    <mergeCell ref="AH52:AM52"/>
    <mergeCell ref="E56:AZ56"/>
    <mergeCell ref="BX158:CD158"/>
    <mergeCell ref="D158:J158"/>
    <mergeCell ref="AX157:BH157"/>
    <mergeCell ref="AX156:BH156"/>
    <mergeCell ref="BP156:BV156"/>
    <mergeCell ref="S158:W158"/>
    <mergeCell ref="Y158:AE158"/>
    <mergeCell ref="AX158:BH158"/>
    <mergeCell ref="BJ158:BN158"/>
    <mergeCell ref="BP158:BV158"/>
    <mergeCell ref="BX156:CD156"/>
    <mergeCell ref="S157:W157"/>
    <mergeCell ref="Y157:AE157"/>
    <mergeCell ref="BJ157:BN157"/>
    <mergeCell ref="BP157:BV157"/>
    <mergeCell ref="Y156:AE156"/>
    <mergeCell ref="BJ156:BN156"/>
    <mergeCell ref="BQ172:BW172"/>
    <mergeCell ref="BW176:CC176"/>
    <mergeCell ref="CD176:CJ176"/>
    <mergeCell ref="S171:Y171"/>
    <mergeCell ref="BJ171:BP171"/>
    <mergeCell ref="BX183:CD183"/>
    <mergeCell ref="S197:AE197"/>
    <mergeCell ref="BJ197:BV197"/>
    <mergeCell ref="S190:W190"/>
    <mergeCell ref="BJ190:BN190"/>
    <mergeCell ref="BJ186:BN186"/>
    <mergeCell ref="S183:W183"/>
    <mergeCell ref="Y183:AE183"/>
    <mergeCell ref="BJ183:BN183"/>
    <mergeCell ref="BP183:BV183"/>
    <mergeCell ref="Z172:AF172"/>
    <mergeCell ref="AG172:AM172"/>
    <mergeCell ref="Y176:AE176"/>
    <mergeCell ref="AF176:AL176"/>
    <mergeCell ref="AM176:AS176"/>
    <mergeCell ref="AX176:BH176"/>
    <mergeCell ref="BP176:BV176"/>
    <mergeCell ref="Y178:AE178"/>
    <mergeCell ref="AF178:AL178"/>
    <mergeCell ref="D179:J179"/>
    <mergeCell ref="Y179:AE179"/>
    <mergeCell ref="AF179:AL179"/>
    <mergeCell ref="AM179:AS179"/>
    <mergeCell ref="BP179:BV179"/>
    <mergeCell ref="BW179:CC179"/>
    <mergeCell ref="CD179:CJ179"/>
    <mergeCell ref="S179:W179"/>
    <mergeCell ref="BJ179:BN179"/>
    <mergeCell ref="BX162:CD162"/>
    <mergeCell ref="S176:W176"/>
    <mergeCell ref="S169:Y169"/>
    <mergeCell ref="BJ176:BN176"/>
    <mergeCell ref="BJ169:BP169"/>
    <mergeCell ref="BW177:CC177"/>
    <mergeCell ref="CD177:CJ177"/>
    <mergeCell ref="BX172:CD172"/>
    <mergeCell ref="BW178:CC178"/>
    <mergeCell ref="CD178:CJ178"/>
    <mergeCell ref="S178:W178"/>
    <mergeCell ref="BJ178:BN178"/>
    <mergeCell ref="S177:W177"/>
    <mergeCell ref="BP177:BV177"/>
    <mergeCell ref="BQ169:BW169"/>
    <mergeCell ref="BX169:CD169"/>
    <mergeCell ref="BX163:CD163"/>
    <mergeCell ref="S163:W163"/>
    <mergeCell ref="BX165:CD165"/>
    <mergeCell ref="BQ171:BW171"/>
    <mergeCell ref="BX171:CD171"/>
    <mergeCell ref="BJ170:BP170"/>
    <mergeCell ref="BJ164:BN164"/>
    <mergeCell ref="BP164:BV164"/>
    <mergeCell ref="S204:W204"/>
    <mergeCell ref="Y204:AE204"/>
    <mergeCell ref="AF204:AL204"/>
    <mergeCell ref="AM204:AS204"/>
    <mergeCell ref="AX204:BH204"/>
    <mergeCell ref="BJ204:BN204"/>
    <mergeCell ref="BP204:BV204"/>
    <mergeCell ref="BW204:CC204"/>
    <mergeCell ref="CD204:CJ204"/>
    <mergeCell ref="S205:W205"/>
    <mergeCell ref="Y205:AE205"/>
    <mergeCell ref="AF205:AL205"/>
    <mergeCell ref="AM205:AS205"/>
    <mergeCell ref="BJ205:BN205"/>
    <mergeCell ref="BP205:BV205"/>
    <mergeCell ref="BW205:CC205"/>
    <mergeCell ref="CD205:CJ205"/>
    <mergeCell ref="S206:W206"/>
    <mergeCell ref="Y206:AE206"/>
    <mergeCell ref="AF206:AL206"/>
    <mergeCell ref="AM206:AS206"/>
    <mergeCell ref="BJ206:BN206"/>
    <mergeCell ref="BP206:BV206"/>
    <mergeCell ref="BW206:CC206"/>
    <mergeCell ref="CD206:CJ206"/>
    <mergeCell ref="D207:J207"/>
    <mergeCell ref="S207:W207"/>
    <mergeCell ref="Y207:AE207"/>
    <mergeCell ref="AF207:AL207"/>
    <mergeCell ref="AM207:AS207"/>
    <mergeCell ref="BJ207:BN207"/>
    <mergeCell ref="BP207:BV207"/>
    <mergeCell ref="BW207:CC207"/>
    <mergeCell ref="CD207:CJ207"/>
  </mergeCells>
  <phoneticPr fontId="9" type="noConversion"/>
  <conditionalFormatting sqref="D69:BD70">
    <cfRule type="expression" dxfId="422" priority="1309">
      <formula>IF($AH$48=$D$120,1,0)</formula>
    </cfRule>
  </conditionalFormatting>
  <conditionalFormatting sqref="D50:T50 AC50:BA50 AC52:BA52 D52:T52">
    <cfRule type="expression" dxfId="421" priority="1310">
      <formula>IF($AH$48=$D$120,0,1)</formula>
    </cfRule>
  </conditionalFormatting>
  <conditionalFormatting sqref="D62:BA62">
    <cfRule type="expression" dxfId="420" priority="1311">
      <formula>IF($AH$58=$D$119,0,1)</formula>
    </cfRule>
  </conditionalFormatting>
  <conditionalFormatting sqref="D70:BD70">
    <cfRule type="expression" dxfId="419" priority="1345">
      <formula>IF($AK$107=1,0,1)</formula>
    </cfRule>
  </conditionalFormatting>
  <conditionalFormatting sqref="D69:BD69">
    <cfRule type="expression" dxfId="418" priority="1365">
      <formula>IF($AC$107=1,0,1)</formula>
    </cfRule>
  </conditionalFormatting>
  <conditionalFormatting sqref="D54:AZ54">
    <cfRule type="expression" dxfId="417" priority="1367">
      <formula>IF($W$146=1,0,1)</formula>
    </cfRule>
  </conditionalFormatting>
  <conditionalFormatting sqref="E56:AZ56">
    <cfRule type="expression" dxfId="416" priority="1">
      <formula>IF($W$147=1,0,1)</formula>
    </cfRule>
  </conditionalFormatting>
  <dataValidations count="4">
    <dataValidation type="list" allowBlank="1" showInputMessage="1" showErrorMessage="1" sqref="AH58 C53 C64:BD64 C62 AH48 AH54" xr:uid="{00000000-0002-0000-0100-000000000000}">
      <formula1>$D$119:$D$120</formula1>
    </dataValidation>
    <dataValidation type="list" allowBlank="1" showInputMessage="1" showErrorMessage="1" sqref="E2" xr:uid="{00000000-0002-0000-0100-000001000000}">
      <formula1>$D$91:$D$93</formula1>
    </dataValidation>
    <dataValidation type="list" allowBlank="1" showInputMessage="1" showErrorMessage="1" sqref="U46:BA46" xr:uid="{00000000-0002-0000-0100-000002000000}">
      <formula1>$D$101:$D$106</formula1>
    </dataValidation>
    <dataValidation type="list" allowBlank="1" showInputMessage="1" showErrorMessage="1" sqref="AH52:AM52" xr:uid="{41AA0978-1847-6C4A-9B2B-F4687EACCD2D}">
      <formula1>$D$123:$D$124</formula1>
    </dataValidation>
  </dataValidations>
  <hyperlinks>
    <hyperlink ref="E70" location="'2B Electricity climate'!A1" display="'2B Electricity climate'!A1" xr:uid="{00000000-0004-0000-0100-000000000000}"/>
    <hyperlink ref="F70" location="'2B Electricity climate'!A1" display="'2B Electricity climate'!A1" xr:uid="{00000000-0004-0000-0100-000001000000}"/>
    <hyperlink ref="G70" location="'2B Electricity climate'!A1" display="'2B Electricity climate'!A1" xr:uid="{00000000-0004-0000-0100-000002000000}"/>
    <hyperlink ref="H70" location="'2B Electricity climate'!A1" display="'2B Electricity climate'!A1" xr:uid="{00000000-0004-0000-0100-000003000000}"/>
    <hyperlink ref="I70" location="'2B Electricity climate'!A1" display="'2B Electricity climate'!A1" xr:uid="{00000000-0004-0000-0100-000004000000}"/>
    <hyperlink ref="J70" location="'2B Electricity climate'!A1" display="'2B Electricity climate'!A1" xr:uid="{00000000-0004-0000-0100-000005000000}"/>
    <hyperlink ref="K70" location="'2B Electricity climate'!A1" display="'2B Electricity climate'!A1" xr:uid="{00000000-0004-0000-0100-000006000000}"/>
    <hyperlink ref="L70" location="'2B Electricity climate'!A1" display="'2B Electricity climate'!A1" xr:uid="{00000000-0004-0000-0100-000007000000}"/>
    <hyperlink ref="M70" location="'2B Electricity climate'!A1" display="'2B Electricity climate'!A1" xr:uid="{00000000-0004-0000-0100-000008000000}"/>
    <hyperlink ref="N70" location="'2B Electricity climate'!A1" display="'2B Electricity climate'!A1" xr:uid="{00000000-0004-0000-0100-000009000000}"/>
    <hyperlink ref="O70" location="'2B Electricity climate'!A1" display="'2B Electricity climate'!A1" xr:uid="{00000000-0004-0000-0100-00000A000000}"/>
    <hyperlink ref="P70" location="'2B Electricity climate'!A1" display="'2B Electricity climate'!A1" xr:uid="{00000000-0004-0000-0100-00000B000000}"/>
    <hyperlink ref="Q70" location="'2B Electricity climate'!A1" display="'2B Electricity climate'!A1" xr:uid="{00000000-0004-0000-0100-00000C000000}"/>
    <hyperlink ref="R70" location="'2B Electricity climate'!A1" display="'2B Electricity climate'!A1" xr:uid="{00000000-0004-0000-0100-00000D000000}"/>
    <hyperlink ref="S70" location="'2B Electricity climate'!A1" display="'2B Electricity climate'!A1" xr:uid="{00000000-0004-0000-0100-00000E000000}"/>
    <hyperlink ref="T70" location="'2B Electricity climate'!A1" display="'2B Electricity climate'!A1" xr:uid="{00000000-0004-0000-0100-00000F000000}"/>
    <hyperlink ref="U70" location="'2B Electricity climate'!A1" display="'2B Electricity climate'!A1" xr:uid="{00000000-0004-0000-0100-000010000000}"/>
    <hyperlink ref="V70" location="'2B Electricity climate'!A1" display="'2B Electricity climate'!A1" xr:uid="{00000000-0004-0000-0100-000011000000}"/>
    <hyperlink ref="W70" location="'2B Electricity climate'!A1" display="'2B Electricity climate'!A1" xr:uid="{00000000-0004-0000-0100-000012000000}"/>
    <hyperlink ref="X70" location="'2B Electricity climate'!A1" display="'2B Electricity climate'!A1" xr:uid="{00000000-0004-0000-0100-000013000000}"/>
    <hyperlink ref="Y70" location="'2B Electricity climate'!A1" display="'2B Electricity climate'!A1" xr:uid="{00000000-0004-0000-0100-000014000000}"/>
    <hyperlink ref="Z70" location="'2B Electricity climate'!A1" display="'2B Electricity climate'!A1" xr:uid="{00000000-0004-0000-0100-000015000000}"/>
    <hyperlink ref="AA70" location="'2B Electricity climate'!A1" display="'2B Electricity climate'!A1" xr:uid="{00000000-0004-0000-0100-000016000000}"/>
    <hyperlink ref="AB70" location="'2B Electricity climate'!A1" display="'2B Electricity climate'!A1" xr:uid="{00000000-0004-0000-0100-000017000000}"/>
    <hyperlink ref="AC70" location="'2B Electricity climate'!A1" display="'2B Electricity climate'!A1" xr:uid="{00000000-0004-0000-0100-000018000000}"/>
    <hyperlink ref="AD70" location="'2B Electricity climate'!A1" display="'2B Electricity climate'!A1" xr:uid="{00000000-0004-0000-0100-000019000000}"/>
    <hyperlink ref="AE70" location="'2B Electricity climate'!A1" display="'2B Electricity climate'!A1" xr:uid="{00000000-0004-0000-0100-00001A000000}"/>
    <hyperlink ref="AW70" location="'2B Electricity climate'!A1" display="'2B Electricity climate'!A1" xr:uid="{00000000-0004-0000-0100-00001B000000}"/>
    <hyperlink ref="AX70" location="'2B Electricity climate'!A1" display="'2B Electricity climate'!A1" xr:uid="{00000000-0004-0000-0100-00001C000000}"/>
    <hyperlink ref="AY70" location="'2B Electricity climate'!A1" display="'2B Electricity climate'!A1" xr:uid="{00000000-0004-0000-0100-00001D000000}"/>
    <hyperlink ref="AZ70" location="'2B Electricity climate'!A1" display="'2B Electricity climate'!A1" xr:uid="{00000000-0004-0000-0100-00001E000000}"/>
    <hyperlink ref="E69" location="'2A Electricity Industry &amp; Com.'!A1" display="Elektrizitätsbedarf Industrie- oder Gewerbekälte" xr:uid="{00000000-0004-0000-0100-00001F000000}"/>
    <hyperlink ref="F69" location="'2A Electricity Industry &amp; Com.'!A1" display="'2A Electricity Industry &amp; Com.'!A1" xr:uid="{00000000-0004-0000-0100-000020000000}"/>
    <hyperlink ref="G69" location="'2A Electricity Industry &amp; Com.'!A1" display="'2A Electricity Industry &amp; Com.'!A1" xr:uid="{00000000-0004-0000-0100-000021000000}"/>
    <hyperlink ref="H69" location="'2A Electricity Industry &amp; Com.'!A1" display="'2A Electricity Industry &amp; Com.'!A1" xr:uid="{00000000-0004-0000-0100-000022000000}"/>
    <hyperlink ref="I69" location="'2A Electricity Industry &amp; Com.'!A1" display="'2A Electricity Industry &amp; Com.'!A1" xr:uid="{00000000-0004-0000-0100-000023000000}"/>
    <hyperlink ref="J69" location="'2A Electricity Industry &amp; Com.'!A1" display="'2A Electricity Industry &amp; Com.'!A1" xr:uid="{00000000-0004-0000-0100-000024000000}"/>
    <hyperlink ref="K69" location="'2A Electricity Industry &amp; Com.'!A1" display="'2A Electricity Industry &amp; Com.'!A1" xr:uid="{00000000-0004-0000-0100-000025000000}"/>
    <hyperlink ref="L69" location="'2A Electricity Industry &amp; Com.'!A1" display="'2A Electricity Industry &amp; Com.'!A1" xr:uid="{00000000-0004-0000-0100-000026000000}"/>
    <hyperlink ref="M69" location="'2A Electricity Industry &amp; Com.'!A1" display="'2A Electricity Industry &amp; Com.'!A1" xr:uid="{00000000-0004-0000-0100-000027000000}"/>
    <hyperlink ref="N69" location="'2A Electricity Industry &amp; Com.'!A1" display="'2A Electricity Industry &amp; Com.'!A1" xr:uid="{00000000-0004-0000-0100-000028000000}"/>
    <hyperlink ref="O69" location="'2A Electricity Industry &amp; Com.'!A1" display="'2A Electricity Industry &amp; Com.'!A1" xr:uid="{00000000-0004-0000-0100-000029000000}"/>
    <hyperlink ref="P69" location="'2A Electricity Industry &amp; Com.'!A1" display="'2A Electricity Industry &amp; Com.'!A1" xr:uid="{00000000-0004-0000-0100-00002A000000}"/>
    <hyperlink ref="Q69" location="'2A Electricity Industry &amp; Com.'!A1" display="'2A Electricity Industry &amp; Com.'!A1" xr:uid="{00000000-0004-0000-0100-00002B000000}"/>
    <hyperlink ref="R69" location="'2A Electricity Industry &amp; Com.'!A1" display="'2A Electricity Industry &amp; Com.'!A1" xr:uid="{00000000-0004-0000-0100-00002C000000}"/>
    <hyperlink ref="S69" location="'2A Electricity Industry &amp; Com.'!A1" display="'2A Electricity Industry &amp; Com.'!A1" xr:uid="{00000000-0004-0000-0100-00002D000000}"/>
    <hyperlink ref="T69" location="'2A Electricity Industry &amp; Com.'!A1" display="'2A Electricity Industry &amp; Com.'!A1" xr:uid="{00000000-0004-0000-0100-00002E000000}"/>
    <hyperlink ref="U69" location="'2A Electricity Industry &amp; Com.'!A1" display="'2A Electricity Industry &amp; Com.'!A1" xr:uid="{00000000-0004-0000-0100-00002F000000}"/>
    <hyperlink ref="V69" location="'2A Electricity Industry &amp; Com.'!A1" display="'2A Electricity Industry &amp; Com.'!A1" xr:uid="{00000000-0004-0000-0100-000030000000}"/>
    <hyperlink ref="W69" location="'2A Electricity Industry &amp; Com.'!A1" display="'2A Electricity Industry &amp; Com.'!A1" xr:uid="{00000000-0004-0000-0100-000031000000}"/>
    <hyperlink ref="X69" location="'2A Electricity Industry &amp; Com.'!A1" display="'2A Electricity Industry &amp; Com.'!A1" xr:uid="{00000000-0004-0000-0100-000032000000}"/>
    <hyperlink ref="Y69" location="'2A Electricity Industry &amp; Com.'!A1" display="'2A Electricity Industry &amp; Com.'!A1" xr:uid="{00000000-0004-0000-0100-000033000000}"/>
    <hyperlink ref="Z69" location="'2A Electricity Industry &amp; Com.'!A1" display="'2A Electricity Industry &amp; Com.'!A1" xr:uid="{00000000-0004-0000-0100-000034000000}"/>
    <hyperlink ref="AA69" location="'2A Electricity Industry &amp; Com.'!A1" display="'2A Electricity Industry &amp; Com.'!A1" xr:uid="{00000000-0004-0000-0100-000035000000}"/>
    <hyperlink ref="AB69" location="'2A Electricity Industry &amp; Com.'!A1" display="'2A Electricity Industry &amp; Com.'!A1" xr:uid="{00000000-0004-0000-0100-000036000000}"/>
    <hyperlink ref="AC69" location="'2A Electricity Industry &amp; Com.'!A1" display="'2A Electricity Industry &amp; Com.'!A1" xr:uid="{00000000-0004-0000-0100-000037000000}"/>
    <hyperlink ref="AD69" location="'2A Electricity Industry &amp; Com.'!A1" display="'2A Electricity Industry &amp; Com.'!A1" xr:uid="{00000000-0004-0000-0100-000038000000}"/>
    <hyperlink ref="AE69" location="'2A Electricity Industry &amp; Com.'!A1" display="'2A Electricity Industry &amp; Com.'!A1" xr:uid="{00000000-0004-0000-0100-000039000000}"/>
    <hyperlink ref="AW69" location="'2A Electricity Industry &amp; Com.'!A1" display="'2A Electricity Industry &amp; Com.'!A1" xr:uid="{00000000-0004-0000-0100-00003A000000}"/>
    <hyperlink ref="AX69" location="'2A Electricity Industry &amp; Com.'!A1" display="'2A Electricity Industry &amp; Com.'!A1" xr:uid="{00000000-0004-0000-0100-00003B000000}"/>
    <hyperlink ref="AY69" location="'2A Electricity Industry &amp; Com.'!A1" display="'2A Electricity Industry &amp; Com.'!A1" xr:uid="{00000000-0004-0000-0100-00003C000000}"/>
    <hyperlink ref="AZ69" location="'2A Electricity Industry &amp; Com.'!A1" display="'2A Electricity Industry &amp; Com.'!A1" xr:uid="{00000000-0004-0000-0100-00003D000000}"/>
    <hyperlink ref="E72" location="'3 TEWI'!A1" display="TEWI-Tool" xr:uid="{00000000-0004-0000-0100-00003E000000}"/>
    <hyperlink ref="F72" location="'3 TEWI'!A1" display="'3 TEWI'!A1" xr:uid="{00000000-0004-0000-0100-00003F000000}"/>
    <hyperlink ref="G72" location="'3 TEWI'!A1" display="'3 TEWI'!A1" xr:uid="{00000000-0004-0000-0100-000040000000}"/>
    <hyperlink ref="H72" location="'3 TEWI'!A1" display="'3 TEWI'!A1" xr:uid="{00000000-0004-0000-0100-000041000000}"/>
    <hyperlink ref="I72" location="'3 TEWI'!A1" display="'3 TEWI'!A1" xr:uid="{00000000-0004-0000-0100-000042000000}"/>
    <hyperlink ref="J72" location="'3 TEWI'!A1" display="'3 TEWI'!A1" xr:uid="{00000000-0004-0000-0100-000043000000}"/>
    <hyperlink ref="K72" location="'3 TEWI'!A1" display="'3 TEWI'!A1" xr:uid="{00000000-0004-0000-0100-000044000000}"/>
    <hyperlink ref="L72" location="'3 TEWI'!A1" display="'3 TEWI'!A1" xr:uid="{00000000-0004-0000-0100-000045000000}"/>
    <hyperlink ref="M72" location="'3 TEWI'!A1" display="'3 TEWI'!A1" xr:uid="{00000000-0004-0000-0100-000046000000}"/>
    <hyperlink ref="N72" location="'3 TEWI'!A1" display="'3 TEWI'!A1" xr:uid="{00000000-0004-0000-0100-000047000000}"/>
    <hyperlink ref="O72" location="'3 TEWI'!A1" display="'3 TEWI'!A1" xr:uid="{00000000-0004-0000-0100-000048000000}"/>
    <hyperlink ref="P72" location="'3 TEWI'!A1" display="'3 TEWI'!A1" xr:uid="{00000000-0004-0000-0100-000049000000}"/>
    <hyperlink ref="Q72" location="'3 TEWI'!A1" display="'3 TEWI'!A1" xr:uid="{00000000-0004-0000-0100-00004A000000}"/>
    <hyperlink ref="R72" location="'3 TEWI'!A1" display="'3 TEWI'!A1" xr:uid="{00000000-0004-0000-0100-00004B000000}"/>
    <hyperlink ref="S72" location="'3 TEWI'!A1" display="'3 TEWI'!A1" xr:uid="{00000000-0004-0000-0100-00004C000000}"/>
    <hyperlink ref="T72" location="'3 TEWI'!A1" display="'3 TEWI'!A1" xr:uid="{00000000-0004-0000-0100-00004D000000}"/>
    <hyperlink ref="U72" location="'3 TEWI'!A1" display="'3 TEWI'!A1" xr:uid="{00000000-0004-0000-0100-00004E000000}"/>
    <hyperlink ref="V72" location="'3 TEWI'!A1" display="'3 TEWI'!A1" xr:uid="{00000000-0004-0000-0100-00004F000000}"/>
    <hyperlink ref="W72" location="'3 TEWI'!A1" display="'3 TEWI'!A1" xr:uid="{00000000-0004-0000-0100-000050000000}"/>
    <hyperlink ref="X72" location="'3 TEWI'!A1" display="'3 TEWI'!A1" xr:uid="{00000000-0004-0000-0100-000051000000}"/>
    <hyperlink ref="Y72" location="'3 TEWI'!A1" display="'3 TEWI'!A1" xr:uid="{00000000-0004-0000-0100-000052000000}"/>
    <hyperlink ref="Z72" location="'3 TEWI'!A1" display="'3 TEWI'!A1" xr:uid="{00000000-0004-0000-0100-000053000000}"/>
    <hyperlink ref="AA72" location="'3 TEWI'!A1" display="'3 TEWI'!A1" xr:uid="{00000000-0004-0000-0100-000054000000}"/>
    <hyperlink ref="AB72" location="'3 TEWI'!A1" display="'3 TEWI'!A1" xr:uid="{00000000-0004-0000-0100-000055000000}"/>
    <hyperlink ref="AC72" location="'3 TEWI'!A1" display="'3 TEWI'!A1" xr:uid="{00000000-0004-0000-0100-000056000000}"/>
    <hyperlink ref="AD72" location="'3 TEWI'!A1" display="'3 TEWI'!A1" xr:uid="{00000000-0004-0000-0100-000057000000}"/>
    <hyperlink ref="AE72" location="'3 TEWI'!A1" display="'3 TEWI'!A1" xr:uid="{00000000-0004-0000-0100-000058000000}"/>
    <hyperlink ref="AW72" location="'3 TEWI'!A1" display="'3 TEWI'!A1" xr:uid="{00000000-0004-0000-0100-000059000000}"/>
    <hyperlink ref="AX72" location="'3 TEWI'!A1" display="'3 TEWI'!A1" xr:uid="{00000000-0004-0000-0100-00005A000000}"/>
    <hyperlink ref="AY72" location="'3 TEWI'!A1" display="'3 TEWI'!A1" xr:uid="{00000000-0004-0000-0100-00005B000000}"/>
    <hyperlink ref="AZ72" location="'3 TEWI'!A1" display="'3 TEWI'!A1" xr:uid="{00000000-0004-0000-0100-00005C000000}"/>
    <hyperlink ref="E76" location="'5 Result'!A1" display="'5 Result'!A1" xr:uid="{00000000-0004-0000-0100-00005D000000}"/>
    <hyperlink ref="F76" location="'5 Result'!A1" display="'5 Result'!A1" xr:uid="{00000000-0004-0000-0100-00005E000000}"/>
    <hyperlink ref="G76" location="'5 Result'!A1" display="'5 Result'!A1" xr:uid="{00000000-0004-0000-0100-00005F000000}"/>
    <hyperlink ref="H76" location="'5 Result'!A1" display="'5 Result'!A1" xr:uid="{00000000-0004-0000-0100-000060000000}"/>
    <hyperlink ref="I76" location="'5 Result'!A1" display="'5 Result'!A1" xr:uid="{00000000-0004-0000-0100-000061000000}"/>
    <hyperlink ref="J76" location="'5 Result'!A1" display="'5 Result'!A1" xr:uid="{00000000-0004-0000-0100-000062000000}"/>
    <hyperlink ref="K76" location="'5 Result'!A1" display="'5 Result'!A1" xr:uid="{00000000-0004-0000-0100-000063000000}"/>
    <hyperlink ref="L76" location="'5 Result'!A1" display="'5 Result'!A1" xr:uid="{00000000-0004-0000-0100-000064000000}"/>
    <hyperlink ref="M76" location="'5 Result'!A1" display="'5 Result'!A1" xr:uid="{00000000-0004-0000-0100-000065000000}"/>
    <hyperlink ref="N76" location="'5 Result'!A1" display="'5 Result'!A1" xr:uid="{00000000-0004-0000-0100-000066000000}"/>
    <hyperlink ref="O76" location="'5 Result'!A1" display="'5 Result'!A1" xr:uid="{00000000-0004-0000-0100-000067000000}"/>
    <hyperlink ref="P76" location="'5 Result'!A1" display="'5 Result'!A1" xr:uid="{00000000-0004-0000-0100-000068000000}"/>
    <hyperlink ref="Q76" location="'5 Result'!A1" display="'5 Result'!A1" xr:uid="{00000000-0004-0000-0100-000069000000}"/>
    <hyperlink ref="R76" location="'5 Result'!A1" display="'5 Result'!A1" xr:uid="{00000000-0004-0000-0100-00006A000000}"/>
    <hyperlink ref="S76" location="'5 Result'!A1" display="'5 Result'!A1" xr:uid="{00000000-0004-0000-0100-00006B000000}"/>
    <hyperlink ref="T76" location="'5 Result'!A1" display="'5 Result'!A1" xr:uid="{00000000-0004-0000-0100-00006C000000}"/>
    <hyperlink ref="U76" location="'5 Result'!A1" display="'5 Result'!A1" xr:uid="{00000000-0004-0000-0100-00006D000000}"/>
    <hyperlink ref="V76" location="'5 Result'!A1" display="'5 Result'!A1" xr:uid="{00000000-0004-0000-0100-00006E000000}"/>
    <hyperlink ref="W76" location="'5 Result'!A1" display="'5 Result'!A1" xr:uid="{00000000-0004-0000-0100-00006F000000}"/>
    <hyperlink ref="X76" location="'5 Result'!A1" display="'5 Result'!A1" xr:uid="{00000000-0004-0000-0100-000070000000}"/>
    <hyperlink ref="Y76" location="'5 Result'!A1" display="'5 Result'!A1" xr:uid="{00000000-0004-0000-0100-000071000000}"/>
    <hyperlink ref="Z76" location="'5 Result'!A1" display="'5 Result'!A1" xr:uid="{00000000-0004-0000-0100-000072000000}"/>
    <hyperlink ref="AA76" location="'5 Result'!A1" display="'5 Result'!A1" xr:uid="{00000000-0004-0000-0100-000073000000}"/>
    <hyperlink ref="AB76" location="'5 Result'!A1" display="'5 Result'!A1" xr:uid="{00000000-0004-0000-0100-000074000000}"/>
    <hyperlink ref="AC76" location="'5 Result'!A1" display="'5 Result'!A1" xr:uid="{00000000-0004-0000-0100-000075000000}"/>
    <hyperlink ref="AD76" location="'5 Result'!A1" display="'5 Result'!A1" xr:uid="{00000000-0004-0000-0100-000076000000}"/>
    <hyperlink ref="AE76" location="'5 Result'!A1" display="'5 Result'!A1" xr:uid="{00000000-0004-0000-0100-000077000000}"/>
    <hyperlink ref="AW76" location="'5 Result'!A1" display="'5 Result'!A1" xr:uid="{00000000-0004-0000-0100-000078000000}"/>
    <hyperlink ref="AX76" location="'5 Result'!A1" display="'5 Result'!A1" xr:uid="{00000000-0004-0000-0100-000079000000}"/>
    <hyperlink ref="AY76" location="'5 Result'!A1" display="'5 Result'!A1" xr:uid="{00000000-0004-0000-0100-00007A000000}"/>
    <hyperlink ref="AZ76" location="'5 Result'!A1" display="'5 Result'!A1" xr:uid="{00000000-0004-0000-0100-00007B000000}"/>
    <hyperlink ref="AE78" location="I21" display="I21" xr:uid="{00000000-0004-0000-0100-00007C000000}"/>
    <hyperlink ref="AW78" location="I21" display="I21" xr:uid="{00000000-0004-0000-0100-00007D000000}"/>
    <hyperlink ref="AX78" location="I21" display="I21" xr:uid="{00000000-0004-0000-0100-00007E000000}"/>
    <hyperlink ref="AY78" location="I21" display="I21" xr:uid="{00000000-0004-0000-0100-00007F000000}"/>
    <hyperlink ref="AZ78" location="I21" display="I21" xr:uid="{00000000-0004-0000-0100-000080000000}"/>
    <hyperlink ref="BA78" location="I21" display="I21" xr:uid="{00000000-0004-0000-0100-000081000000}"/>
    <hyperlink ref="BB78" location="I21" display="I21" xr:uid="{00000000-0004-0000-0100-000082000000}"/>
    <hyperlink ref="BC78" location="I21" display="I21" xr:uid="{00000000-0004-0000-0100-000083000000}"/>
    <hyperlink ref="AZ74" location="'4 Economics'!A1" display="'4 Economics'!A1" xr:uid="{00000000-0004-0000-0100-000084000000}"/>
    <hyperlink ref="AY74" location="'4 Economics'!A1" display="'4 Economics'!A1" xr:uid="{00000000-0004-0000-0100-000085000000}"/>
    <hyperlink ref="AX74" location="'4 Economics'!A1" display="'4 Economics'!A1" xr:uid="{00000000-0004-0000-0100-000086000000}"/>
    <hyperlink ref="AW74" location="'4 Economics'!A1" display="'4 Economics'!A1" xr:uid="{00000000-0004-0000-0100-000087000000}"/>
    <hyperlink ref="AE74" location="'4 Economics'!A1" display="'4 Economics'!A1" xr:uid="{00000000-0004-0000-0100-000088000000}"/>
    <hyperlink ref="AD74" location="'4 Economics'!A1" display="'4 Economics'!A1" xr:uid="{00000000-0004-0000-0100-000089000000}"/>
    <hyperlink ref="AC74" location="'4 Economics'!A1" display="'4 Economics'!A1" xr:uid="{00000000-0004-0000-0100-00008A000000}"/>
    <hyperlink ref="AB74" location="'4 Economics'!A1" display="'4 Economics'!A1" xr:uid="{00000000-0004-0000-0100-00008B000000}"/>
    <hyperlink ref="AA74" location="'4 Economics'!A1" display="'4 Economics'!A1" xr:uid="{00000000-0004-0000-0100-00008C000000}"/>
    <hyperlink ref="Z74" location="'4 Economics'!A1" display="'4 Economics'!A1" xr:uid="{00000000-0004-0000-0100-00008D000000}"/>
    <hyperlink ref="Y74" location="'4 Economics'!A1" display="'4 Economics'!A1" xr:uid="{00000000-0004-0000-0100-00008E000000}"/>
    <hyperlink ref="X74" location="'4 Economics'!A1" display="'4 Economics'!A1" xr:uid="{00000000-0004-0000-0100-00008F000000}"/>
    <hyperlink ref="W74" location="'4 Economics'!A1" display="'4 Economics'!A1" xr:uid="{00000000-0004-0000-0100-000090000000}"/>
    <hyperlink ref="V74" location="'4 Economics'!A1" display="'4 Economics'!A1" xr:uid="{00000000-0004-0000-0100-000091000000}"/>
    <hyperlink ref="U74" location="'4 Economics'!A1" display="'4 Economics'!A1" xr:uid="{00000000-0004-0000-0100-000092000000}"/>
    <hyperlink ref="T74" location="'4 Economics'!A1" display="'4 Economics'!A1" xr:uid="{00000000-0004-0000-0100-000093000000}"/>
    <hyperlink ref="S74" location="'4 Economics'!A1" display="'4 Economics'!A1" xr:uid="{00000000-0004-0000-0100-000094000000}"/>
    <hyperlink ref="R74" location="'4 Economics'!A1" display="'4 Economics'!A1" xr:uid="{00000000-0004-0000-0100-000095000000}"/>
    <hyperlink ref="Q74" location="'4 Economics'!A1" display="'4 Economics'!A1" xr:uid="{00000000-0004-0000-0100-000096000000}"/>
    <hyperlink ref="P74" location="'4 Economics'!A1" display="'4 Economics'!A1" xr:uid="{00000000-0004-0000-0100-000097000000}"/>
    <hyperlink ref="O74" location="'4 Economics'!A1" display="'4 Economics'!A1" xr:uid="{00000000-0004-0000-0100-000098000000}"/>
    <hyperlink ref="N74" location="'4 Economics'!A1" display="'4 Economics'!A1" xr:uid="{00000000-0004-0000-0100-000099000000}"/>
    <hyperlink ref="M74" location="'4 Economics'!A1" display="'4 Economics'!A1" xr:uid="{00000000-0004-0000-0100-00009A000000}"/>
    <hyperlink ref="L74" location="'4 Economics'!A1" display="'4 Economics'!A1" xr:uid="{00000000-0004-0000-0100-00009B000000}"/>
    <hyperlink ref="K74" location="'4 Economics'!A1" display="'4 Economics'!A1" xr:uid="{00000000-0004-0000-0100-00009C000000}"/>
    <hyperlink ref="J74" location="'4 Economics'!A1" display="'4 Economics'!A1" xr:uid="{00000000-0004-0000-0100-00009D000000}"/>
    <hyperlink ref="I74" location="'4 Economics'!A1" display="'4 Economics'!A1" xr:uid="{00000000-0004-0000-0100-00009E000000}"/>
    <hyperlink ref="H74" location="'4 Economics'!A1" display="'4 Economics'!A1" xr:uid="{00000000-0004-0000-0100-00009F000000}"/>
    <hyperlink ref="G74" location="'4 Economics'!A1" display="'4 Economics'!A1" xr:uid="{00000000-0004-0000-0100-0000A0000000}"/>
    <hyperlink ref="F74" location="'4 Economics'!A1" display="'4 Economics'!A1" xr:uid="{00000000-0004-0000-0100-0000A1000000}"/>
    <hyperlink ref="E74" location="'4 Economics'!A1" display="'4 Economics'!A1" xr:uid="{00000000-0004-0000-0100-0000A2000000}"/>
    <hyperlink ref="AF74" location="'4 Economics'!A1" display="'4 Economics'!A1" xr:uid="{00000000-0004-0000-0100-0000A3000000}"/>
    <hyperlink ref="AG74" location="'4 Economics'!A1" display="'4 Economics'!A1" xr:uid="{00000000-0004-0000-0100-0000A4000000}"/>
    <hyperlink ref="AH74" location="'4 Economics'!A1" display="'4 Economics'!A1" xr:uid="{00000000-0004-0000-0100-0000A5000000}"/>
    <hyperlink ref="AI74" location="'4 Economics'!A1" display="'4 Economics'!A1" xr:uid="{00000000-0004-0000-0100-0000A6000000}"/>
    <hyperlink ref="AJ74" location="'4 Economics'!A1" display="'4 Economics'!A1" xr:uid="{00000000-0004-0000-0100-0000A7000000}"/>
    <hyperlink ref="AK74" location="'4 Economics'!A1" display="'4 Economics'!A1" xr:uid="{00000000-0004-0000-0100-0000A8000000}"/>
    <hyperlink ref="AL74" location="'4 Economics'!A1" display="'4 Economics'!A1" xr:uid="{00000000-0004-0000-0100-0000A9000000}"/>
    <hyperlink ref="AM74" location="'4 Economics'!A1" display="'4 Economics'!A1" xr:uid="{00000000-0004-0000-0100-0000AA000000}"/>
    <hyperlink ref="AN74" location="'4 Economics'!A1" display="'4 Economics'!A1" xr:uid="{00000000-0004-0000-0100-0000AB000000}"/>
    <hyperlink ref="AO74" location="'4 Economics'!A1" display="'4 Economics'!A1" xr:uid="{00000000-0004-0000-0100-0000AC000000}"/>
    <hyperlink ref="AP74" location="'4 Economics'!A1" display="'4 Economics'!A1" xr:uid="{00000000-0004-0000-0100-0000AD000000}"/>
    <hyperlink ref="AQ74" location="'4 Economics'!A1" display="'4 Economics'!A1" xr:uid="{00000000-0004-0000-0100-0000AE000000}"/>
    <hyperlink ref="AR74" location="'4 Economics'!A1" display="'4 Economics'!A1" xr:uid="{00000000-0004-0000-0100-0000AF000000}"/>
    <hyperlink ref="AS74" location="'4 Economics'!A1" display="'4 Economics'!A1" xr:uid="{00000000-0004-0000-0100-0000B0000000}"/>
    <hyperlink ref="AT74" location="'4 Economics'!A1" display="'4 Economics'!A1" xr:uid="{00000000-0004-0000-0100-0000B1000000}"/>
    <hyperlink ref="AU74" location="'4 Economics'!A1" display="'4 Economics'!A1" xr:uid="{00000000-0004-0000-0100-0000B2000000}"/>
    <hyperlink ref="AV74" location="'4 Economics'!A1" display="'4 Economics'!A1" xr:uid="{00000000-0004-0000-0100-0000B3000000}"/>
    <hyperlink ref="AF76" location="'5 Result'!A1" display="'5 Result'!A1" xr:uid="{00000000-0004-0000-0100-0000B4000000}"/>
    <hyperlink ref="AG76" location="'5 Result'!A1" display="'5 Result'!A1" xr:uid="{00000000-0004-0000-0100-0000B5000000}"/>
    <hyperlink ref="AH76" location="'5 Result'!A1" display="'5 Result'!A1" xr:uid="{00000000-0004-0000-0100-0000B6000000}"/>
    <hyperlink ref="AI76" location="'5 Result'!A1" display="'5 Result'!A1" xr:uid="{00000000-0004-0000-0100-0000B7000000}"/>
    <hyperlink ref="AJ76" location="'5 Result'!A1" display="'5 Result'!A1" xr:uid="{00000000-0004-0000-0100-0000B8000000}"/>
    <hyperlink ref="AK76" location="'5 Result'!A1" display="'5 Result'!A1" xr:uid="{00000000-0004-0000-0100-0000B9000000}"/>
    <hyperlink ref="AL76" location="'5 Result'!A1" display="'5 Result'!A1" xr:uid="{00000000-0004-0000-0100-0000BA000000}"/>
    <hyperlink ref="AM76" location="'5 Result'!A1" display="'5 Result'!A1" xr:uid="{00000000-0004-0000-0100-0000BB000000}"/>
    <hyperlink ref="AN76" location="'5 Result'!A1" display="'5 Result'!A1" xr:uid="{00000000-0004-0000-0100-0000BC000000}"/>
    <hyperlink ref="AO76" location="'5 Result'!A1" display="'5 Result'!A1" xr:uid="{00000000-0004-0000-0100-0000BD000000}"/>
    <hyperlink ref="AP76" location="'5 Result'!A1" display="'5 Result'!A1" xr:uid="{00000000-0004-0000-0100-0000BE000000}"/>
    <hyperlink ref="AQ76" location="'5 Result'!A1" display="'5 Result'!A1" xr:uid="{00000000-0004-0000-0100-0000BF000000}"/>
    <hyperlink ref="AR76" location="'5 Result'!A1" display="'5 Result'!A1" xr:uid="{00000000-0004-0000-0100-0000C0000000}"/>
    <hyperlink ref="AS76" location="'5 Result'!A1" display="'5 Result'!A1" xr:uid="{00000000-0004-0000-0100-0000C1000000}"/>
    <hyperlink ref="AT76" location="'5 Result'!A1" display="'5 Result'!A1" xr:uid="{00000000-0004-0000-0100-0000C2000000}"/>
    <hyperlink ref="AU76" location="'5 Result'!A1" display="'5 Result'!A1" xr:uid="{00000000-0004-0000-0100-0000C3000000}"/>
    <hyperlink ref="AV76" location="'5 Result'!A1" display="'5 Result'!A1" xr:uid="{00000000-0004-0000-0100-0000C4000000}"/>
    <hyperlink ref="AF69" location="'2A Electricity Industry &amp; Com.'!A1" display="'2A Electricity Industry &amp; Com.'!A1" xr:uid="{00000000-0004-0000-0100-0000C5000000}"/>
    <hyperlink ref="AG69" location="'2A Electricity Industry &amp; Com.'!A1" display="'2A Electricity Industry &amp; Com.'!A1" xr:uid="{00000000-0004-0000-0100-0000C6000000}"/>
    <hyperlink ref="AH69" location="'2A Electricity Industry &amp; Com.'!A1" display="'2A Electricity Industry &amp; Com.'!A1" xr:uid="{00000000-0004-0000-0100-0000C7000000}"/>
    <hyperlink ref="AI69" location="'2A Electricity Industry &amp; Com.'!A1" display="'2A Electricity Industry &amp; Com.'!A1" xr:uid="{00000000-0004-0000-0100-0000C8000000}"/>
    <hyperlink ref="AJ69" location="'2A Electricity Industry &amp; Com.'!A1" display="'2A Electricity Industry &amp; Com.'!A1" xr:uid="{00000000-0004-0000-0100-0000C9000000}"/>
    <hyperlink ref="AK69" location="'2A Electricity Industry &amp; Com.'!A1" display="'2A Electricity Industry &amp; Com.'!A1" xr:uid="{00000000-0004-0000-0100-0000CA000000}"/>
    <hyperlink ref="AL69" location="'2A Electricity Industry &amp; Com.'!A1" display="'2A Electricity Industry &amp; Com.'!A1" xr:uid="{00000000-0004-0000-0100-0000CB000000}"/>
    <hyperlink ref="AM69" location="'2A Electricity Industry &amp; Com.'!A1" display="'2A Electricity Industry &amp; Com.'!A1" xr:uid="{00000000-0004-0000-0100-0000CC000000}"/>
    <hyperlink ref="AN69" location="'2A Electricity Industry &amp; Com.'!A1" display="'2A Electricity Industry &amp; Com.'!A1" xr:uid="{00000000-0004-0000-0100-0000CD000000}"/>
    <hyperlink ref="AO69" location="'2A Electricity Industry &amp; Com.'!A1" display="'2A Electricity Industry &amp; Com.'!A1" xr:uid="{00000000-0004-0000-0100-0000CE000000}"/>
    <hyperlink ref="AP69" location="'2A Electricity Industry &amp; Com.'!A1" display="'2A Electricity Industry &amp; Com.'!A1" xr:uid="{00000000-0004-0000-0100-0000CF000000}"/>
    <hyperlink ref="AQ69" location="'2A Electricity Industry &amp; Com.'!A1" display="'2A Electricity Industry &amp; Com.'!A1" xr:uid="{00000000-0004-0000-0100-0000D0000000}"/>
    <hyperlink ref="AR69" location="'2A Electricity Industry &amp; Com.'!A1" display="'2A Electricity Industry &amp; Com.'!A1" xr:uid="{00000000-0004-0000-0100-0000D1000000}"/>
    <hyperlink ref="AS69" location="'2A Electricity Industry &amp; Com.'!A1" display="'2A Electricity Industry &amp; Com.'!A1" xr:uid="{00000000-0004-0000-0100-0000D2000000}"/>
    <hyperlink ref="AT69" location="'2A Electricity Industry &amp; Com.'!A1" display="'2A Electricity Industry &amp; Com.'!A1" xr:uid="{00000000-0004-0000-0100-0000D3000000}"/>
    <hyperlink ref="AU69" location="'2A Electricity Industry &amp; Com.'!A1" display="'2A Electricity Industry &amp; Com.'!A1" xr:uid="{00000000-0004-0000-0100-0000D4000000}"/>
    <hyperlink ref="AV69" location="'2A Electricity Industry &amp; Com.'!A1" display="'2A Electricity Industry &amp; Com.'!A1" xr:uid="{00000000-0004-0000-0100-0000D5000000}"/>
    <hyperlink ref="AF70" location="'2B Electricity climate'!A1" display="'2B Electricity climate'!A1" xr:uid="{00000000-0004-0000-0100-0000D6000000}"/>
    <hyperlink ref="AG70" location="'2B Electricity climate'!A1" display="'2B Electricity climate'!A1" xr:uid="{00000000-0004-0000-0100-0000D7000000}"/>
    <hyperlink ref="AH70" location="'2B Electricity climate'!A1" display="'2B Electricity climate'!A1" xr:uid="{00000000-0004-0000-0100-0000D8000000}"/>
    <hyperlink ref="AI70" location="'2B Electricity climate'!A1" display="'2B Electricity climate'!A1" xr:uid="{00000000-0004-0000-0100-0000D9000000}"/>
    <hyperlink ref="AJ70" location="'2B Electricity climate'!A1" display="'2B Electricity climate'!A1" xr:uid="{00000000-0004-0000-0100-0000DA000000}"/>
    <hyperlink ref="AK70" location="'2B Electricity climate'!A1" display="'2B Electricity climate'!A1" xr:uid="{00000000-0004-0000-0100-0000DB000000}"/>
    <hyperlink ref="AL70" location="'2B Electricity climate'!A1" display="'2B Electricity climate'!A1" xr:uid="{00000000-0004-0000-0100-0000DC000000}"/>
    <hyperlink ref="AM70" location="'2B Electricity climate'!A1" display="'2B Electricity climate'!A1" xr:uid="{00000000-0004-0000-0100-0000DD000000}"/>
    <hyperlink ref="AN70" location="'2B Electricity climate'!A1" display="'2B Electricity climate'!A1" xr:uid="{00000000-0004-0000-0100-0000DE000000}"/>
    <hyperlink ref="AO70" location="'2B Electricity climate'!A1" display="'2B Electricity climate'!A1" xr:uid="{00000000-0004-0000-0100-0000DF000000}"/>
    <hyperlink ref="AP70" location="'2B Electricity climate'!A1" display="'2B Electricity climate'!A1" xr:uid="{00000000-0004-0000-0100-0000E0000000}"/>
    <hyperlink ref="AQ70" location="'2B Electricity climate'!A1" display="'2B Electricity climate'!A1" xr:uid="{00000000-0004-0000-0100-0000E1000000}"/>
    <hyperlink ref="AR70" location="'2B Electricity climate'!A1" display="'2B Electricity climate'!A1" xr:uid="{00000000-0004-0000-0100-0000E2000000}"/>
    <hyperlink ref="AS70" location="'2B Electricity climate'!A1" display="'2B Electricity climate'!A1" xr:uid="{00000000-0004-0000-0100-0000E3000000}"/>
    <hyperlink ref="AT70" location="'2B Electricity climate'!A1" display="'2B Electricity climate'!A1" xr:uid="{00000000-0004-0000-0100-0000E4000000}"/>
    <hyperlink ref="AU70" location="'2B Electricity climate'!A1" display="'2B Electricity climate'!A1" xr:uid="{00000000-0004-0000-0100-0000E5000000}"/>
    <hyperlink ref="AV70" location="'2B Electricity climate'!A1" display="'2B Electricity climate'!A1" xr:uid="{00000000-0004-0000-0100-0000E6000000}"/>
    <hyperlink ref="E69:AZ69" location="'2A Electricity regular'!A1" display="'2A Electricity regular'!A1" xr:uid="{6D0E7C13-619B-7C4E-9F00-26B409D117F9}"/>
    <hyperlink ref="E70:AZ70" location="'2B Electricity simplified'!A1" display="'2B Electricity simplified'!A1" xr:uid="{623A9630-DDD8-8647-908A-D4E7C68EFABF}"/>
  </hyperlinks>
  <printOptions horizontalCentered="1"/>
  <pageMargins left="0.39370078740157483" right="0.39370078740157483" top="0.59055118110236227" bottom="0.78740157480314965" header="0.51181102362204722" footer="0"/>
  <pageSetup paperSize="9" scale="55" orientation="portrait" horizontalDpi="4294967292" verticalDpi="4294967292"/>
  <headerFooter>
    <oddFooter>&amp;C&amp;K000000&amp;G&amp;R&amp;K000000Sheet 1 - &amp;P</oddFooter>
  </headerFooter>
  <ignoredErrors>
    <ignoredError sqref="E69:E70 E72 E74 E76 AE78" unlockedFormula="1"/>
  </ignoredErrors>
  <drawing r:id="rId1"/>
  <legacyDrawingHF r:id="rId2"/>
  <extLst>
    <ext xmlns:x14="http://schemas.microsoft.com/office/spreadsheetml/2009/9/main" uri="{78C0D931-6437-407d-A8EE-F0AAD7539E65}">
      <x14:conditionalFormattings>
        <x14:conditionalFormatting xmlns:xm="http://schemas.microsoft.com/office/excel/2006/main">
          <x14:cfRule type="expression" priority="6" id="{A8929923-1CD8-744C-8BB8-FE8892F35C04}">
            <xm:f>IF(X!$C$458=X!$G$459,1,0)</xm:f>
            <x14:dxf>
              <font>
                <b/>
                <i val="0"/>
                <color rgb="FFFF0000"/>
              </font>
              <fill>
                <patternFill patternType="none">
                  <fgColor indexed="64"/>
                  <bgColor auto="1"/>
                </patternFill>
              </fill>
              <border>
                <left/>
                <right/>
                <top/>
                <bottom/>
              </border>
            </x14:dxf>
          </x14:cfRule>
          <xm:sqref>AG21:BD21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T932"/>
  <sheetViews>
    <sheetView showGridLines="0" showRowColHeaders="0" zoomScale="120" zoomScaleNormal="120" workbookViewId="0">
      <pane xSplit="77" ySplit="8" topLeftCell="BZ9" activePane="bottomRight" state="frozenSplit"/>
      <selection activeCell="R6" sqref="R6"/>
      <selection pane="topRight" activeCell="BU394" sqref="BU394"/>
      <selection pane="bottomLeft" activeCell="A48" sqref="A48"/>
      <selection pane="bottomRight" activeCell="S25" sqref="S25:U25"/>
    </sheetView>
  </sheetViews>
  <sheetFormatPr baseColWidth="10" defaultColWidth="2.85546875" defaultRowHeight="12.75" outlineLevelRow="2" outlineLevelCol="1"/>
  <cols>
    <col min="1" max="1" width="2.85546875" style="31"/>
    <col min="2" max="2" width="3.85546875" style="31" customWidth="1"/>
    <col min="3" max="3" width="4.28515625" style="302" customWidth="1"/>
    <col min="4" max="4" width="2.7109375" style="31" customWidth="1"/>
    <col min="5" max="9" width="2.85546875" style="31"/>
    <col min="10" max="10" width="3.7109375" style="31" bestFit="1" customWidth="1"/>
    <col min="11" max="11" width="2.85546875" style="31"/>
    <col min="12" max="13" width="2.85546875" style="31" customWidth="1"/>
    <col min="14" max="14" width="2.85546875" style="31"/>
    <col min="15" max="15" width="2.85546875" style="31" customWidth="1"/>
    <col min="16" max="16" width="2.85546875" style="28" customWidth="1"/>
    <col min="17" max="17" width="2.85546875" style="31" customWidth="1"/>
    <col min="18" max="18" width="2.85546875" style="31"/>
    <col min="19" max="19" width="2.85546875" style="31" customWidth="1"/>
    <col min="20" max="20" width="2.85546875" style="31"/>
    <col min="21" max="21" width="2.85546875" style="31" customWidth="1"/>
    <col min="22" max="25" width="2.85546875" style="31"/>
    <col min="26" max="27" width="3" style="31" customWidth="1"/>
    <col min="28" max="33" width="2.85546875" style="31"/>
    <col min="34" max="34" width="3.140625" style="31" bestFit="1" customWidth="1"/>
    <col min="35" max="37" width="2.85546875" style="31"/>
    <col min="38" max="38" width="1.140625" style="31" customWidth="1"/>
    <col min="39" max="41" width="2.85546875" style="31" customWidth="1"/>
    <col min="42" max="42" width="2.42578125" style="31" customWidth="1"/>
    <col min="43" max="43" width="2.7109375" style="31" customWidth="1"/>
    <col min="44" max="64" width="2.85546875" style="31"/>
    <col min="65" max="68" width="2.85546875" style="31" hidden="1" customWidth="1" outlineLevel="1"/>
    <col min="69" max="71" width="3.85546875" style="31" hidden="1" customWidth="1" outlineLevel="1"/>
    <col min="72" max="72" width="2.140625" style="31" hidden="1" customWidth="1" outlineLevel="1"/>
    <col min="73" max="73" width="10.85546875" style="31" hidden="1" customWidth="1" outlineLevel="1"/>
    <col min="74" max="76" width="18" style="31" hidden="1" customWidth="1" outlineLevel="1"/>
    <col min="77" max="77" width="2.85546875" style="31" collapsed="1"/>
    <col min="78" max="81" width="2.85546875" style="31"/>
    <col min="82" max="82" width="8" style="31" bestFit="1" customWidth="1"/>
    <col min="83" max="16384" width="2.85546875" style="31"/>
  </cols>
  <sheetData>
    <row r="2" spans="2:69">
      <c r="B2" s="1175"/>
      <c r="C2" s="1206" t="s">
        <v>0</v>
      </c>
      <c r="D2" s="1542" t="str">
        <f>X!$C$285</f>
        <v>zurück zur Übersicht (1)</v>
      </c>
      <c r="E2" s="1542"/>
      <c r="F2" s="1542"/>
      <c r="G2" s="1542"/>
      <c r="H2" s="1542"/>
      <c r="I2" s="1542"/>
      <c r="J2" s="1542"/>
      <c r="K2" s="1175"/>
      <c r="L2" s="1175"/>
      <c r="M2" s="1175"/>
      <c r="N2" s="1175"/>
      <c r="O2" s="1175"/>
      <c r="P2" s="1175"/>
      <c r="Q2" s="1175"/>
      <c r="R2" s="1175"/>
      <c r="S2" s="1207"/>
      <c r="T2" s="1206" t="s">
        <v>13</v>
      </c>
      <c r="U2" s="1542" t="str">
        <f>X!$C$284</f>
        <v>zur TEWI-Berechnung (3)</v>
      </c>
      <c r="V2" s="1542"/>
      <c r="W2" s="1542"/>
      <c r="X2" s="1542"/>
      <c r="Y2" s="1542"/>
      <c r="Z2" s="1542"/>
      <c r="AA2" s="1542"/>
      <c r="AM2" s="605">
        <f>X!E8</f>
        <v>1</v>
      </c>
      <c r="AN2" s="605">
        <f>X!F8</f>
        <v>0</v>
      </c>
      <c r="AO2" s="605">
        <f>X!G8</f>
        <v>0</v>
      </c>
      <c r="BQ2" s="31" t="s">
        <v>642</v>
      </c>
    </row>
    <row r="6" spans="2:69">
      <c r="C6" s="1306" t="s">
        <v>1345</v>
      </c>
      <c r="D6" s="1305" t="str">
        <f>B14</f>
        <v>2A: Berechnung Elektrizitätsbedarf</v>
      </c>
    </row>
    <row r="7" spans="2:69" ht="13.5" thickBot="1">
      <c r="B7" s="1177"/>
      <c r="C7" s="1177"/>
      <c r="D7" s="1177"/>
      <c r="E7" s="1177"/>
      <c r="F7" s="1177"/>
      <c r="G7" s="1177"/>
      <c r="H7" s="1177"/>
      <c r="I7" s="1177"/>
      <c r="J7" s="1177"/>
      <c r="K7" s="1177"/>
      <c r="L7" s="1177"/>
      <c r="M7" s="1177"/>
      <c r="N7" s="1177"/>
      <c r="O7" s="1177"/>
      <c r="P7" s="1178"/>
      <c r="Q7" s="1177"/>
      <c r="R7" s="1177"/>
      <c r="S7" s="1177"/>
      <c r="T7" s="1177"/>
      <c r="U7" s="1177"/>
      <c r="V7" s="1177"/>
      <c r="W7" s="1177"/>
      <c r="X7" s="1177"/>
      <c r="Y7" s="1177"/>
      <c r="Z7" s="1177"/>
      <c r="AA7" s="1177"/>
      <c r="AB7" s="1177"/>
      <c r="AC7" s="1177"/>
      <c r="AD7" s="1177"/>
      <c r="AE7" s="1177"/>
      <c r="AF7" s="1177"/>
      <c r="AG7" s="1177"/>
      <c r="AH7" s="1177"/>
      <c r="AI7" s="1177"/>
      <c r="AJ7" s="1177"/>
      <c r="AK7" s="1177"/>
      <c r="AL7" s="1177"/>
      <c r="AM7" s="1177"/>
      <c r="AN7" s="1177"/>
      <c r="AO7" s="1177"/>
      <c r="AP7" s="1177"/>
      <c r="AQ7" s="1177"/>
      <c r="AR7" s="1177"/>
      <c r="AS7" s="1177"/>
      <c r="AT7" s="1177"/>
      <c r="AU7" s="1177"/>
      <c r="AV7" s="1177"/>
      <c r="AW7" s="1177"/>
      <c r="AX7" s="1177"/>
      <c r="AY7" s="1177"/>
      <c r="AZ7" s="1177"/>
      <c r="BA7" s="1177"/>
      <c r="BB7" s="1177"/>
      <c r="BC7" s="1177"/>
      <c r="BD7" s="1177"/>
      <c r="BE7" s="1177"/>
      <c r="BF7" s="1177"/>
      <c r="BG7" s="1177"/>
      <c r="BH7" s="1177"/>
      <c r="BI7" s="1177"/>
    </row>
    <row r="8" spans="2:69" ht="12" customHeight="1" thickTop="1"/>
    <row r="9" spans="2:69" ht="12" customHeight="1"/>
    <row r="10" spans="2:69">
      <c r="B10" s="398" t="str">
        <f>X!$C$148</f>
        <v>Effiziente Kälte</v>
      </c>
      <c r="D10" s="30"/>
      <c r="E10" s="30"/>
      <c r="F10" s="30"/>
      <c r="G10" s="30"/>
      <c r="H10" s="30"/>
      <c r="I10" s="30"/>
      <c r="J10" s="30"/>
      <c r="K10" s="30"/>
      <c r="L10" s="30"/>
      <c r="M10" s="30"/>
      <c r="N10" s="30"/>
      <c r="O10" s="30"/>
      <c r="P10" s="30"/>
      <c r="Q10" s="30"/>
      <c r="R10" s="30"/>
      <c r="S10" s="30"/>
    </row>
    <row r="11" spans="2:69" s="32" customFormat="1" ht="18" customHeight="1">
      <c r="B11" s="34" t="str">
        <f>X!$C$21</f>
        <v>Kälte-Tool für die Abschätzung des Stromverbrauchs, der Umweltauswirkungen und der Lebenszykluskosten von Kälte- und Klimakälteanlagen</v>
      </c>
      <c r="C11" s="482"/>
      <c r="Q11" s="33"/>
    </row>
    <row r="12" spans="2:69" s="32" customFormat="1" ht="12" customHeight="1">
      <c r="B12" s="34"/>
      <c r="C12" s="482"/>
      <c r="Q12" s="33"/>
    </row>
    <row r="13" spans="2:69" s="32" customFormat="1" ht="12" customHeight="1">
      <c r="B13" s="34"/>
      <c r="C13" s="482"/>
      <c r="Q13" s="33"/>
    </row>
    <row r="14" spans="2:69" s="1208" customFormat="1" ht="30">
      <c r="B14" s="1208" t="str">
        <f>X!$C$18</f>
        <v>2A: Berechnung Elektrizitätsbedarf</v>
      </c>
      <c r="C14" s="1210"/>
      <c r="Q14" s="1211"/>
      <c r="BQ14" s="1208" t="s">
        <v>641</v>
      </c>
    </row>
    <row r="15" spans="2:69" s="1208" customFormat="1" ht="12" customHeight="1">
      <c r="C15" s="1210"/>
      <c r="Q15" s="1211"/>
    </row>
    <row r="16" spans="2:69" ht="12" customHeight="1">
      <c r="B16" s="35"/>
      <c r="C16" s="483"/>
      <c r="D16" s="35"/>
      <c r="E16" s="35"/>
      <c r="F16" s="35"/>
      <c r="G16" s="35"/>
      <c r="H16" s="35"/>
      <c r="I16" s="35"/>
      <c r="J16" s="35"/>
      <c r="K16" s="35"/>
      <c r="L16" s="35"/>
      <c r="M16" s="35"/>
      <c r="N16" s="35"/>
      <c r="O16" s="35"/>
      <c r="P16" s="35"/>
      <c r="Q16" s="35"/>
      <c r="R16" s="35"/>
      <c r="S16" s="35"/>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row>
    <row r="17" spans="2:76" ht="5.0999999999999996" customHeight="1">
      <c r="B17" s="52"/>
      <c r="C17" s="484"/>
      <c r="D17" s="30"/>
      <c r="E17" s="30"/>
      <c r="F17" s="30"/>
      <c r="G17" s="30"/>
      <c r="H17" s="30"/>
      <c r="I17" s="30"/>
      <c r="J17" s="30"/>
      <c r="K17" s="30"/>
      <c r="L17" s="30"/>
      <c r="M17" s="30"/>
      <c r="N17" s="30"/>
      <c r="O17" s="30"/>
      <c r="P17" s="30"/>
      <c r="Q17" s="30"/>
      <c r="R17" s="30"/>
      <c r="S17" s="30"/>
    </row>
    <row r="18" spans="2:76" s="37" customFormat="1" ht="12" customHeight="1">
      <c r="B18" s="101"/>
      <c r="C18" s="1431">
        <f>'1 System specification'!I28</f>
        <v>0</v>
      </c>
      <c r="D18" s="1431"/>
      <c r="E18" s="1431"/>
      <c r="F18" s="1431"/>
      <c r="G18" s="1431"/>
      <c r="H18" s="1431"/>
      <c r="I18" s="1431"/>
      <c r="J18" s="1431"/>
      <c r="K18" s="1431"/>
      <c r="L18" s="1431"/>
      <c r="M18" s="1431"/>
      <c r="N18" s="1431"/>
      <c r="O18" s="38"/>
      <c r="P18" s="38"/>
      <c r="Q18" s="1435">
        <f ca="1">IF('1 System specification'!AH28="",TODAY(),'1 System specification'!AH28)</f>
        <v>44257</v>
      </c>
      <c r="R18" s="1435"/>
      <c r="S18" s="1435"/>
      <c r="T18" s="1435"/>
      <c r="U18" s="1435"/>
      <c r="V18" s="39"/>
      <c r="W18" s="1431">
        <f>'1 System specification'!AH35</f>
        <v>0</v>
      </c>
      <c r="X18" s="1431"/>
      <c r="Y18" s="1431"/>
      <c r="Z18" s="1431"/>
      <c r="AA18" s="1431"/>
      <c r="AB18" s="1431"/>
      <c r="AC18" s="1431"/>
      <c r="AD18" s="1431"/>
      <c r="AE18" s="1431"/>
      <c r="AF18" s="39"/>
      <c r="AG18" s="1431">
        <f>'1 System specification'!I35</f>
        <v>0</v>
      </c>
      <c r="AH18" s="1431"/>
      <c r="AI18" s="1431"/>
      <c r="AJ18" s="1431"/>
      <c r="AK18" s="1431"/>
      <c r="AL18" s="1431"/>
      <c r="AM18" s="1431"/>
      <c r="AN18" s="1431"/>
      <c r="AO18" s="1431"/>
      <c r="AP18" s="1431"/>
      <c r="AQ18" s="1431"/>
      <c r="AR18" s="1677" t="str">
        <f>'1 System specification'!AG21</f>
        <v>Version 5.6 (2021): gültig bis 15. August 2021</v>
      </c>
      <c r="AS18" s="1677"/>
      <c r="AT18" s="1677"/>
      <c r="AU18" s="1677"/>
      <c r="AV18" s="1677"/>
      <c r="AW18" s="1677"/>
      <c r="AX18" s="1677"/>
      <c r="AY18" s="1677"/>
      <c r="AZ18" s="1677"/>
      <c r="BA18" s="1677"/>
      <c r="BB18" s="1677"/>
      <c r="BC18" s="1677"/>
      <c r="BD18" s="1677"/>
      <c r="BE18" s="1677"/>
      <c r="BF18" s="1677"/>
      <c r="BG18" s="1677"/>
      <c r="BH18" s="1677"/>
      <c r="BI18" s="1677"/>
      <c r="BJ18" s="1677"/>
    </row>
    <row r="19" spans="2:76" s="37" customFormat="1" ht="3.95" customHeight="1">
      <c r="B19" s="41"/>
      <c r="C19" s="41"/>
      <c r="D19" s="41"/>
      <c r="E19" s="41"/>
      <c r="F19" s="41"/>
      <c r="G19" s="41"/>
      <c r="H19" s="41"/>
      <c r="I19" s="41"/>
      <c r="J19" s="41"/>
      <c r="K19" s="41"/>
      <c r="L19" s="41"/>
      <c r="M19" s="41"/>
      <c r="N19" s="41"/>
      <c r="O19" s="40"/>
      <c r="P19" s="40"/>
      <c r="Q19" s="42"/>
      <c r="R19" s="41"/>
      <c r="S19" s="41"/>
      <c r="T19" s="41"/>
      <c r="U19" s="41"/>
      <c r="V19" s="41"/>
      <c r="W19" s="41"/>
      <c r="X19" s="40"/>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row>
    <row r="20" spans="2:76">
      <c r="B20" s="52"/>
      <c r="C20" s="484"/>
      <c r="D20" s="30"/>
      <c r="E20" s="30"/>
      <c r="F20" s="30"/>
      <c r="G20" s="30"/>
      <c r="H20" s="30"/>
      <c r="I20" s="30"/>
      <c r="J20" s="30"/>
      <c r="K20" s="30"/>
      <c r="L20" s="30"/>
      <c r="M20" s="30"/>
      <c r="N20" s="30"/>
      <c r="O20" s="30"/>
      <c r="P20" s="102"/>
      <c r="Q20" s="30"/>
      <c r="R20" s="30"/>
      <c r="S20" s="30"/>
    </row>
    <row r="22" spans="2:76">
      <c r="B22" s="103"/>
      <c r="C22" s="502"/>
      <c r="D22" s="104"/>
      <c r="E22" s="104"/>
      <c r="F22" s="104"/>
      <c r="G22" s="104"/>
      <c r="H22" s="104"/>
      <c r="I22" s="104"/>
      <c r="J22" s="104"/>
      <c r="K22" s="104"/>
      <c r="L22" s="104"/>
      <c r="M22" s="104"/>
      <c r="N22" s="104"/>
      <c r="O22" s="104"/>
      <c r="P22" s="105"/>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6"/>
    </row>
    <row r="23" spans="2:76" s="116" customFormat="1" ht="21" customHeight="1">
      <c r="B23" s="107"/>
      <c r="C23" s="486">
        <v>1</v>
      </c>
      <c r="D23" s="486" t="str">
        <f>X!$C$118</f>
        <v>Grundlagedaten</v>
      </c>
      <c r="E23" s="109"/>
      <c r="F23" s="109"/>
      <c r="G23" s="110"/>
      <c r="H23" s="110"/>
      <c r="I23" s="111"/>
      <c r="J23" s="111"/>
      <c r="K23" s="111"/>
      <c r="L23" s="111"/>
      <c r="M23" s="111"/>
      <c r="N23" s="111"/>
      <c r="O23" s="111"/>
      <c r="P23" s="111"/>
      <c r="Q23" s="111"/>
      <c r="R23" s="111"/>
      <c r="S23" s="109"/>
      <c r="T23" s="109"/>
      <c r="U23" s="110"/>
      <c r="V23" s="110"/>
      <c r="W23" s="110"/>
      <c r="X23" s="110"/>
      <c r="Y23" s="110"/>
      <c r="Z23" s="110"/>
      <c r="AA23" s="110"/>
      <c r="AB23" s="110"/>
      <c r="AC23" s="110"/>
      <c r="AD23" s="110"/>
      <c r="AE23" s="110"/>
      <c r="AF23" s="110"/>
      <c r="AG23" s="110"/>
      <c r="AH23" s="110"/>
      <c r="AI23" s="110"/>
      <c r="AJ23" s="110"/>
      <c r="AK23" s="110"/>
      <c r="AL23" s="114"/>
      <c r="AM23" s="114"/>
      <c r="AN23" s="112"/>
      <c r="AO23" s="112"/>
      <c r="AP23" s="112"/>
      <c r="AQ23" s="113"/>
      <c r="AR23" s="113"/>
      <c r="AS23" s="114"/>
      <c r="AT23" s="114"/>
      <c r="AU23" s="114"/>
      <c r="AV23" s="114"/>
      <c r="AW23" s="114"/>
      <c r="AX23" s="114"/>
      <c r="AY23" s="114"/>
      <c r="AZ23" s="114"/>
      <c r="BA23" s="114"/>
      <c r="BB23" s="114"/>
      <c r="BC23" s="114"/>
      <c r="BD23" s="114"/>
      <c r="BE23" s="114"/>
      <c r="BF23" s="114"/>
      <c r="BG23" s="114"/>
      <c r="BH23" s="114"/>
      <c r="BI23" s="114"/>
      <c r="BJ23" s="115"/>
      <c r="BP23" s="31"/>
      <c r="BQ23" s="227">
        <v>250</v>
      </c>
      <c r="BR23" s="227"/>
      <c r="BS23" s="31"/>
      <c r="BT23" s="227"/>
      <c r="BU23" s="31"/>
      <c r="BV23" s="155" t="str">
        <f>X!E12</f>
        <v>Deutsch</v>
      </c>
      <c r="BW23" s="155" t="str">
        <f>X!F12</f>
        <v>Française</v>
      </c>
      <c r="BX23" s="155" t="str">
        <f>X!G12</f>
        <v>Italiano</v>
      </c>
    </row>
    <row r="24" spans="2:76" s="28" customFormat="1" ht="17.100000000000001" customHeight="1">
      <c r="B24" s="117"/>
      <c r="C24" s="503"/>
      <c r="D24" s="118"/>
      <c r="E24" s="118"/>
      <c r="F24" s="118"/>
      <c r="G24" s="118"/>
      <c r="H24" s="118"/>
      <c r="I24" s="118"/>
      <c r="J24" s="118"/>
      <c r="K24" s="118"/>
      <c r="L24" s="118"/>
      <c r="M24" s="118"/>
      <c r="N24" s="118"/>
      <c r="O24" s="118"/>
      <c r="P24" s="119"/>
      <c r="Q24" s="118"/>
      <c r="R24" s="118"/>
      <c r="S24" s="118"/>
      <c r="T24" s="118"/>
      <c r="U24" s="118"/>
      <c r="V24" s="118"/>
      <c r="W24" s="118"/>
      <c r="X24" s="118"/>
      <c r="Y24" s="118"/>
      <c r="Z24" s="118"/>
      <c r="AA24" s="55"/>
      <c r="AB24" s="55"/>
      <c r="AC24" s="55"/>
      <c r="AD24" s="55"/>
      <c r="AE24" s="55"/>
      <c r="AF24" s="55"/>
      <c r="AG24" s="55"/>
      <c r="AH24" s="55"/>
      <c r="AI24" s="55"/>
      <c r="AJ24" s="55"/>
      <c r="AK24" s="55"/>
      <c r="AL24" s="55"/>
      <c r="AM24" s="55"/>
      <c r="AN24" s="55"/>
      <c r="AO24" s="55"/>
      <c r="AP24" s="55"/>
      <c r="AQ24" s="55"/>
      <c r="AR24" s="55"/>
      <c r="AS24" s="55"/>
      <c r="AT24" s="120"/>
      <c r="AU24" s="55"/>
      <c r="AV24" s="55"/>
      <c r="AW24" s="55"/>
      <c r="AX24" s="55"/>
      <c r="AY24" s="55"/>
      <c r="AZ24" s="55"/>
      <c r="BA24" s="55"/>
      <c r="BB24" s="55"/>
      <c r="BC24" s="55"/>
      <c r="BD24" s="55"/>
      <c r="BE24" s="55"/>
      <c r="BF24" s="55"/>
      <c r="BG24" s="55"/>
      <c r="BH24" s="55"/>
      <c r="BI24" s="55"/>
      <c r="BJ24" s="121"/>
      <c r="BP24" s="116"/>
      <c r="BS24" s="116"/>
      <c r="BU24" s="116"/>
      <c r="BV24" s="116"/>
      <c r="BW24" s="116"/>
      <c r="BX24" s="116"/>
    </row>
    <row r="25" spans="2:76" s="28" customFormat="1" ht="12.95" customHeight="1">
      <c r="B25" s="117"/>
      <c r="C25" s="474" t="str">
        <f>X!$C$160</f>
        <v>Kühlleistungsbedarf</v>
      </c>
      <c r="D25" s="98"/>
      <c r="E25" s="98"/>
      <c r="F25" s="98"/>
      <c r="G25" s="55"/>
      <c r="H25" s="98"/>
      <c r="I25" s="55"/>
      <c r="J25" s="55"/>
      <c r="K25" s="98"/>
      <c r="L25" s="98"/>
      <c r="M25" s="55"/>
      <c r="N25" s="55"/>
      <c r="O25" s="55"/>
      <c r="P25" s="122" t="s">
        <v>106</v>
      </c>
      <c r="Q25" s="55"/>
      <c r="R25" s="98"/>
      <c r="S25" s="1653"/>
      <c r="T25" s="1653"/>
      <c r="U25" s="1654"/>
      <c r="V25" s="98"/>
      <c r="W25" s="98"/>
      <c r="X25" s="98"/>
      <c r="Y25" s="98"/>
      <c r="Z25" s="98"/>
      <c r="AA25" s="98"/>
      <c r="AB25" s="98"/>
      <c r="AC25" s="98"/>
      <c r="AD25" s="98"/>
      <c r="AE25" s="98"/>
      <c r="AF25" s="98"/>
      <c r="AG25" s="98"/>
      <c r="AH25" s="98"/>
      <c r="AI25" s="98"/>
      <c r="AJ25" s="98"/>
      <c r="AK25" s="98"/>
      <c r="AL25" s="98"/>
      <c r="AM25" s="607" t="s">
        <v>292</v>
      </c>
      <c r="AN25" s="607" t="s">
        <v>292</v>
      </c>
      <c r="AO25" s="607" t="s">
        <v>292</v>
      </c>
      <c r="AP25" s="98"/>
      <c r="AQ25" s="98"/>
      <c r="AR25" s="98"/>
      <c r="AS25" s="98"/>
      <c r="AT25" s="98"/>
      <c r="AU25" s="98"/>
      <c r="AV25" s="55"/>
      <c r="AW25" s="55"/>
      <c r="AX25" s="55"/>
      <c r="AY25" s="55"/>
      <c r="AZ25" s="55"/>
      <c r="BA25" s="55"/>
      <c r="BB25" s="55"/>
      <c r="BC25" s="55"/>
      <c r="BD25" s="55"/>
      <c r="BE25" s="55"/>
      <c r="BF25" s="55"/>
      <c r="BG25" s="55"/>
      <c r="BH25" s="55"/>
      <c r="BI25" s="55"/>
      <c r="BJ25" s="121"/>
      <c r="BM25" s="826" t="s">
        <v>909</v>
      </c>
      <c r="BP25" s="531"/>
      <c r="BQ25" s="531">
        <f>LEN(BV25)</f>
        <v>101</v>
      </c>
      <c r="BR25" s="531">
        <f>LEN(BW25)</f>
        <v>82</v>
      </c>
      <c r="BS25" s="531">
        <f>LEN(BX25)</f>
        <v>90</v>
      </c>
      <c r="BT25" s="531"/>
      <c r="BU25" s="489" t="s">
        <v>424</v>
      </c>
      <c r="BV25" s="28" t="str">
        <f>X!E412</f>
        <v>Kühlleistung (Auslegung) ohne Kältemaschinen, welche nur zur Sicherheit (Ausfall) installiert werden.</v>
      </c>
      <c r="BW25" s="28" t="str">
        <f>X!F412</f>
        <v>Saisie de la puissance de réfrigération de l'installation frigorifique. (nominale)</v>
      </c>
      <c r="BX25" s="28" t="str">
        <f>X!G412</f>
        <v>Inserimento potenza per la refrigerazione dell'impianto di refrigerazione. (installazione)</v>
      </c>
    </row>
    <row r="26" spans="2:76" s="28" customFormat="1" ht="6" hidden="1" customHeight="1" outlineLevel="1">
      <c r="B26" s="117"/>
      <c r="C26" s="474"/>
      <c r="D26" s="98"/>
      <c r="E26" s="98"/>
      <c r="F26" s="98"/>
      <c r="G26" s="55"/>
      <c r="H26" s="98"/>
      <c r="I26" s="98"/>
      <c r="J26" s="98"/>
      <c r="K26" s="98"/>
      <c r="L26" s="98"/>
      <c r="M26" s="55"/>
      <c r="N26" s="55"/>
      <c r="O26" s="55"/>
      <c r="P26" s="122"/>
      <c r="Q26" s="55"/>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55"/>
      <c r="AW26" s="55"/>
      <c r="AX26" s="55"/>
      <c r="AY26" s="55"/>
      <c r="AZ26" s="55"/>
      <c r="BA26" s="55"/>
      <c r="BB26" s="55"/>
      <c r="BC26" s="55"/>
      <c r="BD26" s="55"/>
      <c r="BE26" s="55"/>
      <c r="BF26" s="55"/>
      <c r="BG26" s="55"/>
      <c r="BH26" s="55"/>
      <c r="BI26" s="55"/>
      <c r="BJ26" s="121"/>
    </row>
    <row r="27" spans="2:76" s="28" customFormat="1" ht="12.95" hidden="1" customHeight="1" outlineLevel="1">
      <c r="B27" s="117"/>
      <c r="C27" s="527" t="str">
        <f>X!$C$189</f>
        <v>Nutztemperatur</v>
      </c>
      <c r="D27" s="98"/>
      <c r="E27" s="98"/>
      <c r="F27" s="98"/>
      <c r="G27" s="55"/>
      <c r="H27" s="98"/>
      <c r="I27" s="55"/>
      <c r="J27" s="55"/>
      <c r="K27" s="98"/>
      <c r="L27" s="98"/>
      <c r="M27" s="55"/>
      <c r="N27" s="55"/>
      <c r="O27" s="55"/>
      <c r="P27" s="122" t="s">
        <v>108</v>
      </c>
      <c r="Q27" s="55"/>
      <c r="R27" s="98"/>
      <c r="S27" s="1653"/>
      <c r="T27" s="1653"/>
      <c r="U27" s="1654"/>
      <c r="V27" s="98"/>
      <c r="W27" s="98"/>
      <c r="X27" s="98"/>
      <c r="Y27" s="98"/>
      <c r="Z27" s="98"/>
      <c r="AA27" s="98"/>
      <c r="AB27" s="98"/>
      <c r="AC27" s="98"/>
      <c r="AD27" s="98"/>
      <c r="AE27" s="98"/>
      <c r="AF27" s="98"/>
      <c r="AG27" s="98"/>
      <c r="AH27" s="98"/>
      <c r="AI27" s="98"/>
      <c r="AJ27" s="98"/>
      <c r="AK27" s="98"/>
      <c r="AL27" s="98"/>
      <c r="AM27" s="441"/>
      <c r="AN27" s="441"/>
      <c r="AO27" s="441"/>
      <c r="AP27" s="98"/>
      <c r="AQ27" s="98"/>
      <c r="AR27" s="98"/>
      <c r="AS27" s="98"/>
      <c r="AT27" s="98"/>
      <c r="AU27" s="98"/>
      <c r="AV27" s="55"/>
      <c r="AW27" s="55"/>
      <c r="AX27" s="55"/>
      <c r="AY27" s="55"/>
      <c r="AZ27" s="55"/>
      <c r="BA27" s="55"/>
      <c r="BB27" s="55"/>
      <c r="BC27" s="55"/>
      <c r="BD27" s="55"/>
      <c r="BE27" s="55"/>
      <c r="BF27" s="55"/>
      <c r="BG27" s="55"/>
      <c r="BH27" s="55"/>
      <c r="BI27" s="55"/>
      <c r="BJ27" s="121"/>
      <c r="BP27" s="531"/>
      <c r="BQ27" s="531">
        <f>LEN(BV27)</f>
        <v>0</v>
      </c>
      <c r="BR27" s="531">
        <f>LEN(BW27)</f>
        <v>0</v>
      </c>
      <c r="BS27" s="531">
        <f>LEN(BX27)</f>
        <v>0</v>
      </c>
      <c r="BT27" s="531"/>
      <c r="BU27" s="489" t="s">
        <v>425</v>
      </c>
    </row>
    <row r="28" spans="2:76" s="28" customFormat="1" ht="6" customHeight="1" collapsed="1">
      <c r="B28" s="117"/>
      <c r="C28" s="474"/>
      <c r="D28" s="98"/>
      <c r="E28" s="98"/>
      <c r="F28" s="98"/>
      <c r="G28" s="98"/>
      <c r="H28" s="98"/>
      <c r="I28" s="98"/>
      <c r="J28" s="98"/>
      <c r="K28" s="98"/>
      <c r="L28" s="98"/>
      <c r="M28" s="98"/>
      <c r="N28" s="98"/>
      <c r="O28" s="98"/>
      <c r="P28" s="122"/>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55"/>
      <c r="AW28" s="55"/>
      <c r="AX28" s="55"/>
      <c r="AY28" s="55"/>
      <c r="AZ28" s="55"/>
      <c r="BA28" s="55"/>
      <c r="BB28" s="55"/>
      <c r="BC28" s="55"/>
      <c r="BD28" s="55"/>
      <c r="BE28" s="55"/>
      <c r="BF28" s="55"/>
      <c r="BG28" s="55"/>
      <c r="BH28" s="55"/>
      <c r="BI28" s="55"/>
      <c r="BJ28" s="121"/>
    </row>
    <row r="29" spans="2:76" s="28" customFormat="1" ht="12.95" customHeight="1">
      <c r="B29" s="117"/>
      <c r="C29" s="527" t="str">
        <f>X!$C$217</f>
        <v>Standort (Klima entspricht etwa...)</v>
      </c>
      <c r="D29" s="98"/>
      <c r="E29" s="98"/>
      <c r="F29" s="98"/>
      <c r="G29" s="55"/>
      <c r="H29" s="98"/>
      <c r="I29" s="55"/>
      <c r="J29" s="55"/>
      <c r="K29" s="98"/>
      <c r="L29" s="98"/>
      <c r="M29" s="55"/>
      <c r="N29" s="55"/>
      <c r="O29" s="55"/>
      <c r="P29" s="122"/>
      <c r="Q29" s="55"/>
      <c r="R29" s="98"/>
      <c r="S29" s="1526"/>
      <c r="T29" s="1526"/>
      <c r="U29" s="1526"/>
      <c r="V29" s="1526"/>
      <c r="W29" s="1526"/>
      <c r="X29" s="1526"/>
      <c r="Y29" s="1526"/>
      <c r="Z29" s="1526"/>
      <c r="AA29" s="1526"/>
      <c r="AB29" s="1526"/>
      <c r="AC29" s="1526"/>
      <c r="AD29" s="1526"/>
      <c r="AE29" s="1526"/>
      <c r="AF29" s="1526"/>
      <c r="AG29" s="1526"/>
      <c r="AH29" s="1526"/>
      <c r="AI29" s="1526"/>
      <c r="AJ29" s="1526"/>
      <c r="AK29" s="1527"/>
      <c r="AL29" s="430"/>
      <c r="AM29" s="607" t="s">
        <v>292</v>
      </c>
      <c r="AN29" s="607" t="s">
        <v>292</v>
      </c>
      <c r="AO29" s="607" t="s">
        <v>292</v>
      </c>
      <c r="AP29" s="98"/>
      <c r="AQ29" s="98"/>
      <c r="AR29" s="98"/>
      <c r="AS29" s="98"/>
      <c r="AT29" s="98"/>
      <c r="AU29" s="98"/>
      <c r="AV29" s="55"/>
      <c r="AW29" s="55"/>
      <c r="AX29" s="55"/>
      <c r="AY29" s="55"/>
      <c r="AZ29" s="55"/>
      <c r="BA29" s="55"/>
      <c r="BB29" s="55"/>
      <c r="BC29" s="55"/>
      <c r="BD29" s="55"/>
      <c r="BE29" s="55"/>
      <c r="BF29" s="55"/>
      <c r="BG29" s="55"/>
      <c r="BH29" s="55"/>
      <c r="BI29" s="55"/>
      <c r="BJ29" s="121"/>
      <c r="BQ29" s="531">
        <f>LEN(BV29)</f>
        <v>144</v>
      </c>
      <c r="BR29" s="531">
        <f>LEN(BW29)</f>
        <v>126</v>
      </c>
      <c r="BS29" s="531">
        <f>LEN(BX29)</f>
        <v>131</v>
      </c>
      <c r="BT29" s="531"/>
      <c r="BU29" s="28" t="s">
        <v>426</v>
      </c>
      <c r="BV29" s="28" t="str">
        <f>X!E414</f>
        <v>Wählen Sie aus der Liste einen Standort, an welchem ein ähnliches Klima herrscht. (Objekt steht in Biel: wählen Sie als Standort am besten Bern)</v>
      </c>
      <c r="BW29" s="28" t="str">
        <f>X!F414</f>
        <v>Sélectionnez une localité dans la liste avec un climat similaire. (le projet se situe à Bienne: le mieux est de choisir Berne)</v>
      </c>
      <c r="BX29" s="28" t="str">
        <f>X!G414</f>
        <v>Selezionare dalla lista un luogo dove c'è un clima simile. (L'oggetto si trova a Bienne: la migliore località da scegliere è Berna)</v>
      </c>
    </row>
    <row r="30" spans="2:76" s="28" customFormat="1" ht="6" customHeight="1">
      <c r="B30" s="117"/>
      <c r="C30" s="474"/>
      <c r="D30" s="98"/>
      <c r="E30" s="98"/>
      <c r="F30" s="98"/>
      <c r="G30" s="98"/>
      <c r="H30" s="98"/>
      <c r="I30" s="98"/>
      <c r="J30" s="98"/>
      <c r="K30" s="98"/>
      <c r="L30" s="98"/>
      <c r="M30" s="98"/>
      <c r="N30" s="98"/>
      <c r="O30" s="98"/>
      <c r="P30" s="122"/>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55"/>
      <c r="AW30" s="55"/>
      <c r="AX30" s="55"/>
      <c r="AY30" s="55"/>
      <c r="AZ30" s="55"/>
      <c r="BA30" s="55"/>
      <c r="BB30" s="55"/>
      <c r="BC30" s="55"/>
      <c r="BD30" s="55"/>
      <c r="BE30" s="55"/>
      <c r="BF30" s="55"/>
      <c r="BG30" s="55"/>
      <c r="BH30" s="55"/>
      <c r="BI30" s="55"/>
      <c r="BJ30" s="121"/>
    </row>
    <row r="31" spans="2:76" s="28" customFormat="1" ht="12.95" customHeight="1">
      <c r="B31" s="117"/>
      <c r="C31" s="474" t="str">
        <f>X!$C$56</f>
        <v>Betriebs-Profil</v>
      </c>
      <c r="D31" s="98"/>
      <c r="E31" s="98"/>
      <c r="F31" s="98"/>
      <c r="G31" s="55"/>
      <c r="H31" s="98"/>
      <c r="I31" s="55"/>
      <c r="J31" s="55"/>
      <c r="K31" s="98"/>
      <c r="L31" s="98"/>
      <c r="M31" s="55"/>
      <c r="N31" s="55"/>
      <c r="O31" s="55"/>
      <c r="P31" s="122"/>
      <c r="Q31" s="55"/>
      <c r="R31" s="98"/>
      <c r="S31" s="1655"/>
      <c r="T31" s="1655"/>
      <c r="U31" s="1655"/>
      <c r="V31" s="1655"/>
      <c r="W31" s="1655"/>
      <c r="X31" s="1655"/>
      <c r="Y31" s="1655"/>
      <c r="Z31" s="1655"/>
      <c r="AA31" s="1655"/>
      <c r="AB31" s="1655"/>
      <c r="AC31" s="1655"/>
      <c r="AD31" s="1655"/>
      <c r="AE31" s="1655"/>
      <c r="AF31" s="1655"/>
      <c r="AG31" s="1655"/>
      <c r="AH31" s="1655"/>
      <c r="AI31" s="1655"/>
      <c r="AJ31" s="1655"/>
      <c r="AK31" s="1657"/>
      <c r="AL31" s="430"/>
      <c r="AM31" s="608" t="s">
        <v>292</v>
      </c>
      <c r="AN31" s="608" t="s">
        <v>292</v>
      </c>
      <c r="AO31" s="608" t="s">
        <v>292</v>
      </c>
      <c r="AP31" s="98"/>
      <c r="AQ31" s="98"/>
      <c r="AR31" s="98"/>
      <c r="AS31" s="98"/>
      <c r="AT31" s="170"/>
      <c r="AU31" s="530" t="str">
        <f>X!$C$56</f>
        <v>Betriebs-Profil</v>
      </c>
      <c r="AV31" s="55"/>
      <c r="AW31" s="55"/>
      <c r="AX31" s="55"/>
      <c r="AY31" s="55"/>
      <c r="AZ31" s="55"/>
      <c r="BA31" s="55"/>
      <c r="BB31" s="55"/>
      <c r="BC31" s="55"/>
      <c r="BD31" s="55"/>
      <c r="BE31" s="55"/>
      <c r="BF31" s="55"/>
      <c r="BG31" s="55"/>
      <c r="BH31" s="55"/>
      <c r="BI31" s="55"/>
      <c r="BJ31" s="121"/>
      <c r="BQ31" s="531">
        <f>LEN(BV31)</f>
        <v>171</v>
      </c>
      <c r="BR31" s="531">
        <f>LEN(BW31)</f>
        <v>203</v>
      </c>
      <c r="BS31" s="531">
        <f>LEN(BX31)</f>
        <v>216</v>
      </c>
      <c r="BT31" s="531"/>
      <c r="BU31" s="28" t="s">
        <v>427</v>
      </c>
      <c r="BV31" s="28" t="str">
        <f>X!E415</f>
        <v>Mit dem Betriebs-Profil wird die Betriebsweise der Kälteanlage definiert. Wählen Sie das Profil, welches der geplanten Betriebsweise der Kälteanlage am ehesten entspricht.</v>
      </c>
      <c r="BW31" s="28" t="str">
        <f>X!F415</f>
        <v>Le profil de fonctionnement définit le principe de fonctionnement de l'installation frigorifique. Sélectionnez le profil le plus proche du principe de fonctionnement prévu de l'installation frigorifique.</v>
      </c>
      <c r="BX31" s="28" t="str">
        <f>X!G415</f>
        <v>Il profilo di funzionamento determina la modalità di funzionamento dell'impianto di refrigerazione. Scegliere il profilo che corrisponde meglio alla modalità di funzionamento prevista dell'impianto di refrigerazione.</v>
      </c>
    </row>
    <row r="32" spans="2:76" s="28" customFormat="1" ht="9" customHeight="1">
      <c r="B32" s="123"/>
      <c r="C32" s="504"/>
      <c r="D32" s="124"/>
      <c r="E32" s="124"/>
      <c r="F32" s="124"/>
      <c r="G32" s="124"/>
      <c r="H32" s="124"/>
      <c r="I32" s="124"/>
      <c r="J32" s="124"/>
      <c r="K32" s="124"/>
      <c r="L32" s="124"/>
      <c r="M32" s="124"/>
      <c r="N32" s="124"/>
      <c r="O32" s="124"/>
      <c r="P32" s="125"/>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6"/>
      <c r="AW32" s="126"/>
      <c r="AX32" s="126"/>
      <c r="AY32" s="126"/>
      <c r="AZ32" s="126"/>
      <c r="BA32" s="126"/>
      <c r="BB32" s="126"/>
      <c r="BC32" s="126"/>
      <c r="BD32" s="126"/>
      <c r="BE32" s="126"/>
      <c r="BF32" s="126"/>
      <c r="BG32" s="126"/>
      <c r="BH32" s="127"/>
      <c r="BI32" s="126"/>
      <c r="BJ32" s="128"/>
    </row>
    <row r="33" spans="2:77" s="28" customFormat="1" ht="17.100000000000001" customHeight="1">
      <c r="C33" s="496"/>
      <c r="D33" s="129"/>
      <c r="E33" s="129"/>
      <c r="F33" s="129"/>
      <c r="G33" s="129"/>
      <c r="H33" s="129"/>
      <c r="I33" s="129"/>
      <c r="J33" s="129"/>
      <c r="K33" s="129"/>
      <c r="L33" s="129"/>
      <c r="M33" s="129"/>
      <c r="N33" s="129"/>
      <c r="O33" s="129"/>
      <c r="P33" s="130"/>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row>
    <row r="34" spans="2:77" s="28" customFormat="1" ht="17.100000000000001" customHeight="1">
      <c r="C34" s="496"/>
      <c r="D34" s="129"/>
      <c r="E34" s="129"/>
      <c r="F34" s="129"/>
      <c r="G34" s="129"/>
      <c r="H34" s="129"/>
      <c r="I34" s="129"/>
      <c r="J34" s="129"/>
      <c r="K34" s="129"/>
      <c r="L34" s="129"/>
      <c r="M34" s="129"/>
      <c r="N34" s="129"/>
      <c r="O34" s="129"/>
      <c r="P34" s="130"/>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row>
    <row r="35" spans="2:77" s="28" customFormat="1" ht="17.100000000000001" customHeight="1">
      <c r="B35" s="131"/>
      <c r="C35" s="505"/>
      <c r="D35" s="132"/>
      <c r="E35" s="132"/>
      <c r="F35" s="132"/>
      <c r="G35" s="132"/>
      <c r="H35" s="132"/>
      <c r="I35" s="132"/>
      <c r="J35" s="132"/>
      <c r="K35" s="132"/>
      <c r="L35" s="132"/>
      <c r="M35" s="132"/>
      <c r="N35" s="132"/>
      <c r="O35" s="132"/>
      <c r="P35" s="133"/>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05"/>
      <c r="AZ35" s="105"/>
      <c r="BA35" s="105"/>
      <c r="BB35" s="105"/>
      <c r="BC35" s="105"/>
      <c r="BD35" s="105"/>
      <c r="BE35" s="105"/>
      <c r="BF35" s="105"/>
      <c r="BG35" s="105"/>
      <c r="BH35" s="105"/>
      <c r="BI35" s="105"/>
      <c r="BJ35" s="134"/>
    </row>
    <row r="36" spans="2:77" s="116" customFormat="1" ht="21" customHeight="1">
      <c r="B36" s="107"/>
      <c r="C36" s="486">
        <v>2</v>
      </c>
      <c r="D36" s="108" t="str">
        <f>X!$C$34</f>
        <v>Auslegung der Kälteanlage</v>
      </c>
      <c r="E36" s="109"/>
      <c r="F36" s="109"/>
      <c r="G36" s="110"/>
      <c r="H36" s="110"/>
      <c r="I36" s="111"/>
      <c r="J36" s="111"/>
      <c r="K36" s="111"/>
      <c r="L36" s="111"/>
      <c r="M36" s="111"/>
      <c r="N36" s="111"/>
      <c r="O36" s="111"/>
      <c r="P36" s="111"/>
      <c r="Q36" s="111"/>
      <c r="R36" s="111"/>
      <c r="S36" s="109"/>
      <c r="T36" s="109"/>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658">
        <f>'1 System specification'!O135</f>
        <v>1</v>
      </c>
      <c r="AR36" s="1658"/>
      <c r="AS36" s="1658"/>
      <c r="AT36" s="1658"/>
      <c r="AU36" s="1658"/>
      <c r="AV36" s="1658"/>
      <c r="AW36" s="1658"/>
      <c r="AX36" s="1658"/>
      <c r="AY36" s="1658"/>
      <c r="AZ36" s="1658"/>
      <c r="BA36" s="1658"/>
      <c r="BB36" s="1658"/>
      <c r="BC36" s="1658"/>
      <c r="BD36" s="1658"/>
      <c r="BE36" s="1658"/>
      <c r="BF36" s="1658"/>
      <c r="BG36" s="1658"/>
      <c r="BH36" s="1658"/>
      <c r="BI36" s="1658"/>
      <c r="BJ36" s="115"/>
    </row>
    <row r="37" spans="2:77" s="28" customFormat="1" ht="17.100000000000001" customHeight="1">
      <c r="B37" s="117"/>
      <c r="C37" s="489"/>
      <c r="D37" s="98"/>
      <c r="E37" s="98"/>
      <c r="F37" s="98"/>
      <c r="G37" s="98"/>
      <c r="H37" s="98"/>
      <c r="I37" s="98"/>
      <c r="J37" s="98"/>
      <c r="K37" s="98"/>
      <c r="L37" s="98"/>
      <c r="M37" s="98"/>
      <c r="N37" s="98"/>
      <c r="O37" s="98"/>
      <c r="P37" s="122"/>
      <c r="Q37" s="98"/>
      <c r="R37" s="98"/>
      <c r="S37" s="135"/>
      <c r="T37" s="135"/>
      <c r="U37" s="135"/>
      <c r="V37" s="98"/>
      <c r="W37" s="136"/>
      <c r="X37" s="136"/>
      <c r="Y37" s="136"/>
      <c r="Z37" s="136"/>
      <c r="AA37" s="136"/>
      <c r="AB37" s="136"/>
      <c r="AC37" s="136"/>
      <c r="AD37" s="136"/>
      <c r="AE37" s="136"/>
      <c r="AF37" s="98"/>
      <c r="AG37" s="98"/>
      <c r="AH37" s="98"/>
      <c r="AI37" s="98"/>
      <c r="AJ37" s="98"/>
      <c r="AK37" s="98"/>
      <c r="AL37" s="98"/>
      <c r="AM37" s="98"/>
      <c r="AN37" s="98"/>
      <c r="AO37" s="98"/>
      <c r="AP37" s="98"/>
      <c r="AQ37" s="135"/>
      <c r="AR37" s="135"/>
      <c r="AS37" s="135"/>
      <c r="AT37" s="98"/>
      <c r="AU37" s="136"/>
      <c r="AV37" s="136"/>
      <c r="AW37" s="136"/>
      <c r="AX37" s="136"/>
      <c r="AY37" s="136"/>
      <c r="AZ37" s="136"/>
      <c r="BA37" s="136"/>
      <c r="BB37" s="136"/>
      <c r="BC37" s="136"/>
      <c r="BD37" s="55"/>
      <c r="BE37" s="55"/>
      <c r="BF37" s="55"/>
      <c r="BG37" s="55"/>
      <c r="BH37" s="52"/>
      <c r="BI37" s="55"/>
      <c r="BJ37" s="121"/>
    </row>
    <row r="38" spans="2:77" s="28" customFormat="1" ht="32.1" customHeight="1">
      <c r="B38" s="117"/>
      <c r="C38" s="1695" t="str">
        <f>X!C399</f>
        <v xml:space="preserve">Die Eingabedaten für Verdichter und Hilfsantriebe (Ventilatoren, Pumpen) müssen bei Anlagenersatz den «Ist-Werten» vor Ort entsprechen. Bei neuen Projekten sind die Planungs- bzw. die Ausführungswerte zu berücksichtigen (keine Schätzwerte). </v>
      </c>
      <c r="D38" s="1695"/>
      <c r="E38" s="1695"/>
      <c r="F38" s="1695"/>
      <c r="G38" s="1695"/>
      <c r="H38" s="1695"/>
      <c r="I38" s="1695"/>
      <c r="J38" s="1695"/>
      <c r="K38" s="1695"/>
      <c r="L38" s="1695"/>
      <c r="M38" s="1695"/>
      <c r="N38" s="1695"/>
      <c r="O38" s="1695"/>
      <c r="P38" s="1695"/>
      <c r="Q38" s="1695"/>
      <c r="R38" s="1695"/>
      <c r="S38" s="1695"/>
      <c r="T38" s="1695"/>
      <c r="U38" s="1695"/>
      <c r="V38" s="1695"/>
      <c r="W38" s="1695"/>
      <c r="X38" s="1695"/>
      <c r="Y38" s="1695"/>
      <c r="Z38" s="1695"/>
      <c r="AA38" s="1695"/>
      <c r="AB38" s="1695"/>
      <c r="AC38" s="1695"/>
      <c r="AD38" s="1695"/>
      <c r="AE38" s="1695"/>
      <c r="AF38" s="1695"/>
      <c r="AG38" s="1695"/>
      <c r="AH38" s="1695"/>
      <c r="AI38" s="1695"/>
      <c r="AJ38" s="1695"/>
      <c r="AK38" s="1695"/>
      <c r="AL38" s="1695"/>
      <c r="AM38" s="1695"/>
      <c r="AN38" s="1695"/>
      <c r="AO38" s="1695"/>
      <c r="AP38" s="1695"/>
      <c r="AQ38" s="1695"/>
      <c r="AR38" s="1695"/>
      <c r="AS38" s="1695"/>
      <c r="AT38" s="1695"/>
      <c r="AU38" s="1695"/>
      <c r="AV38" s="1695"/>
      <c r="AW38" s="1695"/>
      <c r="AX38" s="1695"/>
      <c r="AY38" s="1695"/>
      <c r="AZ38" s="1695"/>
      <c r="BA38" s="1695"/>
      <c r="BB38" s="1695"/>
      <c r="BC38" s="1695"/>
      <c r="BD38" s="1695"/>
      <c r="BE38" s="1695"/>
      <c r="BF38" s="1695"/>
      <c r="BG38" s="1695"/>
      <c r="BH38" s="1695"/>
      <c r="BI38" s="1695"/>
      <c r="BJ38" s="121"/>
    </row>
    <row r="39" spans="2:77" s="28" customFormat="1" ht="17.100000000000001" customHeight="1">
      <c r="B39" s="117"/>
      <c r="C39" s="1299"/>
      <c r="D39" s="98"/>
      <c r="E39" s="98"/>
      <c r="F39" s="98"/>
      <c r="G39" s="98"/>
      <c r="H39" s="98"/>
      <c r="I39" s="98"/>
      <c r="J39" s="98"/>
      <c r="K39" s="98"/>
      <c r="L39" s="98"/>
      <c r="M39" s="98"/>
      <c r="N39" s="98"/>
      <c r="O39" s="98"/>
      <c r="P39" s="122"/>
      <c r="Q39" s="98"/>
      <c r="R39" s="98"/>
      <c r="S39" s="1298"/>
      <c r="T39" s="1298"/>
      <c r="U39" s="1298"/>
      <c r="V39" s="98"/>
      <c r="W39" s="136"/>
      <c r="X39" s="136"/>
      <c r="Y39" s="136"/>
      <c r="Z39" s="136"/>
      <c r="AA39" s="136"/>
      <c r="AB39" s="136"/>
      <c r="AC39" s="136"/>
      <c r="AD39" s="136"/>
      <c r="AE39" s="136"/>
      <c r="AF39" s="98"/>
      <c r="AG39" s="98"/>
      <c r="AH39" s="98"/>
      <c r="AI39" s="98"/>
      <c r="AJ39" s="98"/>
      <c r="AK39" s="98"/>
      <c r="AL39" s="98"/>
      <c r="AM39" s="98"/>
      <c r="AN39" s="98"/>
      <c r="AO39" s="98"/>
      <c r="AP39" s="98"/>
      <c r="AQ39" s="1298"/>
      <c r="AR39" s="1298"/>
      <c r="AS39" s="1298"/>
      <c r="AT39" s="98"/>
      <c r="AU39" s="136"/>
      <c r="AV39" s="136"/>
      <c r="AW39" s="136"/>
      <c r="AX39" s="136"/>
      <c r="AY39" s="136"/>
      <c r="AZ39" s="136"/>
      <c r="BA39" s="136"/>
      <c r="BB39" s="136"/>
      <c r="BC39" s="136"/>
      <c r="BD39" s="640"/>
      <c r="BE39" s="640"/>
      <c r="BF39" s="640"/>
      <c r="BG39" s="640"/>
      <c r="BH39" s="52"/>
      <c r="BI39" s="640"/>
      <c r="BJ39" s="121"/>
    </row>
    <row r="40" spans="2:77" s="139" customFormat="1" ht="17.100000000000001" customHeight="1">
      <c r="B40" s="137"/>
      <c r="C40" s="488"/>
      <c r="D40" s="138"/>
      <c r="E40" s="138"/>
      <c r="F40" s="138"/>
      <c r="S40" s="140" t="str">
        <f>'1 System specification'!O132</f>
        <v>Variante A</v>
      </c>
      <c r="T40" s="140"/>
      <c r="U40" s="141"/>
      <c r="V40" s="141"/>
      <c r="W40" s="141"/>
      <c r="X40" s="141"/>
      <c r="Y40" s="141"/>
      <c r="Z40" s="141"/>
      <c r="AA40" s="141"/>
      <c r="AB40" s="141"/>
      <c r="AC40" s="141"/>
      <c r="AD40" s="141"/>
      <c r="AE40" s="141"/>
      <c r="AF40" s="141"/>
      <c r="AG40" s="141"/>
      <c r="AH40" s="141"/>
      <c r="AI40" s="141"/>
      <c r="AJ40" s="141"/>
      <c r="AK40" s="141"/>
      <c r="AL40" s="431"/>
      <c r="AM40" s="441"/>
      <c r="AN40" s="441"/>
      <c r="AO40" s="441"/>
      <c r="AQ40" s="140" t="str">
        <f>'1 System specification'!O133</f>
        <v/>
      </c>
      <c r="AR40" s="140"/>
      <c r="AS40" s="141"/>
      <c r="AT40" s="141"/>
      <c r="AU40" s="141"/>
      <c r="AV40" s="141"/>
      <c r="AW40" s="141"/>
      <c r="AX40" s="141"/>
      <c r="AY40" s="141"/>
      <c r="AZ40" s="141"/>
      <c r="BA40" s="141"/>
      <c r="BB40" s="141"/>
      <c r="BC40" s="141"/>
      <c r="BD40" s="141"/>
      <c r="BE40" s="141"/>
      <c r="BF40" s="141"/>
      <c r="BG40" s="141"/>
      <c r="BH40" s="141"/>
      <c r="BI40" s="141"/>
      <c r="BJ40" s="142"/>
    </row>
    <row r="41" spans="2:77" s="28" customFormat="1" ht="8.1" customHeight="1">
      <c r="B41" s="117"/>
      <c r="C41" s="474"/>
      <c r="D41" s="98"/>
      <c r="E41" s="98"/>
      <c r="F41" s="98"/>
      <c r="G41" s="98"/>
      <c r="H41" s="98"/>
      <c r="I41" s="98"/>
      <c r="J41" s="98"/>
      <c r="K41" s="98"/>
      <c r="L41" s="98"/>
      <c r="M41" s="98"/>
      <c r="N41" s="98"/>
      <c r="O41" s="98"/>
      <c r="P41" s="122"/>
      <c r="Q41" s="98"/>
      <c r="R41" s="98"/>
      <c r="S41" s="98"/>
      <c r="T41" s="98"/>
      <c r="U41" s="98"/>
      <c r="V41" s="98"/>
      <c r="W41" s="98"/>
      <c r="X41" s="98"/>
      <c r="Y41" s="98"/>
      <c r="Z41" s="98"/>
      <c r="AA41" s="55"/>
      <c r="AB41" s="55"/>
      <c r="AC41" s="55"/>
      <c r="AD41" s="55"/>
      <c r="AE41" s="55"/>
      <c r="AF41" s="55"/>
      <c r="AG41" s="55"/>
      <c r="AH41" s="55"/>
      <c r="AI41" s="55"/>
      <c r="AJ41" s="55"/>
      <c r="AK41" s="55"/>
      <c r="AL41" s="640"/>
      <c r="AM41" s="55"/>
      <c r="AN41" s="55"/>
      <c r="AO41" s="55"/>
      <c r="AP41" s="55"/>
      <c r="AQ41" s="55"/>
      <c r="AR41" s="55"/>
      <c r="AS41" s="55"/>
      <c r="AT41" s="120"/>
      <c r="AU41" s="55"/>
      <c r="AV41" s="55"/>
      <c r="AW41" s="55"/>
      <c r="AX41" s="55"/>
      <c r="AY41" s="55"/>
      <c r="AZ41" s="55"/>
      <c r="BA41" s="55"/>
      <c r="BB41" s="55"/>
      <c r="BC41" s="55"/>
      <c r="BD41" s="55"/>
      <c r="BE41" s="55"/>
      <c r="BF41" s="55"/>
      <c r="BG41" s="55"/>
      <c r="BH41" s="55"/>
      <c r="BI41" s="55"/>
      <c r="BJ41" s="121"/>
    </row>
    <row r="42" spans="2:77" s="28" customFormat="1" ht="17.100000000000001" customHeight="1">
      <c r="B42" s="117"/>
      <c r="C42" s="495">
        <v>2.1</v>
      </c>
      <c r="D42" s="143" t="str">
        <f>X!$C$229</f>
        <v>Temperaturen</v>
      </c>
      <c r="E42" s="144"/>
      <c r="F42" s="98"/>
      <c r="G42" s="98"/>
      <c r="H42" s="98"/>
      <c r="I42" s="98"/>
      <c r="J42" s="98"/>
      <c r="K42" s="98"/>
      <c r="L42" s="98"/>
      <c r="M42" s="98"/>
      <c r="N42" s="98"/>
      <c r="O42" s="98"/>
      <c r="P42" s="122"/>
      <c r="Q42" s="98"/>
      <c r="R42" s="98"/>
      <c r="S42" s="55"/>
      <c r="T42" s="55"/>
      <c r="U42" s="55"/>
      <c r="V42" s="55"/>
      <c r="W42" s="55"/>
      <c r="X42" s="55"/>
      <c r="Y42" s="55"/>
      <c r="Z42" s="55"/>
      <c r="AA42" s="55"/>
      <c r="AB42" s="55"/>
      <c r="AC42" s="55"/>
      <c r="AD42" s="55"/>
      <c r="AE42" s="55"/>
      <c r="AF42" s="55"/>
      <c r="AG42" s="55"/>
      <c r="AH42" s="55"/>
      <c r="AI42" s="55"/>
      <c r="AJ42" s="55"/>
      <c r="AK42" s="55"/>
      <c r="AL42" s="640"/>
      <c r="AM42" s="55"/>
      <c r="AN42" s="55"/>
      <c r="AO42" s="55"/>
      <c r="AP42" s="55"/>
      <c r="AQ42" s="55"/>
      <c r="AR42" s="55"/>
      <c r="AS42" s="55"/>
      <c r="AT42" s="120"/>
      <c r="AU42" s="55"/>
      <c r="AV42" s="55"/>
      <c r="AW42" s="55"/>
      <c r="AX42" s="55"/>
      <c r="AY42" s="55"/>
      <c r="AZ42" s="55"/>
      <c r="BA42" s="55"/>
      <c r="BB42" s="55"/>
      <c r="BC42" s="55"/>
      <c r="BD42" s="55"/>
      <c r="BE42" s="55"/>
      <c r="BF42" s="55"/>
      <c r="BG42" s="55"/>
      <c r="BH42" s="55"/>
      <c r="BI42" s="55"/>
      <c r="BJ42" s="121"/>
    </row>
    <row r="43" spans="2:77" s="28" customFormat="1" ht="6" customHeight="1">
      <c r="B43" s="117"/>
      <c r="C43" s="474"/>
      <c r="D43" s="98"/>
      <c r="E43" s="98"/>
      <c r="F43" s="98"/>
      <c r="G43" s="98"/>
      <c r="H43" s="98"/>
      <c r="I43" s="98"/>
      <c r="J43" s="98"/>
      <c r="K43" s="98"/>
      <c r="L43" s="98"/>
      <c r="M43" s="98"/>
      <c r="N43" s="98"/>
      <c r="O43" s="98"/>
      <c r="P43" s="122"/>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55"/>
      <c r="AW43" s="55"/>
      <c r="AX43" s="55"/>
      <c r="AY43" s="55"/>
      <c r="AZ43" s="55"/>
      <c r="BA43" s="55"/>
      <c r="BB43" s="55"/>
      <c r="BC43" s="55"/>
      <c r="BD43" s="55"/>
      <c r="BE43" s="55"/>
      <c r="BF43" s="55"/>
      <c r="BG43" s="55"/>
      <c r="BH43" s="55"/>
      <c r="BI43" s="55"/>
      <c r="BJ43" s="121"/>
    </row>
    <row r="44" spans="2:77" s="28" customFormat="1" ht="11.1" customHeight="1">
      <c r="B44" s="117"/>
      <c r="C44" s="489"/>
      <c r="D44" s="98" t="str">
        <f>X!$C$246</f>
        <v>Verdampfungstemperatur</v>
      </c>
      <c r="E44" s="98"/>
      <c r="F44" s="98"/>
      <c r="G44" s="98"/>
      <c r="H44" s="98"/>
      <c r="I44" s="98"/>
      <c r="J44" s="98"/>
      <c r="K44" s="98"/>
      <c r="L44" s="98"/>
      <c r="M44" s="98"/>
      <c r="N44" s="98"/>
      <c r="O44" s="98"/>
      <c r="P44" s="122" t="s">
        <v>108</v>
      </c>
      <c r="Q44" s="98"/>
      <c r="R44" s="98"/>
      <c r="S44" s="1653"/>
      <c r="T44" s="1653"/>
      <c r="U44" s="1654"/>
      <c r="V44" s="98"/>
      <c r="W44" s="136"/>
      <c r="X44" s="136"/>
      <c r="Y44" s="136"/>
      <c r="Z44" s="136"/>
      <c r="AA44" s="136"/>
      <c r="AB44" s="136"/>
      <c r="AC44" s="136"/>
      <c r="AD44" s="136"/>
      <c r="AE44" s="136"/>
      <c r="AF44" s="98"/>
      <c r="AG44" s="98"/>
      <c r="AH44" s="98"/>
      <c r="AI44" s="98"/>
      <c r="AJ44" s="98"/>
      <c r="AK44" s="98"/>
      <c r="AL44" s="98"/>
      <c r="AM44" s="98"/>
      <c r="AN44" s="98"/>
      <c r="AO44" s="98"/>
      <c r="AP44" s="98"/>
      <c r="AQ44" s="1653"/>
      <c r="AR44" s="1653"/>
      <c r="AS44" s="1654"/>
      <c r="AT44" s="98"/>
      <c r="AU44" s="136"/>
      <c r="AV44" s="136"/>
      <c r="AW44" s="136"/>
      <c r="AX44" s="136"/>
      <c r="AY44" s="136"/>
      <c r="AZ44" s="136"/>
      <c r="BA44" s="136"/>
      <c r="BB44" s="136"/>
      <c r="BC44" s="136"/>
      <c r="BD44" s="55"/>
      <c r="BE44" s="55"/>
      <c r="BF44" s="55"/>
      <c r="BG44" s="55"/>
      <c r="BH44" s="55"/>
      <c r="BI44" s="55"/>
      <c r="BJ44" s="121"/>
      <c r="BQ44" s="531">
        <f>LEN(BV44)</f>
        <v>0</v>
      </c>
      <c r="BR44" s="531">
        <f>LEN(BW44)</f>
        <v>0</v>
      </c>
      <c r="BS44" s="531">
        <f>LEN(BX44)</f>
        <v>0</v>
      </c>
      <c r="BT44" s="531"/>
      <c r="BU44" s="28" t="s">
        <v>428</v>
      </c>
    </row>
    <row r="45" spans="2:77" s="28" customFormat="1" ht="6" customHeight="1">
      <c r="B45" s="117"/>
      <c r="C45" s="489"/>
      <c r="D45" s="98"/>
      <c r="E45" s="98"/>
      <c r="F45" s="98"/>
      <c r="G45" s="98"/>
      <c r="H45" s="98"/>
      <c r="I45" s="98"/>
      <c r="J45" s="98"/>
      <c r="K45" s="98"/>
      <c r="L45" s="98"/>
      <c r="M45" s="98"/>
      <c r="N45" s="98"/>
      <c r="O45" s="98"/>
      <c r="P45" s="122"/>
      <c r="Q45" s="98"/>
      <c r="R45" s="98"/>
      <c r="S45" s="827"/>
      <c r="T45" s="827"/>
      <c r="U45" s="827"/>
      <c r="V45" s="98"/>
      <c r="W45" s="98"/>
      <c r="X45" s="98"/>
      <c r="Y45" s="98"/>
      <c r="Z45" s="98"/>
      <c r="AA45" s="98"/>
      <c r="AB45" s="98"/>
      <c r="AC45" s="98"/>
      <c r="AD45" s="98"/>
      <c r="AE45" s="98"/>
      <c r="AF45" s="98"/>
      <c r="AG45" s="98"/>
      <c r="AH45" s="98"/>
      <c r="AI45" s="98"/>
      <c r="AJ45" s="98"/>
      <c r="AK45" s="98"/>
      <c r="AL45" s="98"/>
      <c r="AM45" s="98"/>
      <c r="AN45" s="98"/>
      <c r="AO45" s="98"/>
      <c r="AP45" s="98"/>
      <c r="AQ45" s="135"/>
      <c r="AR45" s="135"/>
      <c r="AS45" s="135"/>
      <c r="AT45" s="98"/>
      <c r="AU45" s="98"/>
      <c r="AV45" s="55"/>
      <c r="AW45" s="55"/>
      <c r="AX45" s="55"/>
      <c r="AY45" s="55"/>
      <c r="AZ45" s="55"/>
      <c r="BA45" s="55"/>
      <c r="BB45" s="55"/>
      <c r="BC45" s="55"/>
      <c r="BD45" s="55"/>
      <c r="BE45" s="55"/>
      <c r="BF45" s="55"/>
      <c r="BG45" s="55"/>
      <c r="BH45" s="55"/>
      <c r="BI45" s="55"/>
      <c r="BJ45" s="121"/>
    </row>
    <row r="46" spans="2:77" s="28" customFormat="1" ht="11.1" customHeight="1">
      <c r="B46" s="117"/>
      <c r="C46" s="489"/>
      <c r="D46" s="98" t="str">
        <f>X!$C$254</f>
        <v>Verflüssigungstemperatur</v>
      </c>
      <c r="E46" s="98"/>
      <c r="F46" s="98"/>
      <c r="G46" s="98"/>
      <c r="H46" s="98"/>
      <c r="I46" s="98"/>
      <c r="J46" s="98"/>
      <c r="K46" s="98"/>
      <c r="L46" s="98"/>
      <c r="M46" s="98"/>
      <c r="N46" s="98"/>
      <c r="O46" s="98"/>
      <c r="P46" s="122" t="s">
        <v>108</v>
      </c>
      <c r="Q46" s="98"/>
      <c r="R46" s="98"/>
      <c r="S46" s="1653"/>
      <c r="T46" s="1653"/>
      <c r="U46" s="1654"/>
      <c r="V46" s="98"/>
      <c r="W46" s="145"/>
      <c r="X46" s="136"/>
      <c r="Y46" s="136"/>
      <c r="Z46" s="136"/>
      <c r="AA46" s="136"/>
      <c r="AB46" s="136"/>
      <c r="AC46" s="136"/>
      <c r="AD46" s="136"/>
      <c r="AE46" s="136"/>
      <c r="AF46" s="98"/>
      <c r="AG46" s="98"/>
      <c r="AH46" s="98"/>
      <c r="AI46" s="98"/>
      <c r="AJ46" s="98"/>
      <c r="AK46" s="98"/>
      <c r="AL46" s="98"/>
      <c r="AM46" s="98"/>
      <c r="AN46" s="98"/>
      <c r="AO46" s="98"/>
      <c r="AP46" s="98"/>
      <c r="AQ46" s="1653"/>
      <c r="AR46" s="1653"/>
      <c r="AS46" s="1654"/>
      <c r="AT46" s="98"/>
      <c r="AU46" s="136"/>
      <c r="AV46" s="136"/>
      <c r="AW46" s="136"/>
      <c r="AX46" s="136"/>
      <c r="AY46" s="136"/>
      <c r="AZ46" s="136"/>
      <c r="BA46" s="136"/>
      <c r="BB46" s="136"/>
      <c r="BC46" s="136"/>
      <c r="BD46" s="55"/>
      <c r="BE46" s="55"/>
      <c r="BF46" s="55"/>
      <c r="BG46" s="55"/>
      <c r="BH46" s="52"/>
      <c r="BI46" s="55"/>
      <c r="BJ46" s="121"/>
      <c r="BQ46" s="531">
        <f>LEN(BV46)</f>
        <v>0</v>
      </c>
      <c r="BR46" s="531">
        <f>LEN(BW46)</f>
        <v>0</v>
      </c>
      <c r="BS46" s="531">
        <f>LEN(BX46)</f>
        <v>0</v>
      </c>
      <c r="BT46" s="531"/>
      <c r="BU46" s="28" t="s">
        <v>429</v>
      </c>
    </row>
    <row r="47" spans="2:77" s="28" customFormat="1" ht="17.100000000000001" customHeight="1">
      <c r="B47" s="117"/>
      <c r="C47" s="489"/>
      <c r="D47" s="98"/>
      <c r="E47" s="98"/>
      <c r="F47" s="98"/>
      <c r="G47" s="98"/>
      <c r="H47" s="98"/>
      <c r="I47" s="98"/>
      <c r="J47" s="98"/>
      <c r="K47" s="98"/>
      <c r="L47" s="98"/>
      <c r="M47" s="98"/>
      <c r="N47" s="98"/>
      <c r="O47" s="98"/>
      <c r="P47" s="122"/>
      <c r="Q47" s="98"/>
      <c r="R47" s="98"/>
      <c r="S47" s="135"/>
      <c r="T47" s="135"/>
      <c r="U47" s="135"/>
      <c r="V47" s="98"/>
      <c r="W47" s="136"/>
      <c r="X47" s="136"/>
      <c r="Y47" s="136"/>
      <c r="Z47" s="136"/>
      <c r="AA47" s="136"/>
      <c r="AB47" s="136"/>
      <c r="AC47" s="136"/>
      <c r="AD47" s="136"/>
      <c r="AE47" s="136"/>
      <c r="AF47" s="98"/>
      <c r="AG47" s="98"/>
      <c r="AH47" s="98"/>
      <c r="AI47" s="98"/>
      <c r="AJ47" s="98"/>
      <c r="AK47" s="98"/>
      <c r="AL47" s="98"/>
      <c r="AM47" s="98"/>
      <c r="AN47" s="98"/>
      <c r="AO47" s="98"/>
      <c r="AP47" s="98"/>
      <c r="AQ47" s="135"/>
      <c r="AR47" s="135"/>
      <c r="AS47" s="135"/>
      <c r="AT47" s="98"/>
      <c r="AU47" s="136"/>
      <c r="AV47" s="136"/>
      <c r="AW47" s="136"/>
      <c r="AX47" s="136"/>
      <c r="AY47" s="136"/>
      <c r="AZ47" s="136"/>
      <c r="BA47" s="136"/>
      <c r="BB47" s="136"/>
      <c r="BC47" s="136"/>
      <c r="BD47" s="55"/>
      <c r="BE47" s="55"/>
      <c r="BF47" s="55"/>
      <c r="BG47" s="55"/>
      <c r="BH47" s="52"/>
      <c r="BI47" s="55"/>
      <c r="BJ47" s="121"/>
    </row>
    <row r="48" spans="2:77" s="28" customFormat="1" ht="17.100000000000001" customHeight="1">
      <c r="B48" s="117"/>
      <c r="C48" s="495">
        <v>2.2000000000000002</v>
      </c>
      <c r="D48" s="495" t="str">
        <f>X!$C$155</f>
        <v>Konzept Kälteerzeugung</v>
      </c>
      <c r="E48" s="144"/>
      <c r="F48" s="98"/>
      <c r="G48" s="98"/>
      <c r="H48" s="98"/>
      <c r="I48" s="98"/>
      <c r="J48" s="98"/>
      <c r="K48" s="98"/>
      <c r="L48" s="98"/>
      <c r="M48" s="98"/>
      <c r="N48" s="98"/>
      <c r="O48" s="98"/>
      <c r="P48" s="122"/>
      <c r="Q48" s="98"/>
      <c r="R48" s="98"/>
      <c r="S48" s="55"/>
      <c r="T48" s="55"/>
      <c r="U48" s="55"/>
      <c r="V48" s="55"/>
      <c r="W48" s="55"/>
      <c r="X48" s="55"/>
      <c r="Y48" s="55"/>
      <c r="Z48" s="55"/>
      <c r="AA48" s="55"/>
      <c r="AB48" s="55"/>
      <c r="AC48" s="55"/>
      <c r="AD48" s="55"/>
      <c r="AE48" s="55"/>
      <c r="AF48" s="55"/>
      <c r="AG48" s="55"/>
      <c r="AH48" s="55"/>
      <c r="AI48" s="55"/>
      <c r="AJ48" s="55"/>
      <c r="AK48" s="55"/>
      <c r="AL48" s="640"/>
      <c r="AM48" s="55"/>
      <c r="AN48" s="55"/>
      <c r="AO48" s="55"/>
      <c r="AP48" s="55"/>
      <c r="AQ48" s="55"/>
      <c r="AR48" s="55"/>
      <c r="AS48" s="55"/>
      <c r="AT48" s="120"/>
      <c r="AU48" s="55"/>
      <c r="AV48" s="55"/>
      <c r="AW48" s="55"/>
      <c r="AX48" s="55"/>
      <c r="AY48" s="55"/>
      <c r="AZ48" s="55"/>
      <c r="BA48" s="55"/>
      <c r="BB48" s="55"/>
      <c r="BC48" s="55"/>
      <c r="BD48" s="55"/>
      <c r="BE48" s="55"/>
      <c r="BF48" s="55"/>
      <c r="BG48" s="55"/>
      <c r="BH48" s="55"/>
      <c r="BI48" s="55"/>
      <c r="BJ48" s="121"/>
      <c r="BP48" s="31"/>
      <c r="BQ48" s="31"/>
      <c r="BR48" s="31"/>
      <c r="BS48" s="31"/>
      <c r="BT48" s="31"/>
      <c r="BU48" s="31"/>
      <c r="BV48" s="31"/>
      <c r="BW48" s="31"/>
      <c r="BX48" s="31"/>
      <c r="BY48" s="31"/>
    </row>
    <row r="49" spans="2:77" s="28" customFormat="1" ht="6" customHeight="1">
      <c r="B49" s="117"/>
      <c r="C49" s="474"/>
      <c r="D49" s="98"/>
      <c r="E49" s="98"/>
      <c r="F49" s="98"/>
      <c r="G49" s="98"/>
      <c r="H49" s="98"/>
      <c r="I49" s="98"/>
      <c r="J49" s="98"/>
      <c r="K49" s="98"/>
      <c r="L49" s="98"/>
      <c r="M49" s="98"/>
      <c r="N49" s="98"/>
      <c r="O49" s="98"/>
      <c r="P49" s="122"/>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55"/>
      <c r="AW49" s="55"/>
      <c r="AX49" s="55"/>
      <c r="AY49" s="55"/>
      <c r="AZ49" s="55"/>
      <c r="BA49" s="55"/>
      <c r="BB49" s="55"/>
      <c r="BC49" s="55"/>
      <c r="BD49" s="55"/>
      <c r="BE49" s="55"/>
      <c r="BF49" s="55"/>
      <c r="BG49" s="55"/>
      <c r="BH49" s="55"/>
      <c r="BI49" s="55"/>
      <c r="BJ49" s="121"/>
      <c r="BP49" s="31"/>
      <c r="BQ49" s="31"/>
      <c r="BR49" s="31"/>
      <c r="BS49" s="31"/>
      <c r="BT49" s="31"/>
      <c r="BU49" s="31"/>
      <c r="BV49" s="31"/>
      <c r="BW49" s="31"/>
      <c r="BX49" s="31"/>
      <c r="BY49" s="31"/>
    </row>
    <row r="50" spans="2:77" s="28" customFormat="1" ht="11.1" customHeight="1">
      <c r="B50" s="117"/>
      <c r="C50" s="489"/>
      <c r="D50" s="98" t="str">
        <f>X!$C$32</f>
        <v>Anzahl Verdichter</v>
      </c>
      <c r="E50" s="98"/>
      <c r="F50" s="98"/>
      <c r="G50" s="98"/>
      <c r="H50" s="98"/>
      <c r="I50" s="98"/>
      <c r="J50" s="98"/>
      <c r="K50" s="98"/>
      <c r="L50" s="98"/>
      <c r="M50" s="98"/>
      <c r="N50" s="98"/>
      <c r="O50" s="98"/>
      <c r="P50" s="122" t="str">
        <f>X!C295</f>
        <v>Anzahl</v>
      </c>
      <c r="Q50" s="98"/>
      <c r="R50" s="98"/>
      <c r="S50" s="1653"/>
      <c r="T50" s="1653"/>
      <c r="U50" s="1654"/>
      <c r="V50" s="98"/>
      <c r="W50" s="1656">
        <f>MAX(S50,AQ50)</f>
        <v>0</v>
      </c>
      <c r="X50" s="1656"/>
      <c r="Y50" s="1656"/>
      <c r="Z50" s="1656"/>
      <c r="AA50" s="1656"/>
      <c r="AB50" s="1656"/>
      <c r="AC50" s="1656"/>
      <c r="AD50" s="1656"/>
      <c r="AE50" s="1656"/>
      <c r="AF50" s="1656"/>
      <c r="AG50" s="1656"/>
      <c r="AH50" s="1656"/>
      <c r="AI50" s="1656"/>
      <c r="AJ50" s="1656"/>
      <c r="AK50" s="1656"/>
      <c r="AL50" s="423"/>
      <c r="AM50" s="607" t="s">
        <v>292</v>
      </c>
      <c r="AN50" s="607" t="s">
        <v>292</v>
      </c>
      <c r="AO50" s="607" t="s">
        <v>292</v>
      </c>
      <c r="AP50" s="98"/>
      <c r="AQ50" s="1653"/>
      <c r="AR50" s="1653"/>
      <c r="AS50" s="1654"/>
      <c r="AT50" s="98"/>
      <c r="AU50" s="136"/>
      <c r="AV50" s="136"/>
      <c r="AW50" s="136"/>
      <c r="AX50" s="136"/>
      <c r="AY50" s="136"/>
      <c r="AZ50" s="136"/>
      <c r="BA50" s="136"/>
      <c r="BB50" s="136"/>
      <c r="BC50" s="136"/>
      <c r="BD50" s="55"/>
      <c r="BE50" s="55"/>
      <c r="BF50" s="55"/>
      <c r="BG50" s="55"/>
      <c r="BH50" s="55"/>
      <c r="BI50" s="55"/>
      <c r="BJ50" s="121"/>
      <c r="BQ50" s="531">
        <f>LEN(BV50)</f>
        <v>159</v>
      </c>
      <c r="BR50" s="531">
        <f>LEN(BW50)</f>
        <v>166</v>
      </c>
      <c r="BS50" s="531">
        <f>LEN(BX50)</f>
        <v>159</v>
      </c>
      <c r="BT50" s="531"/>
      <c r="BU50" s="28" t="s">
        <v>430</v>
      </c>
      <c r="BV50" s="28" t="str">
        <f>X!E418</f>
        <v>Es werden nur die effektiv benötigten Verdichter eingegeben. Allfällige (Reserve-) Verdichter für eine erhöhte Betriebssicherheit sind hier nicht einzurechnen.</v>
      </c>
      <c r="BW50" s="28" t="str">
        <f>X!F418</f>
        <v>Seuls les compresseurs vraiment nécessaires sont saisis. Les éventuels compresseurs (de réserve) pour une meilleure sécurité de fonctionnement ne sont pas à intégrer.</v>
      </c>
      <c r="BX50" s="28" t="str">
        <f>X!G418</f>
        <v>Vengono inseriti soli i compressori effettivamente necessari. Qui non sono calcolati eventuali compressori (di riserva) per una maggiore sicurezza d'esercizio.</v>
      </c>
    </row>
    <row r="51" spans="2:77" s="28" customFormat="1" ht="6" customHeight="1">
      <c r="B51" s="117"/>
      <c r="C51" s="858"/>
      <c r="D51" s="98"/>
      <c r="E51" s="98"/>
      <c r="F51" s="98"/>
      <c r="G51" s="98"/>
      <c r="H51" s="98"/>
      <c r="I51" s="98"/>
      <c r="J51" s="98"/>
      <c r="K51" s="98"/>
      <c r="L51" s="98"/>
      <c r="M51" s="98"/>
      <c r="N51" s="98"/>
      <c r="O51" s="98"/>
      <c r="P51" s="122"/>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640"/>
      <c r="AW51" s="640"/>
      <c r="AX51" s="640"/>
      <c r="AY51" s="640"/>
      <c r="AZ51" s="640"/>
      <c r="BA51" s="640"/>
      <c r="BB51" s="640"/>
      <c r="BC51" s="640"/>
      <c r="BD51" s="640"/>
      <c r="BE51" s="640"/>
      <c r="BF51" s="640"/>
      <c r="BG51" s="640"/>
      <c r="BH51" s="640"/>
      <c r="BI51" s="640"/>
      <c r="BJ51" s="121"/>
      <c r="BP51" s="31"/>
      <c r="BQ51" s="31"/>
      <c r="BR51" s="31"/>
      <c r="BS51" s="31"/>
      <c r="BT51" s="31"/>
      <c r="BU51" s="31"/>
      <c r="BV51" s="31"/>
      <c r="BW51" s="31"/>
      <c r="BX51" s="31"/>
      <c r="BY51" s="31"/>
    </row>
    <row r="52" spans="2:77" s="28" customFormat="1" ht="15.95" customHeight="1">
      <c r="B52" s="117"/>
      <c r="C52" s="857"/>
      <c r="D52" s="170" t="str">
        <f>X!C145</f>
        <v>Kältemittel</v>
      </c>
      <c r="E52" s="98"/>
      <c r="F52" s="98"/>
      <c r="G52" s="98"/>
      <c r="H52" s="98"/>
      <c r="I52" s="98"/>
      <c r="J52" s="98"/>
      <c r="K52" s="98"/>
      <c r="L52" s="98"/>
      <c r="M52" s="98"/>
      <c r="N52" s="98"/>
      <c r="O52" s="98"/>
      <c r="P52" s="122"/>
      <c r="Q52" s="98"/>
      <c r="R52" s="98"/>
      <c r="S52" s="1692"/>
      <c r="T52" s="1692"/>
      <c r="U52" s="1692"/>
      <c r="V52" s="1692"/>
      <c r="W52" s="1692"/>
      <c r="X52" s="1692"/>
      <c r="Y52" s="1692"/>
      <c r="Z52" s="1693"/>
      <c r="AA52" s="866"/>
      <c r="AB52" s="866"/>
      <c r="AC52" s="866"/>
      <c r="AD52" s="866"/>
      <c r="AE52" s="866"/>
      <c r="AF52" s="866"/>
      <c r="AG52" s="866"/>
      <c r="AH52" s="866"/>
      <c r="AI52" s="866"/>
      <c r="AJ52" s="866"/>
      <c r="AK52" s="866"/>
      <c r="AL52" s="423"/>
      <c r="AM52" s="98"/>
      <c r="AN52" s="98"/>
      <c r="AO52" s="98"/>
      <c r="AP52" s="98"/>
      <c r="AQ52" s="1692"/>
      <c r="AR52" s="1692"/>
      <c r="AS52" s="1692"/>
      <c r="AT52" s="1692"/>
      <c r="AU52" s="1692"/>
      <c r="AV52" s="1692"/>
      <c r="AW52" s="1692"/>
      <c r="AX52" s="1693"/>
      <c r="AY52" s="136"/>
      <c r="AZ52" s="136"/>
      <c r="BA52" s="136"/>
      <c r="BB52" s="136"/>
      <c r="BC52" s="136"/>
      <c r="BD52" s="640"/>
      <c r="BE52" s="640"/>
      <c r="BF52" s="640"/>
      <c r="BG52" s="640"/>
      <c r="BH52" s="640"/>
      <c r="BI52" s="640"/>
      <c r="BJ52" s="121"/>
      <c r="BQ52" s="856">
        <f>LEN(BV52)</f>
        <v>101</v>
      </c>
      <c r="BR52" s="856">
        <f>LEN(BW52)</f>
        <v>96</v>
      </c>
      <c r="BS52" s="856">
        <f>LEN(BX52)</f>
        <v>96</v>
      </c>
      <c r="BT52" s="856"/>
      <c r="BU52" s="28" t="s">
        <v>430</v>
      </c>
      <c r="BV52" s="28" t="str">
        <f>X!E420</f>
        <v>Falls es zusätzliche Hilfsbetriebe auf der «kalten Seite» gibt, können diese hier eingetragen werden.</v>
      </c>
      <c r="BW52" s="28" t="str">
        <f>X!F420</f>
        <v>S'il y a des unités auxiliaires supplémentaires du «côté froid», elles peuvent être saisies ici.</v>
      </c>
      <c r="BX52" s="28" t="str">
        <f>X!G420</f>
        <v>In presenza di aggregati ausiliari supplementari nella «parte fredda» è possibile inserirli qui.</v>
      </c>
    </row>
    <row r="53" spans="2:77" s="28" customFormat="1" ht="17.100000000000001" customHeight="1">
      <c r="B53" s="117"/>
      <c r="C53" s="489"/>
      <c r="D53" s="98"/>
      <c r="E53" s="98"/>
      <c r="F53" s="98"/>
      <c r="G53" s="98"/>
      <c r="H53" s="98"/>
      <c r="I53" s="98"/>
      <c r="J53" s="98"/>
      <c r="K53" s="98"/>
      <c r="L53" s="98"/>
      <c r="M53" s="98"/>
      <c r="N53" s="98"/>
      <c r="O53" s="98"/>
      <c r="P53" s="122"/>
      <c r="Q53" s="98"/>
      <c r="R53" s="98"/>
      <c r="S53" s="135"/>
      <c r="T53" s="135"/>
      <c r="U53" s="135"/>
      <c r="V53" s="98"/>
      <c r="W53" s="146"/>
      <c r="X53" s="146"/>
      <c r="Y53" s="146"/>
      <c r="Z53" s="146"/>
      <c r="AA53" s="146"/>
      <c r="AB53" s="146"/>
      <c r="AC53" s="146"/>
      <c r="AD53" s="146"/>
      <c r="AE53" s="146"/>
      <c r="AF53" s="146"/>
      <c r="AG53" s="146"/>
      <c r="AH53" s="146"/>
      <c r="AI53" s="146"/>
      <c r="AJ53" s="146"/>
      <c r="AK53" s="146"/>
      <c r="AL53" s="146"/>
      <c r="AM53" s="146"/>
      <c r="AN53" s="98"/>
      <c r="AO53" s="98"/>
      <c r="AP53" s="98"/>
      <c r="AQ53" s="135"/>
      <c r="AR53" s="135"/>
      <c r="AS53" s="135"/>
      <c r="AT53" s="98"/>
      <c r="AU53" s="136"/>
      <c r="AV53" s="136"/>
      <c r="AW53" s="136"/>
      <c r="AX53" s="136"/>
      <c r="AY53" s="136"/>
      <c r="AZ53" s="136"/>
      <c r="BA53" s="136"/>
      <c r="BB53" s="136"/>
      <c r="BC53" s="136"/>
      <c r="BD53" s="55"/>
      <c r="BE53" s="55"/>
      <c r="BF53" s="55"/>
      <c r="BG53" s="55"/>
      <c r="BH53" s="55"/>
      <c r="BI53" s="55"/>
      <c r="BJ53" s="121"/>
    </row>
    <row r="54" spans="2:77" ht="17.100000000000001" customHeight="1">
      <c r="B54" s="147"/>
      <c r="C54" s="495">
        <v>2.2999999999999998</v>
      </c>
      <c r="D54" s="495" t="str">
        <f>X!$C$247</f>
        <v>Verdichter</v>
      </c>
      <c r="E54" s="144"/>
      <c r="F54" s="144"/>
      <c r="G54" s="98"/>
      <c r="H54" s="98"/>
      <c r="I54" s="98"/>
      <c r="J54" s="98"/>
      <c r="K54" s="98"/>
      <c r="L54" s="98"/>
      <c r="M54" s="98"/>
      <c r="N54" s="98"/>
      <c r="O54" s="98"/>
      <c r="P54" s="122"/>
      <c r="Q54" s="98"/>
      <c r="R54" s="98"/>
      <c r="S54" s="148"/>
      <c r="T54" s="148"/>
      <c r="U54" s="532" t="str">
        <f>X!$C$191</f>
        <v>P elektrisch</v>
      </c>
      <c r="V54" s="150"/>
      <c r="W54" s="533" t="str">
        <f>X!$C$206</f>
        <v>Regelungsart</v>
      </c>
      <c r="X54" s="148"/>
      <c r="Y54" s="148"/>
      <c r="Z54" s="148"/>
      <c r="AA54" s="148"/>
      <c r="AB54" s="148"/>
      <c r="AC54" s="148"/>
      <c r="AD54" s="148"/>
      <c r="AE54" s="148"/>
      <c r="AF54" s="148"/>
      <c r="AG54" s="148"/>
      <c r="AH54" s="148"/>
      <c r="AI54" s="148"/>
      <c r="AJ54" s="148"/>
      <c r="AK54" s="148"/>
      <c r="AL54" s="148"/>
      <c r="AM54" s="148"/>
      <c r="AN54" s="148"/>
      <c r="AO54" s="148"/>
      <c r="AP54" s="151"/>
      <c r="AQ54" s="148"/>
      <c r="AR54" s="148"/>
      <c r="AS54" s="534" t="str">
        <f>X!$C$191</f>
        <v>P elektrisch</v>
      </c>
      <c r="AT54" s="150"/>
      <c r="AU54" s="533" t="str">
        <f>X!$C$206</f>
        <v>Regelungsart</v>
      </c>
      <c r="AV54" s="150"/>
      <c r="AW54" s="150"/>
      <c r="AX54" s="150"/>
      <c r="AY54" s="98"/>
      <c r="AZ54" s="98"/>
      <c r="BA54" s="98"/>
      <c r="BB54" s="98"/>
      <c r="BC54" s="98"/>
      <c r="BD54" s="98"/>
      <c r="BE54" s="98"/>
      <c r="BF54" s="98"/>
      <c r="BG54" s="98"/>
      <c r="BH54" s="98"/>
      <c r="BI54" s="98"/>
      <c r="BJ54" s="152"/>
      <c r="BP54" s="28"/>
      <c r="BQ54" s="28"/>
      <c r="BR54" s="28"/>
      <c r="BS54" s="28"/>
      <c r="BT54" s="28"/>
      <c r="BU54" s="28"/>
      <c r="BV54" s="28"/>
      <c r="BW54" s="28"/>
      <c r="BX54" s="28"/>
      <c r="BY54" s="28"/>
    </row>
    <row r="55" spans="2:77" s="28" customFormat="1" ht="6" customHeight="1">
      <c r="B55" s="117"/>
      <c r="C55" s="474"/>
      <c r="D55" s="98"/>
      <c r="E55" s="98"/>
      <c r="F55" s="98"/>
      <c r="G55" s="98"/>
      <c r="H55" s="98"/>
      <c r="I55" s="98"/>
      <c r="J55" s="98"/>
      <c r="K55" s="98"/>
      <c r="L55" s="98"/>
      <c r="M55" s="98"/>
      <c r="N55" s="98"/>
      <c r="O55" s="98"/>
      <c r="P55" s="122"/>
      <c r="Q55" s="98"/>
      <c r="R55" s="98"/>
      <c r="S55" s="98"/>
      <c r="T55" s="98"/>
      <c r="U55" s="98"/>
      <c r="V55" s="98"/>
      <c r="W55" s="98"/>
      <c r="X55" s="98"/>
      <c r="Y55" s="98"/>
      <c r="Z55" s="98"/>
      <c r="AA55" s="98"/>
      <c r="AB55" s="98"/>
      <c r="AC55" s="98"/>
      <c r="AD55" s="98"/>
      <c r="AE55" s="98"/>
      <c r="AF55" s="98"/>
      <c r="AG55" s="98"/>
      <c r="AH55" s="98"/>
      <c r="AI55" s="98"/>
      <c r="AJ55" s="98"/>
      <c r="AK55" s="98"/>
      <c r="AL55" s="148"/>
      <c r="AM55" s="148"/>
      <c r="AN55" s="148"/>
      <c r="AO55" s="148"/>
      <c r="AP55" s="98"/>
      <c r="AQ55" s="98"/>
      <c r="AR55" s="98"/>
      <c r="AS55" s="98"/>
      <c r="AT55" s="98"/>
      <c r="AU55" s="98"/>
      <c r="AV55" s="98"/>
      <c r="AW55" s="98"/>
      <c r="AX55" s="98"/>
      <c r="AY55" s="98"/>
      <c r="AZ55" s="98"/>
      <c r="BA55" s="98"/>
      <c r="BB55" s="98"/>
      <c r="BC55" s="98"/>
      <c r="BD55" s="98"/>
      <c r="BE55" s="98"/>
      <c r="BF55" s="98"/>
      <c r="BG55" s="98"/>
      <c r="BH55" s="98"/>
      <c r="BI55" s="98"/>
      <c r="BJ55" s="121"/>
    </row>
    <row r="56" spans="2:77" s="28" customFormat="1" ht="11.1" customHeight="1">
      <c r="B56" s="117"/>
      <c r="C56" s="474"/>
      <c r="D56" s="535" t="str">
        <f>X!$C$248</f>
        <v>Verdichter 1</v>
      </c>
      <c r="E56" s="98"/>
      <c r="F56" s="98"/>
      <c r="G56" s="55"/>
      <c r="H56" s="98"/>
      <c r="I56" s="55"/>
      <c r="J56" s="55"/>
      <c r="K56" s="98"/>
      <c r="L56" s="98"/>
      <c r="M56" s="55"/>
      <c r="N56" s="55"/>
      <c r="O56" s="55"/>
      <c r="P56" s="122" t="s">
        <v>186</v>
      </c>
      <c r="Q56" s="55"/>
      <c r="R56" s="98"/>
      <c r="S56" s="1653"/>
      <c r="T56" s="1653"/>
      <c r="U56" s="1654"/>
      <c r="V56" s="98"/>
      <c r="W56" s="1655"/>
      <c r="X56" s="1526"/>
      <c r="Y56" s="1526"/>
      <c r="Z56" s="1526"/>
      <c r="AA56" s="1526"/>
      <c r="AB56" s="1526"/>
      <c r="AC56" s="1526"/>
      <c r="AD56" s="1526"/>
      <c r="AE56" s="1526"/>
      <c r="AF56" s="1526"/>
      <c r="AG56" s="1526"/>
      <c r="AH56" s="1526"/>
      <c r="AI56" s="1526"/>
      <c r="AJ56" s="1526"/>
      <c r="AK56" s="1527"/>
      <c r="AL56" s="148"/>
      <c r="AM56" s="148"/>
      <c r="AN56" s="148"/>
      <c r="AO56" s="148"/>
      <c r="AP56" s="98"/>
      <c r="AQ56" s="1653"/>
      <c r="AR56" s="1653"/>
      <c r="AS56" s="1654"/>
      <c r="AT56" s="98"/>
      <c r="AU56" s="1526"/>
      <c r="AV56" s="1526"/>
      <c r="AW56" s="1526"/>
      <c r="AX56" s="1526"/>
      <c r="AY56" s="1526"/>
      <c r="AZ56" s="1526"/>
      <c r="BA56" s="1526"/>
      <c r="BB56" s="1526"/>
      <c r="BC56" s="1526"/>
      <c r="BD56" s="1526"/>
      <c r="BE56" s="1526"/>
      <c r="BF56" s="1526"/>
      <c r="BG56" s="1526"/>
      <c r="BH56" s="1526"/>
      <c r="BI56" s="1527"/>
      <c r="BJ56" s="121"/>
    </row>
    <row r="57" spans="2:77" s="28" customFormat="1" ht="6" customHeight="1">
      <c r="B57" s="117"/>
      <c r="C57" s="503"/>
      <c r="D57" s="118"/>
      <c r="E57" s="118"/>
      <c r="F57" s="118"/>
      <c r="G57" s="118"/>
      <c r="H57" s="118"/>
      <c r="I57" s="118"/>
      <c r="J57" s="118"/>
      <c r="K57" s="118"/>
      <c r="L57" s="118"/>
      <c r="M57" s="118"/>
      <c r="N57" s="118"/>
      <c r="O57" s="118"/>
      <c r="P57" s="119"/>
      <c r="Q57" s="118"/>
      <c r="R57" s="118"/>
      <c r="S57" s="118"/>
      <c r="T57" s="118"/>
      <c r="U57" s="118"/>
      <c r="V57" s="118"/>
      <c r="W57" s="118"/>
      <c r="X57" s="118"/>
      <c r="Y57" s="118"/>
      <c r="Z57" s="118"/>
      <c r="AA57" s="55"/>
      <c r="AB57" s="55"/>
      <c r="AC57" s="55"/>
      <c r="AD57" s="55"/>
      <c r="AE57" s="55"/>
      <c r="AF57" s="55"/>
      <c r="AG57" s="55"/>
      <c r="AH57" s="55"/>
      <c r="AI57" s="55"/>
      <c r="AJ57" s="55"/>
      <c r="AK57" s="55"/>
      <c r="AL57" s="148"/>
      <c r="AM57" s="148"/>
      <c r="AN57" s="148"/>
      <c r="AO57" s="148"/>
      <c r="AP57" s="55"/>
      <c r="AQ57" s="118"/>
      <c r="AR57" s="118"/>
      <c r="AS57" s="118"/>
      <c r="AT57" s="118"/>
      <c r="AU57" s="118"/>
      <c r="AV57" s="118"/>
      <c r="AW57" s="118"/>
      <c r="AX57" s="118"/>
      <c r="AY57" s="55"/>
      <c r="AZ57" s="55"/>
      <c r="BA57" s="55"/>
      <c r="BB57" s="55"/>
      <c r="BC57" s="55"/>
      <c r="BD57" s="55"/>
      <c r="BE57" s="55"/>
      <c r="BF57" s="55"/>
      <c r="BG57" s="55"/>
      <c r="BH57" s="55"/>
      <c r="BI57" s="55"/>
      <c r="BJ57" s="121"/>
    </row>
    <row r="58" spans="2:77" s="28" customFormat="1" ht="11.1" customHeight="1">
      <c r="B58" s="117"/>
      <c r="C58" s="474"/>
      <c r="D58" s="535" t="str">
        <f>X!$C$249</f>
        <v>Verdichter 2</v>
      </c>
      <c r="E58" s="98"/>
      <c r="F58" s="98"/>
      <c r="G58" s="55"/>
      <c r="H58" s="98"/>
      <c r="I58" s="55"/>
      <c r="J58" s="55"/>
      <c r="K58" s="98"/>
      <c r="L58" s="98"/>
      <c r="M58" s="55"/>
      <c r="N58" s="55"/>
      <c r="O58" s="55"/>
      <c r="P58" s="122" t="s">
        <v>186</v>
      </c>
      <c r="Q58" s="55"/>
      <c r="R58" s="98"/>
      <c r="S58" s="1653"/>
      <c r="T58" s="1653"/>
      <c r="U58" s="1654"/>
      <c r="V58" s="98"/>
      <c r="W58" s="1526"/>
      <c r="X58" s="1526"/>
      <c r="Y58" s="1526"/>
      <c r="Z58" s="1526"/>
      <c r="AA58" s="1526"/>
      <c r="AB58" s="1526"/>
      <c r="AC58" s="1526"/>
      <c r="AD58" s="1526"/>
      <c r="AE58" s="1526"/>
      <c r="AF58" s="1526"/>
      <c r="AG58" s="1526"/>
      <c r="AH58" s="1526"/>
      <c r="AI58" s="1526"/>
      <c r="AJ58" s="1526"/>
      <c r="AK58" s="1527"/>
      <c r="AL58" s="148"/>
      <c r="AM58" s="148"/>
      <c r="AN58" s="148"/>
      <c r="AO58" s="148"/>
      <c r="AP58" s="98"/>
      <c r="AQ58" s="1653"/>
      <c r="AR58" s="1653"/>
      <c r="AS58" s="1654"/>
      <c r="AT58" s="98"/>
      <c r="AU58" s="1526"/>
      <c r="AV58" s="1526"/>
      <c r="AW58" s="1526"/>
      <c r="AX58" s="1526"/>
      <c r="AY58" s="1526"/>
      <c r="AZ58" s="1526"/>
      <c r="BA58" s="1526"/>
      <c r="BB58" s="1526"/>
      <c r="BC58" s="1526"/>
      <c r="BD58" s="1526"/>
      <c r="BE58" s="1526"/>
      <c r="BF58" s="1526"/>
      <c r="BG58" s="1526"/>
      <c r="BH58" s="1526"/>
      <c r="BI58" s="1527"/>
      <c r="BJ58" s="121"/>
    </row>
    <row r="59" spans="2:77" s="28" customFormat="1" ht="6" customHeight="1">
      <c r="B59" s="117"/>
      <c r="C59" s="503"/>
      <c r="D59" s="118"/>
      <c r="E59" s="118"/>
      <c r="F59" s="118"/>
      <c r="G59" s="118"/>
      <c r="H59" s="118"/>
      <c r="I59" s="118"/>
      <c r="J59" s="118"/>
      <c r="K59" s="118"/>
      <c r="L59" s="118"/>
      <c r="M59" s="118"/>
      <c r="N59" s="118"/>
      <c r="O59" s="118"/>
      <c r="P59" s="119"/>
      <c r="Q59" s="118"/>
      <c r="R59" s="118"/>
      <c r="S59" s="118"/>
      <c r="T59" s="118"/>
      <c r="U59" s="118"/>
      <c r="V59" s="118"/>
      <c r="W59" s="118"/>
      <c r="X59" s="118"/>
      <c r="Y59" s="118"/>
      <c r="Z59" s="118"/>
      <c r="AA59" s="55"/>
      <c r="AB59" s="55"/>
      <c r="AC59" s="55"/>
      <c r="AD59" s="55"/>
      <c r="AE59" s="55"/>
      <c r="AF59" s="55"/>
      <c r="AG59" s="55"/>
      <c r="AH59" s="55"/>
      <c r="AI59" s="55"/>
      <c r="AJ59" s="55"/>
      <c r="AK59" s="55"/>
      <c r="AL59" s="148"/>
      <c r="AM59" s="148"/>
      <c r="AN59" s="148"/>
      <c r="AO59" s="148"/>
      <c r="AP59" s="55"/>
      <c r="AQ59" s="118"/>
      <c r="AR59" s="118"/>
      <c r="AS59" s="118"/>
      <c r="AT59" s="118"/>
      <c r="AU59" s="118"/>
      <c r="AV59" s="118"/>
      <c r="AW59" s="118"/>
      <c r="AX59" s="118"/>
      <c r="AY59" s="55"/>
      <c r="AZ59" s="55"/>
      <c r="BA59" s="55"/>
      <c r="BB59" s="55"/>
      <c r="BC59" s="55"/>
      <c r="BD59" s="55"/>
      <c r="BE59" s="55"/>
      <c r="BF59" s="55"/>
      <c r="BG59" s="55"/>
      <c r="BH59" s="55"/>
      <c r="BI59" s="55"/>
      <c r="BJ59" s="121"/>
    </row>
    <row r="60" spans="2:77" s="28" customFormat="1" ht="11.1" customHeight="1">
      <c r="B60" s="117"/>
      <c r="C60" s="474"/>
      <c r="D60" s="535" t="str">
        <f>X!$C$250</f>
        <v>Verdichter 3</v>
      </c>
      <c r="E60" s="98"/>
      <c r="F60" s="98"/>
      <c r="G60" s="55"/>
      <c r="H60" s="98"/>
      <c r="I60" s="55"/>
      <c r="J60" s="55"/>
      <c r="K60" s="98"/>
      <c r="L60" s="98"/>
      <c r="M60" s="55"/>
      <c r="N60" s="55"/>
      <c r="O60" s="55"/>
      <c r="P60" s="122" t="s">
        <v>186</v>
      </c>
      <c r="Q60" s="55"/>
      <c r="R60" s="98"/>
      <c r="S60" s="1653"/>
      <c r="T60" s="1653"/>
      <c r="U60" s="1654"/>
      <c r="V60" s="98"/>
      <c r="W60" s="1526"/>
      <c r="X60" s="1526"/>
      <c r="Y60" s="1526"/>
      <c r="Z60" s="1526"/>
      <c r="AA60" s="1526"/>
      <c r="AB60" s="1526"/>
      <c r="AC60" s="1526"/>
      <c r="AD60" s="1526"/>
      <c r="AE60" s="1526"/>
      <c r="AF60" s="1526"/>
      <c r="AG60" s="1526"/>
      <c r="AH60" s="1526"/>
      <c r="AI60" s="1526"/>
      <c r="AJ60" s="1526"/>
      <c r="AK60" s="1527"/>
      <c r="AL60" s="148"/>
      <c r="AM60" s="148"/>
      <c r="AN60" s="148"/>
      <c r="AO60" s="148"/>
      <c r="AP60" s="98"/>
      <c r="AQ60" s="1653"/>
      <c r="AR60" s="1653"/>
      <c r="AS60" s="1654"/>
      <c r="AT60" s="98"/>
      <c r="AU60" s="1526"/>
      <c r="AV60" s="1526"/>
      <c r="AW60" s="1526"/>
      <c r="AX60" s="1526"/>
      <c r="AY60" s="1526"/>
      <c r="AZ60" s="1526"/>
      <c r="BA60" s="1526"/>
      <c r="BB60" s="1526"/>
      <c r="BC60" s="1526"/>
      <c r="BD60" s="1526"/>
      <c r="BE60" s="1526"/>
      <c r="BF60" s="1526"/>
      <c r="BG60" s="1526"/>
      <c r="BH60" s="1526"/>
      <c r="BI60" s="1527"/>
      <c r="BJ60" s="121"/>
    </row>
    <row r="61" spans="2:77" s="28" customFormat="1" ht="6" customHeight="1">
      <c r="B61" s="117"/>
      <c r="C61" s="503"/>
      <c r="D61" s="118"/>
      <c r="E61" s="118"/>
      <c r="F61" s="118"/>
      <c r="G61" s="118"/>
      <c r="H61" s="118"/>
      <c r="I61" s="118"/>
      <c r="J61" s="118"/>
      <c r="K61" s="118"/>
      <c r="L61" s="118"/>
      <c r="M61" s="118"/>
      <c r="N61" s="118"/>
      <c r="O61" s="118"/>
      <c r="P61" s="119"/>
      <c r="Q61" s="118"/>
      <c r="R61" s="118"/>
      <c r="S61" s="118"/>
      <c r="T61" s="118"/>
      <c r="U61" s="118"/>
      <c r="V61" s="118"/>
      <c r="W61" s="118"/>
      <c r="X61" s="118"/>
      <c r="Y61" s="118"/>
      <c r="Z61" s="118"/>
      <c r="AA61" s="55"/>
      <c r="AB61" s="55"/>
      <c r="AC61" s="55"/>
      <c r="AD61" s="55"/>
      <c r="AE61" s="55"/>
      <c r="AF61" s="55"/>
      <c r="AG61" s="55"/>
      <c r="AH61" s="55"/>
      <c r="AI61" s="55"/>
      <c r="AJ61" s="55"/>
      <c r="AK61" s="55"/>
      <c r="AL61" s="148"/>
      <c r="AM61" s="148"/>
      <c r="AN61" s="148"/>
      <c r="AO61" s="148"/>
      <c r="AP61" s="55"/>
      <c r="AQ61" s="118"/>
      <c r="AR61" s="118"/>
      <c r="AS61" s="118"/>
      <c r="AT61" s="118"/>
      <c r="AU61" s="118"/>
      <c r="AV61" s="118"/>
      <c r="AW61" s="118"/>
      <c r="AX61" s="118"/>
      <c r="AY61" s="55"/>
      <c r="AZ61" s="55"/>
      <c r="BA61" s="55"/>
      <c r="BB61" s="55"/>
      <c r="BC61" s="55"/>
      <c r="BD61" s="55"/>
      <c r="BE61" s="55"/>
      <c r="BF61" s="55"/>
      <c r="BG61" s="55"/>
      <c r="BH61" s="55"/>
      <c r="BI61" s="55"/>
      <c r="BJ61" s="121"/>
    </row>
    <row r="62" spans="2:77" s="28" customFormat="1" ht="11.1" customHeight="1">
      <c r="B62" s="117"/>
      <c r="C62" s="474"/>
      <c r="D62" s="535" t="str">
        <f>X!$C$251</f>
        <v>Verdichter 4</v>
      </c>
      <c r="E62" s="98"/>
      <c r="F62" s="98"/>
      <c r="G62" s="55"/>
      <c r="H62" s="98"/>
      <c r="I62" s="55"/>
      <c r="J62" s="55"/>
      <c r="K62" s="98"/>
      <c r="L62" s="98"/>
      <c r="M62" s="55"/>
      <c r="N62" s="55"/>
      <c r="O62" s="55"/>
      <c r="P62" s="122" t="s">
        <v>186</v>
      </c>
      <c r="Q62" s="55"/>
      <c r="R62" s="98"/>
      <c r="S62" s="1653"/>
      <c r="T62" s="1653"/>
      <c r="U62" s="1654"/>
      <c r="V62" s="98"/>
      <c r="W62" s="1526"/>
      <c r="X62" s="1526"/>
      <c r="Y62" s="1526"/>
      <c r="Z62" s="1526"/>
      <c r="AA62" s="1526"/>
      <c r="AB62" s="1526"/>
      <c r="AC62" s="1526"/>
      <c r="AD62" s="1526"/>
      <c r="AE62" s="1526"/>
      <c r="AF62" s="1526"/>
      <c r="AG62" s="1526"/>
      <c r="AH62" s="1526"/>
      <c r="AI62" s="1526"/>
      <c r="AJ62" s="1526"/>
      <c r="AK62" s="1527"/>
      <c r="AL62" s="148"/>
      <c r="AM62" s="148"/>
      <c r="AN62" s="148"/>
      <c r="AO62" s="148"/>
      <c r="AP62" s="98"/>
      <c r="AQ62" s="1653"/>
      <c r="AR62" s="1653"/>
      <c r="AS62" s="1654"/>
      <c r="AT62" s="98"/>
      <c r="AU62" s="1526"/>
      <c r="AV62" s="1526"/>
      <c r="AW62" s="1526"/>
      <c r="AX62" s="1526"/>
      <c r="AY62" s="1526"/>
      <c r="AZ62" s="1526"/>
      <c r="BA62" s="1526"/>
      <c r="BB62" s="1526"/>
      <c r="BC62" s="1526"/>
      <c r="BD62" s="1526"/>
      <c r="BE62" s="1526"/>
      <c r="BF62" s="1526"/>
      <c r="BG62" s="1526"/>
      <c r="BH62" s="1526"/>
      <c r="BI62" s="1527"/>
      <c r="BJ62" s="121"/>
      <c r="BP62" s="155"/>
      <c r="BQ62" s="155"/>
      <c r="BR62" s="155"/>
      <c r="BS62" s="155"/>
      <c r="BT62" s="155"/>
      <c r="BU62" s="155"/>
      <c r="BV62" s="155"/>
      <c r="BW62" s="155"/>
      <c r="BX62" s="155"/>
      <c r="BY62" s="155"/>
    </row>
    <row r="63" spans="2:77" s="28" customFormat="1" ht="17.100000000000001" customHeight="1">
      <c r="B63" s="117"/>
      <c r="C63" s="474"/>
      <c r="D63" s="98"/>
      <c r="E63" s="98"/>
      <c r="F63" s="98"/>
      <c r="G63" s="98"/>
      <c r="H63" s="98"/>
      <c r="I63" s="98"/>
      <c r="J63" s="98"/>
      <c r="K63" s="98"/>
      <c r="L63" s="98"/>
      <c r="M63" s="98"/>
      <c r="N63" s="98"/>
      <c r="O63" s="98"/>
      <c r="P63" s="122"/>
      <c r="Q63" s="98"/>
      <c r="R63" s="98"/>
      <c r="S63" s="98"/>
      <c r="T63" s="98"/>
      <c r="U63" s="98"/>
      <c r="V63" s="98"/>
      <c r="W63" s="98"/>
      <c r="X63" s="98"/>
      <c r="Y63" s="98"/>
      <c r="Z63" s="98"/>
      <c r="AA63" s="153"/>
      <c r="AB63" s="153"/>
      <c r="AC63" s="153"/>
      <c r="AD63" s="153"/>
      <c r="AE63" s="153"/>
      <c r="AF63" s="98"/>
      <c r="AG63" s="98"/>
      <c r="AH63" s="98"/>
      <c r="AI63" s="98"/>
      <c r="AJ63" s="98"/>
      <c r="AK63" s="98"/>
      <c r="AL63" s="148"/>
      <c r="AM63" s="148"/>
      <c r="AN63" s="148"/>
      <c r="AO63" s="148"/>
      <c r="AP63" s="98"/>
      <c r="AQ63" s="98"/>
      <c r="AR63" s="98"/>
      <c r="AS63" s="98"/>
      <c r="AT63" s="98"/>
      <c r="AU63" s="98"/>
      <c r="AV63" s="98"/>
      <c r="AW63" s="55"/>
      <c r="AX63" s="55"/>
      <c r="AY63" s="55"/>
      <c r="AZ63" s="55"/>
      <c r="BA63" s="55"/>
      <c r="BB63" s="55"/>
      <c r="BC63" s="55"/>
      <c r="BD63" s="55"/>
      <c r="BE63" s="55"/>
      <c r="BF63" s="55"/>
      <c r="BG63" s="55"/>
      <c r="BH63" s="55"/>
      <c r="BI63" s="55"/>
      <c r="BJ63" s="121"/>
    </row>
    <row r="64" spans="2:77" s="28" customFormat="1" ht="17.100000000000001" customHeight="1">
      <c r="B64" s="117"/>
      <c r="C64" s="495">
        <v>2.4</v>
      </c>
      <c r="D64" s="536" t="str">
        <f>X!$C$122</f>
        <v>Hilfsbetriebe «warme Seite»</v>
      </c>
      <c r="E64" s="144"/>
      <c r="F64" s="144"/>
      <c r="G64" s="98"/>
      <c r="H64" s="98"/>
      <c r="I64" s="55"/>
      <c r="J64" s="55"/>
      <c r="K64" s="55"/>
      <c r="L64" s="55"/>
      <c r="M64" s="55"/>
      <c r="N64" s="55"/>
      <c r="O64" s="55"/>
      <c r="P64" s="55"/>
      <c r="Q64" s="55"/>
      <c r="R64" s="55"/>
      <c r="S64" s="148"/>
      <c r="T64" s="148"/>
      <c r="U64" s="532" t="str">
        <f>X!$C$191</f>
        <v>P elektrisch</v>
      </c>
      <c r="V64" s="150"/>
      <c r="W64" s="533" t="str">
        <f>X!$C$206</f>
        <v>Regelungsart</v>
      </c>
      <c r="X64" s="148"/>
      <c r="Y64" s="148"/>
      <c r="Z64" s="148"/>
      <c r="AA64" s="148"/>
      <c r="AB64" s="148"/>
      <c r="AC64" s="148"/>
      <c r="AD64" s="148"/>
      <c r="AE64" s="148"/>
      <c r="AF64" s="148"/>
      <c r="AG64" s="148"/>
      <c r="AH64" s="148"/>
      <c r="AI64" s="148"/>
      <c r="AJ64" s="148"/>
      <c r="AK64" s="148"/>
      <c r="AL64" s="148"/>
      <c r="AM64" s="148"/>
      <c r="AN64" s="148"/>
      <c r="AO64" s="148"/>
      <c r="AP64" s="151"/>
      <c r="AQ64" s="148"/>
      <c r="AR64" s="148"/>
      <c r="AS64" s="534" t="str">
        <f>X!$C$191</f>
        <v>P elektrisch</v>
      </c>
      <c r="AT64" s="150"/>
      <c r="AU64" s="533" t="str">
        <f>X!$C$206</f>
        <v>Regelungsart</v>
      </c>
      <c r="AV64" s="150"/>
      <c r="AW64" s="150"/>
      <c r="AX64" s="150"/>
      <c r="AY64" s="55"/>
      <c r="AZ64" s="55"/>
      <c r="BA64" s="55"/>
      <c r="BB64" s="55"/>
      <c r="BC64" s="55"/>
      <c r="BD64" s="55"/>
      <c r="BE64" s="55"/>
      <c r="BF64" s="55"/>
      <c r="BG64" s="55"/>
      <c r="BH64" s="55"/>
      <c r="BI64" s="55"/>
      <c r="BJ64" s="121"/>
    </row>
    <row r="65" spans="2:77" s="28" customFormat="1" ht="6" customHeight="1">
      <c r="B65" s="117"/>
      <c r="C65" s="474"/>
      <c r="D65" s="98"/>
      <c r="E65" s="98"/>
      <c r="F65" s="98"/>
      <c r="G65" s="98"/>
      <c r="H65" s="98"/>
      <c r="I65" s="98"/>
      <c r="J65" s="98"/>
      <c r="K65" s="98"/>
      <c r="L65" s="98"/>
      <c r="M65" s="98"/>
      <c r="N65" s="98"/>
      <c r="O65" s="98"/>
      <c r="P65" s="122"/>
      <c r="Q65" s="98"/>
      <c r="R65" s="98"/>
      <c r="S65" s="98"/>
      <c r="T65" s="98"/>
      <c r="U65" s="98"/>
      <c r="V65" s="98"/>
      <c r="W65" s="98"/>
      <c r="X65" s="98"/>
      <c r="Y65" s="98"/>
      <c r="Z65" s="98"/>
      <c r="AA65" s="98"/>
      <c r="AB65" s="98"/>
      <c r="AC65" s="98"/>
      <c r="AD65" s="98"/>
      <c r="AE65" s="98"/>
      <c r="AF65" s="98"/>
      <c r="AG65" s="98"/>
      <c r="AH65" s="98"/>
      <c r="AI65" s="98"/>
      <c r="AJ65" s="98"/>
      <c r="AK65" s="98"/>
      <c r="AL65" s="148"/>
      <c r="AM65" s="148"/>
      <c r="AN65" s="148"/>
      <c r="AO65" s="148"/>
      <c r="AP65" s="98"/>
      <c r="AQ65" s="98"/>
      <c r="AR65" s="98"/>
      <c r="AS65" s="98"/>
      <c r="AT65" s="98"/>
      <c r="AU65" s="98"/>
      <c r="AV65" s="55"/>
      <c r="AW65" s="55"/>
      <c r="AX65" s="55"/>
      <c r="AY65" s="55"/>
      <c r="AZ65" s="55"/>
      <c r="BA65" s="55"/>
      <c r="BB65" s="55"/>
      <c r="BC65" s="55"/>
      <c r="BD65" s="55"/>
      <c r="BE65" s="55"/>
      <c r="BF65" s="55"/>
      <c r="BG65" s="55"/>
      <c r="BH65" s="55"/>
      <c r="BI65" s="55"/>
      <c r="BJ65" s="121"/>
    </row>
    <row r="66" spans="2:77" s="155" customFormat="1" ht="11.1" customHeight="1">
      <c r="B66" s="154"/>
      <c r="C66" s="491"/>
      <c r="D66" s="537" t="str">
        <f>X!$C$263</f>
        <v>Wärmeträgerpumpen</v>
      </c>
      <c r="E66" s="122"/>
      <c r="F66" s="122"/>
      <c r="G66" s="156"/>
      <c r="H66" s="122"/>
      <c r="I66" s="122"/>
      <c r="J66" s="122"/>
      <c r="K66" s="122"/>
      <c r="L66" s="122"/>
      <c r="M66" s="122"/>
      <c r="N66" s="122"/>
      <c r="O66" s="122"/>
      <c r="P66" s="122" t="s">
        <v>106</v>
      </c>
      <c r="Q66" s="122"/>
      <c r="R66" s="122"/>
      <c r="S66" s="1607"/>
      <c r="T66" s="1607"/>
      <c r="U66" s="1608"/>
      <c r="V66" s="98"/>
      <c r="W66" s="1526"/>
      <c r="X66" s="1526"/>
      <c r="Y66" s="1526"/>
      <c r="Z66" s="1526"/>
      <c r="AA66" s="1526"/>
      <c r="AB66" s="1526"/>
      <c r="AC66" s="1526"/>
      <c r="AD66" s="1526"/>
      <c r="AE66" s="1526"/>
      <c r="AF66" s="1526"/>
      <c r="AG66" s="1526"/>
      <c r="AH66" s="1526"/>
      <c r="AI66" s="1526"/>
      <c r="AJ66" s="1526"/>
      <c r="AK66" s="1527"/>
      <c r="AL66" s="148"/>
      <c r="AM66" s="148"/>
      <c r="AN66" s="148"/>
      <c r="AO66" s="148"/>
      <c r="AP66" s="98"/>
      <c r="AQ66" s="1607"/>
      <c r="AR66" s="1607"/>
      <c r="AS66" s="1608"/>
      <c r="AT66" s="98"/>
      <c r="AU66" s="1526"/>
      <c r="AV66" s="1526"/>
      <c r="AW66" s="1526"/>
      <c r="AX66" s="1526"/>
      <c r="AY66" s="1526"/>
      <c r="AZ66" s="1526"/>
      <c r="BA66" s="1526"/>
      <c r="BB66" s="1526"/>
      <c r="BC66" s="1526"/>
      <c r="BD66" s="1526"/>
      <c r="BE66" s="1526"/>
      <c r="BF66" s="1526"/>
      <c r="BG66" s="1526"/>
      <c r="BH66" s="1526"/>
      <c r="BI66" s="1527"/>
      <c r="BJ66" s="157"/>
      <c r="BP66" s="28"/>
      <c r="BQ66" s="28"/>
      <c r="BR66" s="28"/>
      <c r="BS66" s="28"/>
      <c r="BT66" s="28"/>
      <c r="BU66" s="28"/>
      <c r="BV66" s="28"/>
      <c r="BW66" s="28"/>
      <c r="BX66" s="28"/>
      <c r="BY66" s="28"/>
    </row>
    <row r="67" spans="2:77" s="28" customFormat="1" ht="6" customHeight="1">
      <c r="B67" s="117"/>
      <c r="C67" s="489"/>
      <c r="D67" s="98"/>
      <c r="E67" s="98"/>
      <c r="F67" s="98"/>
      <c r="G67" s="55"/>
      <c r="H67" s="98"/>
      <c r="I67" s="98"/>
      <c r="J67" s="98"/>
      <c r="K67" s="98"/>
      <c r="L67" s="98"/>
      <c r="M67" s="98"/>
      <c r="N67" s="98"/>
      <c r="O67" s="98"/>
      <c r="P67" s="122"/>
      <c r="Q67" s="98"/>
      <c r="R67" s="98"/>
      <c r="S67" s="158"/>
      <c r="T67" s="158"/>
      <c r="U67" s="158"/>
      <c r="V67" s="98"/>
      <c r="W67" s="98"/>
      <c r="X67" s="98"/>
      <c r="Y67" s="98"/>
      <c r="Z67" s="98"/>
      <c r="AA67" s="98"/>
      <c r="AB67" s="98"/>
      <c r="AC67" s="98"/>
      <c r="AD67" s="98"/>
      <c r="AE67" s="98"/>
      <c r="AF67" s="98"/>
      <c r="AG67" s="98"/>
      <c r="AH67" s="98"/>
      <c r="AI67" s="98"/>
      <c r="AJ67" s="98"/>
      <c r="AK67" s="98"/>
      <c r="AL67" s="148"/>
      <c r="AM67" s="148"/>
      <c r="AN67" s="148"/>
      <c r="AO67" s="148"/>
      <c r="AP67" s="98"/>
      <c r="AQ67" s="158"/>
      <c r="AR67" s="158"/>
      <c r="AS67" s="158"/>
      <c r="AT67" s="98"/>
      <c r="AU67" s="98"/>
      <c r="AV67" s="98"/>
      <c r="AW67" s="98"/>
      <c r="AX67" s="98"/>
      <c r="AY67" s="98"/>
      <c r="AZ67" s="98"/>
      <c r="BA67" s="98"/>
      <c r="BB67" s="98"/>
      <c r="BC67" s="98"/>
      <c r="BD67" s="98"/>
      <c r="BE67" s="98"/>
      <c r="BF67" s="98"/>
      <c r="BG67" s="98"/>
      <c r="BH67" s="98"/>
      <c r="BI67" s="98"/>
      <c r="BJ67" s="121"/>
    </row>
    <row r="68" spans="2:77" s="28" customFormat="1" ht="11.1" customHeight="1">
      <c r="B68" s="117"/>
      <c r="C68" s="489"/>
      <c r="D68" s="535" t="str">
        <f>X!$C$127</f>
        <v>Intern-Pumpen für die Besprühung</v>
      </c>
      <c r="E68" s="98"/>
      <c r="F68" s="98"/>
      <c r="G68" s="55"/>
      <c r="H68" s="98"/>
      <c r="I68" s="98"/>
      <c r="J68" s="98"/>
      <c r="K68" s="98"/>
      <c r="L68" s="98"/>
      <c r="M68" s="98"/>
      <c r="N68" s="98"/>
      <c r="O68" s="98"/>
      <c r="P68" s="122" t="s">
        <v>106</v>
      </c>
      <c r="Q68" s="98"/>
      <c r="R68" s="98"/>
      <c r="S68" s="1607"/>
      <c r="T68" s="1607"/>
      <c r="U68" s="1608"/>
      <c r="V68" s="98"/>
      <c r="W68" s="1655"/>
      <c r="X68" s="1526"/>
      <c r="Y68" s="1526"/>
      <c r="Z68" s="1526"/>
      <c r="AA68" s="1526"/>
      <c r="AB68" s="1526"/>
      <c r="AC68" s="1526"/>
      <c r="AD68" s="1526"/>
      <c r="AE68" s="1526"/>
      <c r="AF68" s="1526"/>
      <c r="AG68" s="1526"/>
      <c r="AH68" s="1526"/>
      <c r="AI68" s="1526"/>
      <c r="AJ68" s="1526"/>
      <c r="AK68" s="1527"/>
      <c r="AL68" s="148"/>
      <c r="AM68" s="148"/>
      <c r="AN68" s="148"/>
      <c r="AO68" s="148"/>
      <c r="AP68" s="98"/>
      <c r="AQ68" s="1607"/>
      <c r="AR68" s="1607"/>
      <c r="AS68" s="1608"/>
      <c r="AT68" s="98"/>
      <c r="AU68" s="1526"/>
      <c r="AV68" s="1526"/>
      <c r="AW68" s="1526"/>
      <c r="AX68" s="1526"/>
      <c r="AY68" s="1526"/>
      <c r="AZ68" s="1526"/>
      <c r="BA68" s="1526"/>
      <c r="BB68" s="1526"/>
      <c r="BC68" s="1526"/>
      <c r="BD68" s="1526"/>
      <c r="BE68" s="1526"/>
      <c r="BF68" s="1526"/>
      <c r="BG68" s="1526"/>
      <c r="BH68" s="1526"/>
      <c r="BI68" s="1527"/>
      <c r="BJ68" s="121"/>
    </row>
    <row r="69" spans="2:77" s="28" customFormat="1" ht="6" customHeight="1">
      <c r="B69" s="117"/>
      <c r="C69" s="489"/>
      <c r="D69" s="98"/>
      <c r="E69" s="98"/>
      <c r="F69" s="98"/>
      <c r="G69" s="55"/>
      <c r="H69" s="98"/>
      <c r="I69" s="98"/>
      <c r="J69" s="98"/>
      <c r="K69" s="98"/>
      <c r="L69" s="98"/>
      <c r="M69" s="98"/>
      <c r="N69" s="98"/>
      <c r="O69" s="98"/>
      <c r="P69" s="122"/>
      <c r="Q69" s="98"/>
      <c r="R69" s="98"/>
      <c r="S69" s="158"/>
      <c r="T69" s="158"/>
      <c r="U69" s="158"/>
      <c r="V69" s="98"/>
      <c r="W69" s="98"/>
      <c r="X69" s="98"/>
      <c r="Y69" s="98"/>
      <c r="Z69" s="98"/>
      <c r="AA69" s="98"/>
      <c r="AB69" s="98"/>
      <c r="AC69" s="98"/>
      <c r="AD69" s="98"/>
      <c r="AE69" s="98"/>
      <c r="AF69" s="98"/>
      <c r="AG69" s="98"/>
      <c r="AH69" s="98"/>
      <c r="AI69" s="98"/>
      <c r="AJ69" s="98"/>
      <c r="AK69" s="98"/>
      <c r="AL69" s="148"/>
      <c r="AM69" s="148"/>
      <c r="AN69" s="148"/>
      <c r="AO69" s="148"/>
      <c r="AP69" s="98"/>
      <c r="AQ69" s="158"/>
      <c r="AR69" s="158"/>
      <c r="AS69" s="158"/>
      <c r="AT69" s="98"/>
      <c r="AU69" s="98"/>
      <c r="AV69" s="98"/>
      <c r="AW69" s="98"/>
      <c r="AX69" s="98"/>
      <c r="AY69" s="98"/>
      <c r="AZ69" s="98"/>
      <c r="BA69" s="98"/>
      <c r="BB69" s="98"/>
      <c r="BC69" s="98"/>
      <c r="BD69" s="98"/>
      <c r="BE69" s="98"/>
      <c r="BF69" s="98"/>
      <c r="BG69" s="98"/>
      <c r="BH69" s="98"/>
      <c r="BI69" s="98"/>
      <c r="BJ69" s="121"/>
      <c r="BP69" s="31"/>
      <c r="BQ69" s="31"/>
      <c r="BR69" s="31"/>
      <c r="BS69" s="31"/>
      <c r="BT69" s="31"/>
      <c r="BU69" s="31"/>
      <c r="BV69" s="31"/>
      <c r="BW69" s="31"/>
      <c r="BX69" s="31"/>
      <c r="BY69" s="31"/>
    </row>
    <row r="70" spans="2:77" s="28" customFormat="1" ht="11.1" customHeight="1">
      <c r="B70" s="117"/>
      <c r="C70" s="489"/>
      <c r="D70" s="535" t="str">
        <f>X!$C$243</f>
        <v>Ventilatoren Rückkühler/Verflüssiger</v>
      </c>
      <c r="E70" s="98"/>
      <c r="F70" s="98"/>
      <c r="G70" s="55"/>
      <c r="H70" s="98"/>
      <c r="I70" s="98"/>
      <c r="J70" s="98"/>
      <c r="K70" s="98"/>
      <c r="L70" s="98"/>
      <c r="M70" s="98"/>
      <c r="N70" s="98"/>
      <c r="O70" s="98"/>
      <c r="P70" s="122" t="s">
        <v>106</v>
      </c>
      <c r="Q70" s="98"/>
      <c r="R70" s="98"/>
      <c r="S70" s="1607"/>
      <c r="T70" s="1607"/>
      <c r="U70" s="1608"/>
      <c r="V70" s="98"/>
      <c r="W70" s="1526"/>
      <c r="X70" s="1526"/>
      <c r="Y70" s="1526"/>
      <c r="Z70" s="1526"/>
      <c r="AA70" s="1526"/>
      <c r="AB70" s="1526"/>
      <c r="AC70" s="1526"/>
      <c r="AD70" s="1526"/>
      <c r="AE70" s="1526"/>
      <c r="AF70" s="1526"/>
      <c r="AG70" s="1526"/>
      <c r="AH70" s="1526"/>
      <c r="AI70" s="1526"/>
      <c r="AJ70" s="1526"/>
      <c r="AK70" s="1527"/>
      <c r="AL70" s="148"/>
      <c r="AM70" s="148"/>
      <c r="AN70" s="148"/>
      <c r="AO70" s="148"/>
      <c r="AP70" s="98"/>
      <c r="AQ70" s="1607"/>
      <c r="AR70" s="1607"/>
      <c r="AS70" s="1608"/>
      <c r="AT70" s="98"/>
      <c r="AU70" s="1526"/>
      <c r="AV70" s="1526"/>
      <c r="AW70" s="1526"/>
      <c r="AX70" s="1526"/>
      <c r="AY70" s="1526"/>
      <c r="AZ70" s="1526"/>
      <c r="BA70" s="1526"/>
      <c r="BB70" s="1526"/>
      <c r="BC70" s="1526"/>
      <c r="BD70" s="1526"/>
      <c r="BE70" s="1526"/>
      <c r="BF70" s="1526"/>
      <c r="BG70" s="1526"/>
      <c r="BH70" s="1526"/>
      <c r="BI70" s="1527"/>
      <c r="BJ70" s="121"/>
      <c r="BP70" s="31"/>
      <c r="BQ70" s="31"/>
      <c r="BR70" s="31"/>
      <c r="BS70" s="31"/>
      <c r="BT70" s="31"/>
      <c r="BU70" s="31"/>
      <c r="BV70" s="31"/>
      <c r="BW70" s="31"/>
      <c r="BX70" s="31"/>
      <c r="BY70" s="31"/>
    </row>
    <row r="71" spans="2:77" s="28" customFormat="1" ht="6" customHeight="1">
      <c r="B71" s="117"/>
      <c r="C71" s="474"/>
      <c r="D71" s="98"/>
      <c r="E71" s="98"/>
      <c r="F71" s="98"/>
      <c r="G71" s="55"/>
      <c r="H71" s="98"/>
      <c r="I71" s="98"/>
      <c r="J71" s="98"/>
      <c r="K71" s="98"/>
      <c r="L71" s="98"/>
      <c r="M71" s="98"/>
      <c r="N71" s="98"/>
      <c r="O71" s="98"/>
      <c r="P71" s="122"/>
      <c r="Q71" s="98"/>
      <c r="R71" s="98"/>
      <c r="S71" s="158"/>
      <c r="T71" s="158"/>
      <c r="U71" s="158"/>
      <c r="V71" s="98"/>
      <c r="W71" s="98"/>
      <c r="X71" s="98"/>
      <c r="Y71" s="98"/>
      <c r="Z71" s="98"/>
      <c r="AA71" s="98"/>
      <c r="AB71" s="98"/>
      <c r="AC71" s="98"/>
      <c r="AD71" s="98"/>
      <c r="AE71" s="98"/>
      <c r="AF71" s="98"/>
      <c r="AG71" s="98"/>
      <c r="AH71" s="98"/>
      <c r="AI71" s="98"/>
      <c r="AJ71" s="98"/>
      <c r="AK71" s="98"/>
      <c r="AL71" s="148"/>
      <c r="AM71" s="148"/>
      <c r="AN71" s="148"/>
      <c r="AO71" s="148"/>
      <c r="AP71" s="98"/>
      <c r="AQ71" s="158"/>
      <c r="AR71" s="158"/>
      <c r="AS71" s="158"/>
      <c r="AT71" s="98"/>
      <c r="AU71" s="98"/>
      <c r="AV71" s="98"/>
      <c r="AW71" s="98"/>
      <c r="AX71" s="98"/>
      <c r="AY71" s="98"/>
      <c r="AZ71" s="98"/>
      <c r="BA71" s="98"/>
      <c r="BB71" s="98"/>
      <c r="BC71" s="98"/>
      <c r="BD71" s="98"/>
      <c r="BE71" s="98"/>
      <c r="BF71" s="98"/>
      <c r="BG71" s="98"/>
      <c r="BH71" s="98"/>
      <c r="BI71" s="98"/>
      <c r="BJ71" s="121"/>
    </row>
    <row r="72" spans="2:77" s="28" customFormat="1" ht="11.1" customHeight="1">
      <c r="B72" s="117"/>
      <c r="C72" s="489"/>
      <c r="D72" s="1659"/>
      <c r="E72" s="1659"/>
      <c r="F72" s="1659"/>
      <c r="G72" s="1659"/>
      <c r="H72" s="1659"/>
      <c r="I72" s="1659"/>
      <c r="J72" s="1659"/>
      <c r="K72" s="1659"/>
      <c r="L72" s="1659"/>
      <c r="M72" s="1659"/>
      <c r="N72" s="1660"/>
      <c r="O72" s="98"/>
      <c r="P72" s="159" t="s">
        <v>106</v>
      </c>
      <c r="Q72" s="159"/>
      <c r="R72" s="159"/>
      <c r="S72" s="1607"/>
      <c r="T72" s="1607"/>
      <c r="U72" s="1608"/>
      <c r="V72" s="98"/>
      <c r="W72" s="1526"/>
      <c r="X72" s="1526"/>
      <c r="Y72" s="1526"/>
      <c r="Z72" s="1526"/>
      <c r="AA72" s="1526"/>
      <c r="AB72" s="1526"/>
      <c r="AC72" s="1526"/>
      <c r="AD72" s="1526"/>
      <c r="AE72" s="1526"/>
      <c r="AF72" s="1526"/>
      <c r="AG72" s="1526"/>
      <c r="AH72" s="1526"/>
      <c r="AI72" s="1526"/>
      <c r="AJ72" s="1526"/>
      <c r="AK72" s="1527"/>
      <c r="AL72" s="212"/>
      <c r="AM72" s="607" t="s">
        <v>292</v>
      </c>
      <c r="AN72" s="607" t="s">
        <v>292</v>
      </c>
      <c r="AO72" s="607" t="s">
        <v>292</v>
      </c>
      <c r="AP72" s="98"/>
      <c r="AQ72" s="1607"/>
      <c r="AR72" s="1607"/>
      <c r="AS72" s="1608"/>
      <c r="AT72" s="98"/>
      <c r="AU72" s="1526"/>
      <c r="AV72" s="1526"/>
      <c r="AW72" s="1526"/>
      <c r="AX72" s="1526"/>
      <c r="AY72" s="1526"/>
      <c r="AZ72" s="1526"/>
      <c r="BA72" s="1526"/>
      <c r="BB72" s="1526"/>
      <c r="BC72" s="1526"/>
      <c r="BD72" s="1526"/>
      <c r="BE72" s="1526"/>
      <c r="BF72" s="1526"/>
      <c r="BG72" s="1526"/>
      <c r="BH72" s="1526"/>
      <c r="BI72" s="1527"/>
      <c r="BJ72" s="121"/>
      <c r="BQ72" s="531">
        <f>LEN(BV72)</f>
        <v>101</v>
      </c>
      <c r="BR72" s="531">
        <f>LEN(BW72)</f>
        <v>96</v>
      </c>
      <c r="BS72" s="531">
        <f>LEN(BX72)</f>
        <v>95</v>
      </c>
      <c r="BT72" s="531"/>
      <c r="BU72" s="28" t="s">
        <v>431</v>
      </c>
      <c r="BV72" s="28" t="str">
        <f>X!E419</f>
        <v>Falls es zusätzliche Hilfsbetriebe auf der «warmen Seite» gibt, können diese hier eingetragen werden.</v>
      </c>
      <c r="BW72" s="28" t="str">
        <f>X!F419</f>
        <v>S'il y a des unités auxiliaires supplémentaires du «côté chaud», elles peuvent être saisies ici.</v>
      </c>
      <c r="BX72" s="28" t="str">
        <f>X!G419</f>
        <v>In presenza di aggregati ausiliari supplementari nella «parte calda» è possibile inserirli qui.</v>
      </c>
    </row>
    <row r="73" spans="2:77" s="28" customFormat="1" ht="17.100000000000001" customHeight="1">
      <c r="B73" s="117"/>
      <c r="C73" s="474"/>
      <c r="D73" s="98"/>
      <c r="E73" s="98"/>
      <c r="F73" s="98"/>
      <c r="G73" s="98"/>
      <c r="H73" s="98"/>
      <c r="I73" s="98"/>
      <c r="J73" s="98"/>
      <c r="K73" s="98"/>
      <c r="L73" s="98"/>
      <c r="M73" s="98"/>
      <c r="N73" s="98"/>
      <c r="O73" s="98"/>
      <c r="P73" s="122"/>
      <c r="Q73" s="98"/>
      <c r="R73" s="98"/>
      <c r="S73" s="98"/>
      <c r="T73" s="98"/>
      <c r="U73" s="98"/>
      <c r="V73" s="98"/>
      <c r="W73" s="98"/>
      <c r="X73" s="98"/>
      <c r="Y73" s="98"/>
      <c r="Z73" s="98"/>
      <c r="AA73" s="153"/>
      <c r="AB73" s="153"/>
      <c r="AC73" s="153"/>
      <c r="AD73" s="153"/>
      <c r="AE73" s="153"/>
      <c r="AF73" s="98"/>
      <c r="AG73" s="98"/>
      <c r="AH73" s="98"/>
      <c r="AI73" s="98"/>
      <c r="AJ73" s="98"/>
      <c r="AK73" s="98"/>
      <c r="AL73" s="98"/>
      <c r="AM73" s="98"/>
      <c r="AN73" s="98"/>
      <c r="AO73" s="98"/>
      <c r="AP73" s="98"/>
      <c r="AQ73" s="98"/>
      <c r="AR73" s="98"/>
      <c r="AS73" s="98"/>
      <c r="AT73" s="98"/>
      <c r="AU73" s="98"/>
      <c r="AV73" s="98"/>
      <c r="AW73" s="55"/>
      <c r="AX73" s="55"/>
      <c r="AY73" s="55"/>
      <c r="AZ73" s="55"/>
      <c r="BA73" s="55"/>
      <c r="BB73" s="55"/>
      <c r="BC73" s="55"/>
      <c r="BD73" s="55"/>
      <c r="BE73" s="55"/>
      <c r="BF73" s="55"/>
      <c r="BG73" s="55"/>
      <c r="BH73" s="55"/>
      <c r="BI73" s="55"/>
      <c r="BJ73" s="121"/>
    </row>
    <row r="74" spans="2:77" s="28" customFormat="1" ht="17.100000000000001" customHeight="1">
      <c r="B74" s="117"/>
      <c r="C74" s="495">
        <v>2.5</v>
      </c>
      <c r="D74" s="536" t="str">
        <f>X!$C$121</f>
        <v>Hilfsbetriebe «kalte Seite»</v>
      </c>
      <c r="E74" s="144"/>
      <c r="F74" s="144"/>
      <c r="G74" s="98"/>
      <c r="H74" s="98"/>
      <c r="I74" s="55"/>
      <c r="J74" s="55"/>
      <c r="K74" s="55"/>
      <c r="L74" s="55"/>
      <c r="M74" s="55"/>
      <c r="N74" s="55"/>
      <c r="O74" s="55"/>
      <c r="P74" s="55"/>
      <c r="Q74" s="55"/>
      <c r="R74" s="55"/>
      <c r="T74" s="148"/>
      <c r="U74" s="532" t="str">
        <f>X!$C$191</f>
        <v>P elektrisch</v>
      </c>
      <c r="V74" s="150"/>
      <c r="W74" s="533" t="str">
        <f>X!$C$206</f>
        <v>Regelungsart</v>
      </c>
      <c r="X74" s="148"/>
      <c r="Y74" s="148"/>
      <c r="Z74" s="148"/>
      <c r="AA74" s="148"/>
      <c r="AB74" s="148"/>
      <c r="AC74" s="148"/>
      <c r="AD74" s="148"/>
      <c r="AE74" s="148"/>
      <c r="AF74" s="148"/>
      <c r="AG74" s="148"/>
      <c r="AH74" s="148"/>
      <c r="AI74" s="148"/>
      <c r="AJ74" s="148"/>
      <c r="AK74" s="148"/>
      <c r="AL74" s="148"/>
      <c r="AM74" s="148"/>
      <c r="AN74" s="148"/>
      <c r="AO74" s="148"/>
      <c r="AP74" s="151"/>
      <c r="AQ74" s="148"/>
      <c r="AR74" s="148"/>
      <c r="AS74" s="534" t="str">
        <f>X!$C$191</f>
        <v>P elektrisch</v>
      </c>
      <c r="AT74" s="150"/>
      <c r="AU74" s="533" t="str">
        <f>X!$C$206</f>
        <v>Regelungsart</v>
      </c>
      <c r="AV74" s="148"/>
      <c r="AW74" s="148"/>
      <c r="AX74" s="148"/>
      <c r="AY74" s="98"/>
      <c r="AZ74" s="98"/>
      <c r="BA74" s="98"/>
      <c r="BB74" s="98"/>
      <c r="BC74" s="98"/>
      <c r="BD74" s="98"/>
      <c r="BE74" s="98"/>
      <c r="BF74" s="98"/>
      <c r="BG74" s="98"/>
      <c r="BH74" s="98"/>
      <c r="BI74" s="98"/>
      <c r="BJ74" s="121"/>
    </row>
    <row r="75" spans="2:77" s="28" customFormat="1" ht="6" customHeight="1">
      <c r="B75" s="117"/>
      <c r="C75" s="474"/>
      <c r="D75" s="98"/>
      <c r="E75" s="98"/>
      <c r="F75" s="98"/>
      <c r="G75" s="98"/>
      <c r="H75" s="98"/>
      <c r="I75" s="98"/>
      <c r="J75" s="98"/>
      <c r="K75" s="98"/>
      <c r="L75" s="98"/>
      <c r="M75" s="98"/>
      <c r="N75" s="98"/>
      <c r="O75" s="98"/>
      <c r="P75" s="122"/>
      <c r="Q75" s="98"/>
      <c r="R75" s="98"/>
      <c r="S75" s="98"/>
      <c r="T75" s="98"/>
      <c r="U75" s="98"/>
      <c r="V75" s="98"/>
      <c r="W75" s="98"/>
      <c r="X75" s="98"/>
      <c r="Y75" s="98"/>
      <c r="Z75" s="98"/>
      <c r="AA75" s="98"/>
      <c r="AB75" s="98"/>
      <c r="AC75" s="98"/>
      <c r="AD75" s="98"/>
      <c r="AE75" s="98"/>
      <c r="AF75" s="98"/>
      <c r="AG75" s="98"/>
      <c r="AH75" s="98"/>
      <c r="AI75" s="98"/>
      <c r="AJ75" s="98"/>
      <c r="AK75" s="98"/>
      <c r="AL75" s="148"/>
      <c r="AM75" s="148"/>
      <c r="AN75" s="148"/>
      <c r="AO75" s="148"/>
      <c r="AP75" s="98"/>
      <c r="AQ75" s="98"/>
      <c r="AR75" s="98"/>
      <c r="AS75" s="98"/>
      <c r="AT75" s="98"/>
      <c r="AU75" s="98"/>
      <c r="AV75" s="98"/>
      <c r="AW75" s="98"/>
      <c r="AX75" s="98"/>
      <c r="AY75" s="98"/>
      <c r="AZ75" s="98"/>
      <c r="BA75" s="98"/>
      <c r="BB75" s="98"/>
      <c r="BC75" s="98"/>
      <c r="BD75" s="98"/>
      <c r="BE75" s="98"/>
      <c r="BF75" s="98"/>
      <c r="BG75" s="98"/>
      <c r="BH75" s="98"/>
      <c r="BI75" s="98"/>
      <c r="BJ75" s="121"/>
    </row>
    <row r="76" spans="2:77" s="28" customFormat="1" ht="15" customHeight="1">
      <c r="B76" s="117"/>
      <c r="C76" s="489"/>
      <c r="D76" s="538" t="str">
        <f>X!$C$146</f>
        <v>Kälteträgerpumpen</v>
      </c>
      <c r="E76" s="160"/>
      <c r="F76" s="160"/>
      <c r="G76" s="160"/>
      <c r="H76" s="160"/>
      <c r="I76" s="160"/>
      <c r="J76" s="160"/>
      <c r="K76" s="160"/>
      <c r="L76" s="160"/>
      <c r="M76" s="160"/>
      <c r="N76" s="160"/>
      <c r="O76" s="98"/>
      <c r="P76" s="122" t="s">
        <v>106</v>
      </c>
      <c r="Q76" s="98"/>
      <c r="R76" s="98"/>
      <c r="S76" s="1607"/>
      <c r="T76" s="1607"/>
      <c r="U76" s="1608"/>
      <c r="V76" s="98"/>
      <c r="W76" s="1526"/>
      <c r="X76" s="1526"/>
      <c r="Y76" s="1526"/>
      <c r="Z76" s="1526"/>
      <c r="AA76" s="1526"/>
      <c r="AB76" s="1526"/>
      <c r="AC76" s="1526"/>
      <c r="AD76" s="1526"/>
      <c r="AE76" s="1526"/>
      <c r="AF76" s="1526"/>
      <c r="AG76" s="1526"/>
      <c r="AH76" s="1526"/>
      <c r="AI76" s="1526"/>
      <c r="AJ76" s="1526"/>
      <c r="AK76" s="1527"/>
      <c r="AL76" s="148"/>
      <c r="AM76" s="148"/>
      <c r="AN76" s="148"/>
      <c r="AO76" s="148"/>
      <c r="AP76" s="98"/>
      <c r="AQ76" s="1607"/>
      <c r="AR76" s="1607"/>
      <c r="AS76" s="1608"/>
      <c r="AT76" s="98"/>
      <c r="AU76" s="1526"/>
      <c r="AV76" s="1526"/>
      <c r="AW76" s="1526"/>
      <c r="AX76" s="1526"/>
      <c r="AY76" s="1526"/>
      <c r="AZ76" s="1526"/>
      <c r="BA76" s="1526"/>
      <c r="BB76" s="1526"/>
      <c r="BC76" s="1526"/>
      <c r="BD76" s="1526"/>
      <c r="BE76" s="1526"/>
      <c r="BF76" s="1526"/>
      <c r="BG76" s="1526"/>
      <c r="BH76" s="1526"/>
      <c r="BI76" s="1527"/>
      <c r="BJ76" s="121"/>
      <c r="BP76" s="31"/>
      <c r="BQ76" s="31"/>
      <c r="BR76" s="31"/>
      <c r="BS76" s="31"/>
      <c r="BT76" s="31"/>
      <c r="BU76" s="31"/>
      <c r="BV76" s="31"/>
      <c r="BW76" s="31"/>
      <c r="BX76" s="31"/>
      <c r="BY76" s="31"/>
    </row>
    <row r="77" spans="2:77" s="28" customFormat="1" ht="6" customHeight="1">
      <c r="B77" s="117"/>
      <c r="C77" s="489"/>
      <c r="D77" s="98"/>
      <c r="E77" s="98"/>
      <c r="F77" s="98"/>
      <c r="G77" s="55"/>
      <c r="H77" s="98"/>
      <c r="I77" s="98"/>
      <c r="J77" s="98"/>
      <c r="K77" s="98"/>
      <c r="L77" s="98"/>
      <c r="M77" s="98"/>
      <c r="N77" s="98"/>
      <c r="O77" s="98"/>
      <c r="P77" s="122"/>
      <c r="Q77" s="98"/>
      <c r="R77" s="98"/>
      <c r="S77" s="98"/>
      <c r="T77" s="98"/>
      <c r="U77" s="98"/>
      <c r="V77" s="98"/>
      <c r="W77" s="98"/>
      <c r="X77" s="98"/>
      <c r="Y77" s="98"/>
      <c r="Z77" s="98"/>
      <c r="AA77" s="98"/>
      <c r="AB77" s="98"/>
      <c r="AC77" s="98"/>
      <c r="AD77" s="98"/>
      <c r="AE77" s="98"/>
      <c r="AF77" s="98"/>
      <c r="AG77" s="98"/>
      <c r="AH77" s="98"/>
      <c r="AI77" s="98"/>
      <c r="AJ77" s="98"/>
      <c r="AK77" s="98"/>
      <c r="AL77" s="148"/>
      <c r="AM77" s="148"/>
      <c r="AN77" s="148"/>
      <c r="AO77" s="148"/>
      <c r="AP77" s="98"/>
      <c r="AQ77" s="98"/>
      <c r="AR77" s="98"/>
      <c r="AS77" s="98"/>
      <c r="AT77" s="98"/>
      <c r="AU77" s="98"/>
      <c r="AV77" s="98"/>
      <c r="AW77" s="98"/>
      <c r="AX77" s="98"/>
      <c r="AY77" s="98"/>
      <c r="AZ77" s="98"/>
      <c r="BA77" s="98"/>
      <c r="BB77" s="98"/>
      <c r="BC77" s="98"/>
      <c r="BD77" s="98"/>
      <c r="BE77" s="98"/>
      <c r="BF77" s="98"/>
      <c r="BG77" s="98"/>
      <c r="BH77" s="98"/>
      <c r="BI77" s="98"/>
      <c r="BJ77" s="121"/>
      <c r="BP77" s="31"/>
      <c r="BQ77" s="31"/>
      <c r="BR77" s="31"/>
      <c r="BS77" s="31"/>
      <c r="BT77" s="31"/>
      <c r="BU77" s="31"/>
      <c r="BV77" s="31"/>
      <c r="BW77" s="31"/>
      <c r="BX77" s="31"/>
      <c r="BY77" s="31"/>
    </row>
    <row r="78" spans="2:77" s="28" customFormat="1" ht="15" customHeight="1">
      <c r="B78" s="117"/>
      <c r="C78" s="489"/>
      <c r="D78" s="538" t="str">
        <f>X!$C$241</f>
        <v>Ventilatoren Kühler</v>
      </c>
      <c r="E78" s="160"/>
      <c r="F78" s="160"/>
      <c r="G78" s="160"/>
      <c r="H78" s="160"/>
      <c r="I78" s="160"/>
      <c r="J78" s="160"/>
      <c r="K78" s="160"/>
      <c r="L78" s="160"/>
      <c r="M78" s="160"/>
      <c r="N78" s="160"/>
      <c r="O78" s="98"/>
      <c r="P78" s="122" t="s">
        <v>106</v>
      </c>
      <c r="Q78" s="98"/>
      <c r="R78" s="98"/>
      <c r="S78" s="1607"/>
      <c r="T78" s="1607"/>
      <c r="U78" s="1608"/>
      <c r="V78" s="98"/>
      <c r="W78" s="1526"/>
      <c r="X78" s="1526"/>
      <c r="Y78" s="1526"/>
      <c r="Z78" s="1526"/>
      <c r="AA78" s="1526"/>
      <c r="AB78" s="1526"/>
      <c r="AC78" s="1526"/>
      <c r="AD78" s="1526"/>
      <c r="AE78" s="1526"/>
      <c r="AF78" s="1526"/>
      <c r="AG78" s="1526"/>
      <c r="AH78" s="1526"/>
      <c r="AI78" s="1526"/>
      <c r="AJ78" s="1526"/>
      <c r="AK78" s="1527"/>
      <c r="AL78" s="148"/>
      <c r="AM78" s="148"/>
      <c r="AN78" s="148"/>
      <c r="AO78" s="148"/>
      <c r="AP78" s="98"/>
      <c r="AQ78" s="1607"/>
      <c r="AR78" s="1607"/>
      <c r="AS78" s="1608"/>
      <c r="AT78" s="98"/>
      <c r="AU78" s="1526"/>
      <c r="AV78" s="1526"/>
      <c r="AW78" s="1526"/>
      <c r="AX78" s="1526"/>
      <c r="AY78" s="1526"/>
      <c r="AZ78" s="1526"/>
      <c r="BA78" s="1526"/>
      <c r="BB78" s="1526"/>
      <c r="BC78" s="1526"/>
      <c r="BD78" s="1526"/>
      <c r="BE78" s="1526"/>
      <c r="BF78" s="1526"/>
      <c r="BG78" s="1526"/>
      <c r="BH78" s="1526"/>
      <c r="BI78" s="1527"/>
      <c r="BJ78" s="121"/>
      <c r="BP78" s="31"/>
      <c r="BQ78" s="31"/>
      <c r="BR78" s="31"/>
      <c r="BS78" s="31"/>
      <c r="BT78" s="31"/>
      <c r="BU78" s="31"/>
      <c r="BV78" s="31"/>
      <c r="BW78" s="31"/>
      <c r="BX78" s="31"/>
      <c r="BY78" s="31"/>
    </row>
    <row r="79" spans="2:77" s="28" customFormat="1" ht="6" customHeight="1">
      <c r="B79" s="117"/>
      <c r="C79" s="474"/>
      <c r="D79" s="98"/>
      <c r="E79" s="98"/>
      <c r="F79" s="98"/>
      <c r="G79" s="55"/>
      <c r="H79" s="98"/>
      <c r="I79" s="98"/>
      <c r="J79" s="98"/>
      <c r="K79" s="98"/>
      <c r="L79" s="98"/>
      <c r="M79" s="98"/>
      <c r="N79" s="98"/>
      <c r="O79" s="98"/>
      <c r="P79" s="122"/>
      <c r="Q79" s="98"/>
      <c r="R79" s="98"/>
      <c r="S79" s="98"/>
      <c r="T79" s="98"/>
      <c r="U79" s="98"/>
      <c r="V79" s="98"/>
      <c r="W79" s="98"/>
      <c r="X79" s="98"/>
      <c r="Y79" s="98"/>
      <c r="Z79" s="98"/>
      <c r="AA79" s="98"/>
      <c r="AB79" s="98"/>
      <c r="AC79" s="98"/>
      <c r="AD79" s="98"/>
      <c r="AE79" s="98"/>
      <c r="AF79" s="98"/>
      <c r="AG79" s="98"/>
      <c r="AH79" s="98"/>
      <c r="AI79" s="98"/>
      <c r="AJ79" s="98"/>
      <c r="AK79" s="98"/>
      <c r="AL79" s="148"/>
      <c r="AM79" s="148"/>
      <c r="AN79" s="148"/>
      <c r="AO79" s="148"/>
      <c r="AP79" s="98"/>
      <c r="AQ79" s="98"/>
      <c r="AR79" s="98"/>
      <c r="AS79" s="98"/>
      <c r="AT79" s="98"/>
      <c r="AU79" s="98"/>
      <c r="AV79" s="98"/>
      <c r="AW79" s="98"/>
      <c r="AX79" s="98"/>
      <c r="AY79" s="98"/>
      <c r="AZ79" s="98"/>
      <c r="BA79" s="98"/>
      <c r="BB79" s="98"/>
      <c r="BC79" s="98"/>
      <c r="BD79" s="98"/>
      <c r="BE79" s="98"/>
      <c r="BF79" s="98"/>
      <c r="BG79" s="98"/>
      <c r="BH79" s="98"/>
      <c r="BI79" s="98"/>
      <c r="BJ79" s="121"/>
      <c r="BP79" s="31"/>
      <c r="BQ79" s="31"/>
      <c r="BR79" s="31"/>
      <c r="BS79" s="31"/>
      <c r="BT79" s="31"/>
      <c r="BU79" s="31"/>
      <c r="BV79" s="31"/>
      <c r="BW79" s="31"/>
      <c r="BX79" s="31"/>
      <c r="BY79" s="31"/>
    </row>
    <row r="80" spans="2:77" s="28" customFormat="1" ht="15" customHeight="1">
      <c r="B80" s="117"/>
      <c r="C80" s="489"/>
      <c r="D80" s="1659"/>
      <c r="E80" s="1659"/>
      <c r="F80" s="1659"/>
      <c r="G80" s="1659"/>
      <c r="H80" s="1659"/>
      <c r="I80" s="1659"/>
      <c r="J80" s="1659"/>
      <c r="K80" s="1659"/>
      <c r="L80" s="1659"/>
      <c r="M80" s="1659"/>
      <c r="N80" s="1660"/>
      <c r="O80" s="98"/>
      <c r="P80" s="159" t="s">
        <v>106</v>
      </c>
      <c r="Q80" s="159"/>
      <c r="R80" s="159"/>
      <c r="S80" s="1607"/>
      <c r="T80" s="1607"/>
      <c r="U80" s="1608"/>
      <c r="V80" s="98"/>
      <c r="W80" s="1526"/>
      <c r="X80" s="1526"/>
      <c r="Y80" s="1526"/>
      <c r="Z80" s="1526"/>
      <c r="AA80" s="1526"/>
      <c r="AB80" s="1526"/>
      <c r="AC80" s="1526"/>
      <c r="AD80" s="1526"/>
      <c r="AE80" s="1526"/>
      <c r="AF80" s="1526"/>
      <c r="AG80" s="1526"/>
      <c r="AH80" s="1526"/>
      <c r="AI80" s="1526"/>
      <c r="AJ80" s="1526"/>
      <c r="AK80" s="1527"/>
      <c r="AL80" s="212"/>
      <c r="AM80" s="607" t="s">
        <v>292</v>
      </c>
      <c r="AN80" s="607" t="s">
        <v>292</v>
      </c>
      <c r="AO80" s="607" t="s">
        <v>292</v>
      </c>
      <c r="AP80" s="98"/>
      <c r="AQ80" s="1607"/>
      <c r="AR80" s="1607"/>
      <c r="AS80" s="1608"/>
      <c r="AT80" s="98"/>
      <c r="AU80" s="1526"/>
      <c r="AV80" s="1526"/>
      <c r="AW80" s="1526"/>
      <c r="AX80" s="1526"/>
      <c r="AY80" s="1526"/>
      <c r="AZ80" s="1526"/>
      <c r="BA80" s="1526"/>
      <c r="BB80" s="1526"/>
      <c r="BC80" s="1526"/>
      <c r="BD80" s="1526"/>
      <c r="BE80" s="1526"/>
      <c r="BF80" s="1526"/>
      <c r="BG80" s="1526"/>
      <c r="BH80" s="1526"/>
      <c r="BI80" s="1527"/>
      <c r="BJ80" s="121"/>
      <c r="BQ80" s="531">
        <f>LEN(BV80)</f>
        <v>101</v>
      </c>
      <c r="BR80" s="531">
        <f>LEN(BW80)</f>
        <v>96</v>
      </c>
      <c r="BS80" s="531">
        <f>LEN(BX80)</f>
        <v>96</v>
      </c>
      <c r="BT80" s="531"/>
      <c r="BU80" s="28" t="s">
        <v>432</v>
      </c>
      <c r="BV80" s="28" t="str">
        <f>X!E420</f>
        <v>Falls es zusätzliche Hilfsbetriebe auf der «kalten Seite» gibt, können diese hier eingetragen werden.</v>
      </c>
      <c r="BW80" s="28" t="str">
        <f>X!F420</f>
        <v>S'il y a des unités auxiliaires supplémentaires du «côté froid», elles peuvent être saisies ici.</v>
      </c>
      <c r="BX80" s="28" t="str">
        <f>X!G420</f>
        <v>In presenza di aggregati ausiliari supplementari nella «parte fredda» è possibile inserirli qui.</v>
      </c>
    </row>
    <row r="81" spans="2:124" s="28" customFormat="1" ht="15" customHeight="1">
      <c r="B81" s="117"/>
      <c r="C81" s="489"/>
      <c r="D81" s="663"/>
      <c r="E81" s="663"/>
      <c r="F81" s="663"/>
      <c r="G81" s="663"/>
      <c r="H81" s="663"/>
      <c r="I81" s="663"/>
      <c r="J81" s="663"/>
      <c r="K81" s="663"/>
      <c r="L81" s="663"/>
      <c r="M81" s="663"/>
      <c r="N81" s="663"/>
      <c r="O81" s="98"/>
      <c r="P81" s="159"/>
      <c r="Q81" s="159"/>
      <c r="R81" s="159"/>
      <c r="S81" s="645"/>
      <c r="T81" s="645"/>
      <c r="U81" s="645"/>
      <c r="V81" s="98"/>
      <c r="W81" s="212"/>
      <c r="X81" s="212"/>
      <c r="Y81" s="212"/>
      <c r="Z81" s="212"/>
      <c r="AA81" s="212"/>
      <c r="AB81" s="212"/>
      <c r="AC81" s="212"/>
      <c r="AD81" s="212"/>
      <c r="AE81" s="212"/>
      <c r="AF81" s="212"/>
      <c r="AG81" s="212"/>
      <c r="AH81" s="212"/>
      <c r="AI81" s="212"/>
      <c r="AJ81" s="212"/>
      <c r="AK81" s="212"/>
      <c r="AL81" s="212"/>
      <c r="AM81" s="672"/>
      <c r="AN81" s="672"/>
      <c r="AO81" s="672"/>
      <c r="AP81" s="98"/>
      <c r="AQ81" s="645"/>
      <c r="AR81" s="645"/>
      <c r="AS81" s="645"/>
      <c r="AT81" s="98"/>
      <c r="AU81" s="212"/>
      <c r="AV81" s="212"/>
      <c r="AW81" s="212"/>
      <c r="AX81" s="212"/>
      <c r="AY81" s="212"/>
      <c r="AZ81" s="212"/>
      <c r="BA81" s="212"/>
      <c r="BB81" s="212"/>
      <c r="BC81" s="212"/>
      <c r="BD81" s="212"/>
      <c r="BE81" s="212"/>
      <c r="BF81" s="212"/>
      <c r="BG81" s="212"/>
      <c r="BH81" s="212"/>
      <c r="BI81" s="212"/>
      <c r="BJ81" s="121"/>
      <c r="BQ81" s="642"/>
      <c r="BR81" s="642"/>
      <c r="BS81" s="642"/>
      <c r="BT81" s="642"/>
    </row>
    <row r="82" spans="2:124" s="28" customFormat="1" ht="15" customHeight="1">
      <c r="B82" s="117"/>
      <c r="C82" s="489"/>
      <c r="D82" s="673" t="str">
        <f>X!C298</f>
        <v xml:space="preserve">Hinweis: Für Hilfsbetriebe die mittlere Leistung berechnen. </v>
      </c>
      <c r="E82" s="663"/>
      <c r="F82" s="663"/>
      <c r="G82" s="663"/>
      <c r="H82" s="663"/>
      <c r="I82" s="663"/>
      <c r="J82" s="663"/>
      <c r="K82" s="663"/>
      <c r="L82" s="663"/>
      <c r="M82" s="663"/>
      <c r="N82" s="663"/>
      <c r="O82" s="98"/>
      <c r="P82" s="159"/>
      <c r="Q82" s="159"/>
      <c r="R82" s="159"/>
      <c r="S82" s="645"/>
      <c r="T82" s="645"/>
      <c r="U82" s="645"/>
      <c r="V82" s="98"/>
      <c r="W82" s="212"/>
      <c r="X82" s="212"/>
      <c r="Y82" s="212"/>
      <c r="Z82" s="212"/>
      <c r="AA82" s="212"/>
      <c r="AB82" s="212"/>
      <c r="AC82" s="212"/>
      <c r="AD82" s="212"/>
      <c r="AE82" s="212"/>
      <c r="AF82" s="212"/>
      <c r="AG82" s="212"/>
      <c r="AH82" s="212"/>
      <c r="AI82" s="212"/>
      <c r="AJ82" s="212"/>
      <c r="AK82" s="212"/>
      <c r="AL82" s="212"/>
      <c r="AM82" s="672"/>
      <c r="AN82" s="672"/>
      <c r="AO82" s="672"/>
      <c r="AP82" s="98"/>
      <c r="AQ82" s="645"/>
      <c r="AR82" s="645"/>
      <c r="AS82" s="645"/>
      <c r="AT82" s="98"/>
      <c r="AU82" s="212"/>
      <c r="AV82" s="212"/>
      <c r="AW82" s="212"/>
      <c r="AX82" s="212"/>
      <c r="AY82" s="212"/>
      <c r="AZ82" s="212"/>
      <c r="BA82" s="212"/>
      <c r="BB82" s="212"/>
      <c r="BC82" s="212"/>
      <c r="BD82" s="212"/>
      <c r="BE82" s="212"/>
      <c r="BF82" s="212"/>
      <c r="BG82" s="212"/>
      <c r="BH82" s="212"/>
      <c r="BI82" s="212"/>
      <c r="BJ82" s="121"/>
      <c r="BQ82" s="642"/>
      <c r="BR82" s="642"/>
      <c r="BS82" s="642"/>
      <c r="BT82" s="642"/>
    </row>
    <row r="83" spans="2:124" s="28" customFormat="1" ht="14.1" customHeight="1">
      <c r="B83" s="117"/>
      <c r="C83" s="489"/>
      <c r="D83" s="1667" t="str">
        <f>X!C299</f>
        <v xml:space="preserve">Beispiel Kälteanlage mit 5'000 Betriebsstunden: Für eine Abtauheizung mit einer Leistung von 1 kW, die täglich 2 x 40 Minuten in Betrieb ist (500 h/a resp. während 10% der Betriebsstunden) beträgt die mittlere Leistung 10% von 1 kW = 0.1 kW. </v>
      </c>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667"/>
      <c r="AM83" s="1667"/>
      <c r="AN83" s="1667"/>
      <c r="AO83" s="1667"/>
      <c r="AP83" s="1667"/>
      <c r="AQ83" s="1667"/>
      <c r="AR83" s="1667"/>
      <c r="AS83" s="1667"/>
      <c r="AT83" s="1667"/>
      <c r="AU83" s="1667"/>
      <c r="AV83" s="1667"/>
      <c r="AW83" s="1667"/>
      <c r="AX83" s="1667"/>
      <c r="AY83" s="1667"/>
      <c r="AZ83" s="1667"/>
      <c r="BA83" s="1667"/>
      <c r="BB83" s="1667"/>
      <c r="BC83" s="1667"/>
      <c r="BD83" s="1667"/>
      <c r="BE83" s="1667"/>
      <c r="BF83" s="1667"/>
      <c r="BG83" s="1667"/>
      <c r="BH83" s="1667"/>
      <c r="BI83" s="1667"/>
      <c r="BJ83" s="121"/>
      <c r="BQ83" s="642"/>
      <c r="BR83" s="642"/>
      <c r="BS83" s="642"/>
      <c r="BT83" s="642"/>
    </row>
    <row r="84" spans="2:124" s="28" customFormat="1" ht="14.1" customHeight="1">
      <c r="B84" s="117"/>
      <c r="C84" s="489"/>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667"/>
      <c r="AM84" s="1667"/>
      <c r="AN84" s="1667"/>
      <c r="AO84" s="1667"/>
      <c r="AP84" s="1667"/>
      <c r="AQ84" s="1667"/>
      <c r="AR84" s="1667"/>
      <c r="AS84" s="1667"/>
      <c r="AT84" s="1667"/>
      <c r="AU84" s="1667"/>
      <c r="AV84" s="1667"/>
      <c r="AW84" s="1667"/>
      <c r="AX84" s="1667"/>
      <c r="AY84" s="1667"/>
      <c r="AZ84" s="1667"/>
      <c r="BA84" s="1667"/>
      <c r="BB84" s="1667"/>
      <c r="BC84" s="1667"/>
      <c r="BD84" s="1667"/>
      <c r="BE84" s="1667"/>
      <c r="BF84" s="1667"/>
      <c r="BG84" s="1667"/>
      <c r="BH84" s="1667"/>
      <c r="BI84" s="1667"/>
      <c r="BJ84" s="121"/>
      <c r="BQ84" s="642"/>
      <c r="BR84" s="642"/>
      <c r="BS84" s="642"/>
      <c r="BT84" s="642"/>
    </row>
    <row r="85" spans="2:124" s="28" customFormat="1" ht="9.9499999999999993" customHeight="1">
      <c r="B85" s="117"/>
      <c r="C85" s="1279"/>
      <c r="D85" s="98"/>
      <c r="E85" s="98"/>
      <c r="F85" s="98"/>
      <c r="G85" s="98"/>
      <c r="H85" s="98"/>
      <c r="I85" s="98"/>
      <c r="J85" s="98"/>
      <c r="K85" s="98"/>
      <c r="L85" s="98"/>
      <c r="M85" s="98"/>
      <c r="N85" s="98"/>
      <c r="O85" s="98"/>
      <c r="P85" s="122"/>
      <c r="Q85" s="98"/>
      <c r="R85" s="98"/>
      <c r="S85" s="98"/>
      <c r="T85" s="98"/>
      <c r="U85" s="98"/>
      <c r="V85" s="98"/>
      <c r="W85" s="98"/>
      <c r="X85" s="98"/>
      <c r="Y85" s="98"/>
      <c r="Z85" s="98"/>
      <c r="AA85" s="153"/>
      <c r="AB85" s="153"/>
      <c r="AC85" s="153"/>
      <c r="AD85" s="153"/>
      <c r="AE85" s="153"/>
      <c r="AF85" s="98"/>
      <c r="AG85" s="98"/>
      <c r="AH85" s="98"/>
      <c r="AI85" s="98"/>
      <c r="AJ85" s="98"/>
      <c r="AK85" s="98"/>
      <c r="AL85" s="98"/>
      <c r="AM85" s="98"/>
      <c r="AN85" s="98"/>
      <c r="AO85" s="98"/>
      <c r="AP85" s="98"/>
      <c r="AQ85" s="98"/>
      <c r="AR85" s="98"/>
      <c r="AS85" s="98"/>
      <c r="AT85" s="98"/>
      <c r="AU85" s="98"/>
      <c r="AV85" s="98"/>
      <c r="AW85" s="640"/>
      <c r="AX85" s="640"/>
      <c r="AY85" s="640"/>
      <c r="AZ85" s="640"/>
      <c r="BA85" s="640"/>
      <c r="BB85" s="640"/>
      <c r="BC85" s="640"/>
      <c r="BD85" s="640"/>
      <c r="BE85" s="640"/>
      <c r="BF85" s="640"/>
      <c r="BG85" s="640"/>
      <c r="BH85" s="640"/>
      <c r="BI85" s="640"/>
      <c r="BJ85" s="121"/>
    </row>
    <row r="86" spans="2:124" s="28" customFormat="1" ht="17.100000000000001" customHeight="1">
      <c r="B86" s="117"/>
      <c r="C86" s="495">
        <v>2.6</v>
      </c>
      <c r="D86" s="536" t="str">
        <f>X!C310</f>
        <v>Rückkühler</v>
      </c>
      <c r="E86" s="144"/>
      <c r="F86" s="144"/>
      <c r="G86" s="98"/>
      <c r="H86" s="98"/>
      <c r="I86" s="640"/>
      <c r="J86" s="640"/>
      <c r="K86" s="640"/>
      <c r="L86" s="640"/>
      <c r="M86" s="640"/>
      <c r="N86" s="640"/>
      <c r="O86" s="640"/>
      <c r="P86" s="640"/>
      <c r="Q86" s="640"/>
      <c r="R86" s="640"/>
      <c r="S86" s="640"/>
      <c r="T86" s="640"/>
      <c r="U86" s="640"/>
      <c r="V86" s="640"/>
      <c r="W86" s="640"/>
      <c r="X86" s="640"/>
      <c r="Y86" s="640"/>
      <c r="Z86" s="640"/>
      <c r="AA86" s="640"/>
      <c r="AB86" s="640"/>
      <c r="AC86" s="640"/>
      <c r="AD86" s="640"/>
      <c r="AE86" s="640"/>
      <c r="AF86" s="640"/>
      <c r="AG86" s="640"/>
      <c r="AH86" s="640"/>
      <c r="AI86" s="640"/>
      <c r="AJ86" s="640"/>
      <c r="AK86" s="640"/>
      <c r="AL86" s="640"/>
      <c r="AM86" s="640"/>
      <c r="AN86" s="640"/>
      <c r="AO86" s="640"/>
      <c r="AP86" s="640"/>
      <c r="AQ86" s="640"/>
      <c r="AR86" s="640"/>
      <c r="AS86" s="640"/>
      <c r="AT86" s="640"/>
      <c r="AU86" s="640"/>
      <c r="AV86" s="640"/>
      <c r="AW86" s="640"/>
      <c r="AX86" s="640"/>
      <c r="AY86" s="640"/>
      <c r="AZ86" s="640"/>
      <c r="BA86" s="640"/>
      <c r="BB86" s="640"/>
      <c r="BC86" s="640"/>
      <c r="BD86" s="640"/>
      <c r="BE86" s="640"/>
      <c r="BF86" s="640"/>
      <c r="BG86" s="640"/>
      <c r="BH86" s="640"/>
      <c r="BI86" s="640"/>
      <c r="BJ86" s="121"/>
    </row>
    <row r="87" spans="2:124" s="28" customFormat="1" ht="6" customHeight="1">
      <c r="B87" s="117"/>
      <c r="C87" s="1279"/>
      <c r="D87" s="98"/>
      <c r="E87" s="98"/>
      <c r="F87" s="98"/>
      <c r="G87" s="98"/>
      <c r="H87" s="98"/>
      <c r="I87" s="98"/>
      <c r="J87" s="98"/>
      <c r="K87" s="98"/>
      <c r="L87" s="98"/>
      <c r="M87" s="98"/>
      <c r="N87" s="98"/>
      <c r="O87" s="98"/>
      <c r="P87" s="122"/>
      <c r="Q87" s="98"/>
      <c r="R87" s="98"/>
      <c r="S87" s="98"/>
      <c r="T87" s="98"/>
      <c r="U87" s="98"/>
      <c r="V87" s="98"/>
      <c r="W87" s="98"/>
      <c r="X87" s="98"/>
      <c r="Y87" s="98"/>
      <c r="Z87" s="98"/>
      <c r="AA87" s="98"/>
      <c r="AB87" s="98"/>
      <c r="AC87" s="98"/>
      <c r="AD87" s="98"/>
      <c r="AE87" s="98"/>
      <c r="AF87" s="98"/>
      <c r="AG87" s="98"/>
      <c r="AH87" s="98"/>
      <c r="AI87" s="98"/>
      <c r="AJ87" s="98"/>
      <c r="AK87" s="98"/>
      <c r="AL87" s="148"/>
      <c r="AM87" s="148"/>
      <c r="AN87" s="148"/>
      <c r="AO87" s="148"/>
      <c r="AP87" s="98"/>
      <c r="AQ87" s="98"/>
      <c r="AR87" s="98"/>
      <c r="AS87" s="98"/>
      <c r="AT87" s="98"/>
      <c r="AU87" s="98"/>
      <c r="AV87" s="98"/>
      <c r="AW87" s="98"/>
      <c r="AX87" s="98"/>
      <c r="AY87" s="98"/>
      <c r="AZ87" s="98"/>
      <c r="BA87" s="98"/>
      <c r="BB87" s="98"/>
      <c r="BC87" s="98"/>
      <c r="BD87" s="98"/>
      <c r="BE87" s="98"/>
      <c r="BF87" s="98"/>
      <c r="BG87" s="98"/>
      <c r="BH87" s="98"/>
      <c r="BI87" s="98"/>
      <c r="BJ87" s="121"/>
    </row>
    <row r="88" spans="2:124" s="28" customFormat="1" ht="15" customHeight="1">
      <c r="B88" s="117"/>
      <c r="C88" s="1282"/>
      <c r="E88" s="538" t="str">
        <f>X!C396</f>
        <v>Arbeitsweise des Rückkühlers</v>
      </c>
      <c r="F88" s="160"/>
      <c r="G88" s="160"/>
      <c r="H88" s="160"/>
      <c r="I88" s="160"/>
      <c r="J88" s="160"/>
      <c r="K88" s="160"/>
      <c r="L88" s="160"/>
      <c r="M88" s="160"/>
      <c r="N88" s="160"/>
      <c r="O88" s="98"/>
      <c r="P88" s="122"/>
      <c r="Q88" s="98"/>
      <c r="R88" s="98"/>
      <c r="S88" s="98"/>
      <c r="T88" s="98"/>
      <c r="U88" s="98"/>
      <c r="V88" s="98"/>
      <c r="W88" s="1526"/>
      <c r="X88" s="1526"/>
      <c r="Y88" s="1526"/>
      <c r="Z88" s="1526"/>
      <c r="AA88" s="1526"/>
      <c r="AB88" s="1526"/>
      <c r="AC88" s="1526"/>
      <c r="AD88" s="1526"/>
      <c r="AE88" s="1526"/>
      <c r="AF88" s="1526"/>
      <c r="AG88" s="1526"/>
      <c r="AH88" s="1526"/>
      <c r="AI88" s="1526"/>
      <c r="AJ88" s="1526"/>
      <c r="AK88" s="1527"/>
      <c r="AL88" s="148"/>
      <c r="AM88" s="148"/>
      <c r="AN88" s="148"/>
      <c r="AO88" s="148"/>
      <c r="AP88" s="160"/>
      <c r="AQ88" s="160"/>
      <c r="AR88" s="160"/>
      <c r="AS88" s="160"/>
      <c r="AT88" s="98"/>
      <c r="AU88" s="1526"/>
      <c r="AV88" s="1526"/>
      <c r="AW88" s="1526"/>
      <c r="AX88" s="1526"/>
      <c r="AY88" s="1526"/>
      <c r="AZ88" s="1526"/>
      <c r="BA88" s="1526"/>
      <c r="BB88" s="1526"/>
      <c r="BC88" s="1526"/>
      <c r="BD88" s="1526"/>
      <c r="BE88" s="1526"/>
      <c r="BF88" s="1526"/>
      <c r="BG88" s="1526"/>
      <c r="BH88" s="1526"/>
      <c r="BI88" s="1527"/>
      <c r="BJ88" s="121"/>
      <c r="BP88" s="31"/>
      <c r="BQ88" s="31"/>
      <c r="BR88" s="31"/>
      <c r="BS88" s="31"/>
      <c r="BT88" s="31"/>
      <c r="BU88" s="31"/>
      <c r="BV88" s="31"/>
      <c r="BW88" s="31"/>
      <c r="BX88" s="31"/>
      <c r="BY88" s="31"/>
    </row>
    <row r="89" spans="2:124" s="28" customFormat="1" ht="14.1" customHeight="1">
      <c r="B89" s="117"/>
      <c r="C89" s="1282"/>
      <c r="D89" s="98"/>
      <c r="E89" s="98"/>
      <c r="F89" s="98"/>
      <c r="G89" s="640"/>
      <c r="H89" s="98"/>
      <c r="I89" s="98"/>
      <c r="J89" s="98"/>
      <c r="K89" s="98"/>
      <c r="L89" s="98"/>
      <c r="M89" s="98"/>
      <c r="N89" s="98"/>
      <c r="O89" s="98"/>
      <c r="P89" s="122"/>
      <c r="Q89" s="98"/>
      <c r="R89" s="98"/>
      <c r="S89" s="98"/>
      <c r="T89" s="98"/>
      <c r="U89" s="98"/>
      <c r="V89" s="98"/>
      <c r="W89" s="98"/>
      <c r="X89" s="98"/>
      <c r="Y89" s="98"/>
      <c r="Z89" s="98"/>
      <c r="AA89" s="98"/>
      <c r="AB89" s="98"/>
      <c r="AC89" s="98"/>
      <c r="AD89" s="98"/>
      <c r="AE89" s="98"/>
      <c r="AF89" s="98"/>
      <c r="AG89" s="98"/>
      <c r="AH89" s="98"/>
      <c r="AI89" s="98"/>
      <c r="AJ89" s="98"/>
      <c r="AK89" s="98"/>
      <c r="AL89" s="148"/>
      <c r="AM89" s="148"/>
      <c r="AN89" s="148"/>
      <c r="AO89" s="148"/>
      <c r="AP89" s="98"/>
      <c r="AQ89" s="98"/>
      <c r="AR89" s="98"/>
      <c r="AS89" s="98"/>
      <c r="AT89" s="98"/>
      <c r="AU89" s="98"/>
      <c r="AV89" s="98"/>
      <c r="AW89" s="98"/>
      <c r="AX89" s="98"/>
      <c r="AY89" s="98"/>
      <c r="AZ89" s="98"/>
      <c r="BA89" s="98"/>
      <c r="BB89" s="98"/>
      <c r="BC89" s="98"/>
      <c r="BD89" s="98"/>
      <c r="BE89" s="98"/>
      <c r="BF89" s="98"/>
      <c r="BG89" s="98"/>
      <c r="BH89" s="98"/>
      <c r="BI89" s="98"/>
      <c r="BJ89" s="121"/>
      <c r="BP89" s="31"/>
      <c r="BQ89" s="31"/>
      <c r="BR89" s="31"/>
      <c r="BS89" s="31"/>
      <c r="BT89" s="31"/>
      <c r="BU89" s="31"/>
      <c r="BV89" s="31"/>
      <c r="BW89" s="31"/>
      <c r="BX89" s="31"/>
      <c r="BY89" s="31"/>
    </row>
    <row r="90" spans="2:124" s="28" customFormat="1" ht="17.100000000000001" customHeight="1">
      <c r="B90" s="117"/>
      <c r="C90" s="495">
        <v>2.7</v>
      </c>
      <c r="D90" s="985" t="str">
        <f>X!C306</f>
        <v>Free-Cooling und Wärmenutzung (Zusatzfunktion)</v>
      </c>
      <c r="E90" s="144"/>
      <c r="F90" s="144"/>
      <c r="G90" s="98"/>
      <c r="H90" s="98"/>
      <c r="I90" s="640"/>
      <c r="J90" s="640"/>
      <c r="K90" s="640"/>
      <c r="L90" s="640"/>
      <c r="M90" s="640"/>
      <c r="N90" s="640"/>
      <c r="O90" s="640"/>
      <c r="P90" s="640"/>
      <c r="Q90" s="640"/>
      <c r="R90" s="640"/>
      <c r="T90" s="148"/>
      <c r="U90" s="532"/>
      <c r="V90" s="150"/>
      <c r="X90" s="148"/>
      <c r="Y90" s="148"/>
      <c r="Z90" s="148"/>
      <c r="AA90" s="148"/>
      <c r="AB90" s="148"/>
      <c r="AC90" s="148"/>
      <c r="AD90" s="148"/>
      <c r="AE90" s="148"/>
      <c r="AF90" s="148"/>
      <c r="AG90" s="148"/>
      <c r="AH90" s="148"/>
      <c r="AI90" s="148"/>
      <c r="AJ90" s="148"/>
      <c r="AK90" s="148"/>
      <c r="AL90" s="148"/>
      <c r="AM90" s="148"/>
      <c r="AN90" s="148"/>
      <c r="AO90" s="148"/>
      <c r="AP90" s="151"/>
      <c r="AQ90" s="148"/>
      <c r="AR90" s="148"/>
      <c r="AS90" s="534"/>
      <c r="AT90" s="150"/>
      <c r="AU90" s="533"/>
      <c r="AV90" s="148"/>
      <c r="AW90" s="148"/>
      <c r="AX90" s="148"/>
      <c r="AY90" s="98"/>
      <c r="AZ90" s="98"/>
      <c r="BA90" s="98"/>
      <c r="BB90" s="98"/>
      <c r="BC90" s="98"/>
      <c r="BD90" s="98"/>
      <c r="BE90" s="98"/>
      <c r="BF90" s="98"/>
      <c r="BG90" s="98"/>
      <c r="BH90" s="98"/>
      <c r="BI90" s="98"/>
      <c r="BJ90" s="121"/>
    </row>
    <row r="91" spans="2:124" s="28" customFormat="1" ht="6" customHeight="1">
      <c r="B91" s="117"/>
      <c r="C91" s="697"/>
      <c r="D91" s="98"/>
      <c r="E91" s="98"/>
      <c r="F91" s="98"/>
      <c r="G91" s="98"/>
      <c r="H91" s="98"/>
      <c r="I91" s="98"/>
      <c r="J91" s="98"/>
      <c r="K91" s="98"/>
      <c r="L91" s="98"/>
      <c r="M91" s="98"/>
      <c r="N91" s="98"/>
      <c r="O91" s="98"/>
      <c r="P91" s="122"/>
      <c r="Q91" s="98"/>
      <c r="R91" s="98"/>
      <c r="S91" s="98"/>
      <c r="T91" s="98"/>
      <c r="U91" s="98"/>
      <c r="V91" s="98"/>
      <c r="W91" s="98"/>
      <c r="X91" s="98"/>
      <c r="Y91" s="98"/>
      <c r="Z91" s="98"/>
      <c r="AA91" s="98"/>
      <c r="AB91" s="98"/>
      <c r="AC91" s="98"/>
      <c r="AD91" s="98"/>
      <c r="AE91" s="98"/>
      <c r="AF91" s="98"/>
      <c r="AG91" s="98"/>
      <c r="AH91" s="98"/>
      <c r="AI91" s="98"/>
      <c r="AJ91" s="98"/>
      <c r="AK91" s="98"/>
      <c r="AL91" s="148"/>
      <c r="AM91" s="148"/>
      <c r="AN91" s="148"/>
      <c r="AO91" s="148"/>
      <c r="AP91" s="98"/>
      <c r="AQ91" s="98"/>
      <c r="AR91" s="98"/>
      <c r="AS91" s="98"/>
      <c r="AT91" s="98"/>
      <c r="AU91" s="98"/>
      <c r="AV91" s="98"/>
      <c r="AW91" s="98"/>
      <c r="AX91" s="98"/>
      <c r="AY91" s="98"/>
      <c r="AZ91" s="98"/>
      <c r="BA91" s="98"/>
      <c r="BB91" s="98"/>
      <c r="BC91" s="98"/>
      <c r="BD91" s="98"/>
      <c r="BE91" s="98"/>
      <c r="BF91" s="98"/>
      <c r="BG91" s="98"/>
      <c r="BH91" s="98"/>
      <c r="BI91" s="98"/>
      <c r="BJ91" s="121"/>
    </row>
    <row r="92" spans="2:124" s="28" customFormat="1" ht="15.95" customHeight="1">
      <c r="B92" s="117"/>
      <c r="C92" s="1192"/>
      <c r="D92" s="1666" t="str">
        <f>X!C307</f>
        <v>Im Kälte-Tool können Sie eine Anlage mit Free-Cooling-Funktion oder mit einer Wärmenutzung betrachten.</v>
      </c>
      <c r="E92" s="1666"/>
      <c r="F92" s="1666"/>
      <c r="G92" s="1666"/>
      <c r="H92" s="1666"/>
      <c r="I92" s="1666"/>
      <c r="J92" s="1666"/>
      <c r="K92" s="1666"/>
      <c r="L92" s="1666"/>
      <c r="M92" s="1666"/>
      <c r="N92" s="1666"/>
      <c r="O92" s="1666"/>
      <c r="P92" s="1666"/>
      <c r="Q92" s="1666"/>
      <c r="R92" s="1666"/>
      <c r="S92" s="1666"/>
      <c r="T92" s="1666"/>
      <c r="U92" s="1666"/>
      <c r="V92" s="1666"/>
      <c r="W92" s="1666"/>
      <c r="X92" s="1666"/>
      <c r="Y92" s="1666"/>
      <c r="Z92" s="1666"/>
      <c r="AA92" s="1666"/>
      <c r="AB92" s="1666"/>
      <c r="AC92" s="1666"/>
      <c r="AD92" s="1666"/>
      <c r="AE92" s="1666"/>
      <c r="AF92" s="1666"/>
      <c r="AG92" s="1666"/>
      <c r="AH92" s="1666"/>
      <c r="AI92" s="1666"/>
      <c r="AJ92" s="1666"/>
      <c r="AK92" s="1666"/>
      <c r="AL92" s="1666"/>
      <c r="AM92" s="1666"/>
      <c r="AN92" s="1666"/>
      <c r="AO92" s="1666"/>
      <c r="AP92" s="1666"/>
      <c r="AQ92" s="1666"/>
      <c r="AR92" s="1666"/>
      <c r="AS92" s="1666"/>
      <c r="AT92" s="1666"/>
      <c r="AU92" s="1666"/>
      <c r="AV92" s="1666"/>
      <c r="AW92" s="1666"/>
      <c r="AX92" s="1666"/>
      <c r="AY92" s="1666"/>
      <c r="AZ92" s="1666"/>
      <c r="BA92" s="1666"/>
      <c r="BB92" s="1666"/>
      <c r="BC92" s="1666"/>
      <c r="BD92" s="1666"/>
      <c r="BE92" s="1666"/>
      <c r="BF92" s="1666"/>
      <c r="BG92" s="1666"/>
      <c r="BH92" s="1666"/>
      <c r="BI92" s="1666"/>
      <c r="BJ92" s="121"/>
      <c r="BM92" s="1219"/>
      <c r="BN92" s="1219"/>
      <c r="BO92" s="1219"/>
      <c r="BP92" s="1219"/>
      <c r="BQ92" s="1219"/>
      <c r="BR92" s="1219"/>
      <c r="BS92" s="1219"/>
      <c r="BT92" s="1219"/>
      <c r="BU92" s="1219"/>
      <c r="BV92" s="1219"/>
      <c r="BW92" s="1219"/>
      <c r="BX92" s="1219"/>
      <c r="BY92" s="1219"/>
      <c r="BZ92" s="1219"/>
      <c r="CA92" s="1219"/>
      <c r="CB92" s="1219"/>
      <c r="CC92" s="1219"/>
      <c r="CD92" s="1219"/>
      <c r="CE92" s="1219"/>
      <c r="CF92" s="1219"/>
      <c r="CG92" s="1219"/>
      <c r="CH92" s="1219"/>
      <c r="CI92" s="1219"/>
      <c r="CJ92" s="1219"/>
      <c r="CK92" s="1219"/>
      <c r="CL92" s="1219"/>
      <c r="CM92" s="1219"/>
      <c r="CN92" s="1219"/>
      <c r="CO92" s="1219"/>
      <c r="CP92" s="1219"/>
      <c r="CQ92" s="1219"/>
      <c r="CR92" s="1219"/>
      <c r="CS92" s="1219"/>
      <c r="CT92" s="1219"/>
      <c r="CU92" s="1219"/>
      <c r="CV92" s="1219"/>
      <c r="CW92" s="1219"/>
      <c r="CX92" s="1219"/>
      <c r="CY92" s="1219"/>
      <c r="CZ92" s="1219"/>
      <c r="DA92" s="1219"/>
      <c r="DB92" s="1219"/>
      <c r="DC92" s="1219"/>
      <c r="DD92" s="1219"/>
      <c r="DE92" s="1219"/>
      <c r="DF92" s="1219"/>
      <c r="DG92" s="1219"/>
      <c r="DH92" s="1219"/>
      <c r="DI92" s="1219"/>
      <c r="DJ92" s="1219"/>
      <c r="DK92" s="1219"/>
      <c r="DL92" s="1219"/>
      <c r="DM92" s="1219"/>
      <c r="DN92" s="1219"/>
      <c r="DO92" s="1219"/>
      <c r="DP92" s="1219"/>
      <c r="DQ92" s="1219"/>
      <c r="DR92" s="1219"/>
      <c r="DS92" s="220"/>
      <c r="DT92" s="220"/>
    </row>
    <row r="93" spans="2:124" s="28" customFormat="1" ht="15.95" customHeight="1">
      <c r="B93" s="117"/>
      <c r="C93" s="1192"/>
      <c r="D93" s="1666" t="str">
        <f>X!C389</f>
        <v>Wichtig: Das Tool kann keine Anlagen berechnen, die gleichzeitig über ein Free-Cooling und eine Wärmenutzung verfügen.</v>
      </c>
      <c r="E93" s="1666"/>
      <c r="F93" s="1666"/>
      <c r="G93" s="1666"/>
      <c r="H93" s="1666"/>
      <c r="I93" s="1666"/>
      <c r="J93" s="1666"/>
      <c r="K93" s="1666"/>
      <c r="L93" s="1666"/>
      <c r="M93" s="1666"/>
      <c r="N93" s="1666"/>
      <c r="O93" s="1666"/>
      <c r="P93" s="1666"/>
      <c r="Q93" s="1666"/>
      <c r="R93" s="1666"/>
      <c r="S93" s="1666"/>
      <c r="T93" s="1666"/>
      <c r="U93" s="1666"/>
      <c r="V93" s="1666"/>
      <c r="W93" s="1666"/>
      <c r="X93" s="1666"/>
      <c r="Y93" s="1666"/>
      <c r="Z93" s="1666"/>
      <c r="AA93" s="1666"/>
      <c r="AB93" s="1666"/>
      <c r="AC93" s="1666"/>
      <c r="AD93" s="1666"/>
      <c r="AE93" s="1666"/>
      <c r="AF93" s="1666"/>
      <c r="AG93" s="1666"/>
      <c r="AH93" s="1666"/>
      <c r="AI93" s="1666"/>
      <c r="AJ93" s="1666"/>
      <c r="AK93" s="1666"/>
      <c r="AL93" s="1666"/>
      <c r="AM93" s="1666"/>
      <c r="AN93" s="1666"/>
      <c r="AO93" s="1666"/>
      <c r="AP93" s="1666"/>
      <c r="AQ93" s="1666"/>
      <c r="AR93" s="1666"/>
      <c r="AS93" s="1666"/>
      <c r="AT93" s="1666"/>
      <c r="AU93" s="1666"/>
      <c r="AV93" s="1666"/>
      <c r="AW93" s="1666"/>
      <c r="AX93" s="1666"/>
      <c r="AY93" s="1666"/>
      <c r="AZ93" s="1666"/>
      <c r="BA93" s="1666"/>
      <c r="BB93" s="1666"/>
      <c r="BC93" s="1666"/>
      <c r="BD93" s="1666"/>
      <c r="BE93" s="1666"/>
      <c r="BF93" s="1666"/>
      <c r="BG93" s="1666"/>
      <c r="BH93" s="1666"/>
      <c r="BI93" s="1666"/>
      <c r="BJ93" s="121"/>
      <c r="BM93" s="1219"/>
      <c r="BN93" s="1219"/>
      <c r="BO93" s="1219"/>
      <c r="BP93" s="1219"/>
      <c r="BQ93" s="1219"/>
      <c r="BR93" s="1219"/>
      <c r="BS93" s="1219"/>
      <c r="BT93" s="1219"/>
      <c r="BU93" s="1219"/>
      <c r="BV93" s="1219"/>
      <c r="BW93" s="1219"/>
      <c r="BX93" s="1219"/>
      <c r="BY93" s="1219"/>
      <c r="BZ93" s="1219"/>
      <c r="CA93" s="1219"/>
      <c r="CB93" s="1219"/>
      <c r="CC93" s="1219"/>
      <c r="CD93" s="1219"/>
      <c r="CE93" s="1219"/>
      <c r="CF93" s="1219"/>
      <c r="CG93" s="1219"/>
      <c r="CH93" s="1219"/>
      <c r="CI93" s="1219"/>
      <c r="CJ93" s="1219"/>
      <c r="CK93" s="1219"/>
      <c r="CL93" s="1219"/>
      <c r="CM93" s="1219"/>
      <c r="CN93" s="1219"/>
      <c r="CO93" s="1219"/>
      <c r="CP93" s="1219"/>
      <c r="CQ93" s="1219"/>
      <c r="CR93" s="1219"/>
      <c r="CS93" s="1219"/>
      <c r="CT93" s="1219"/>
      <c r="CU93" s="1219"/>
      <c r="CV93" s="1219"/>
      <c r="CW93" s="1219"/>
      <c r="CX93" s="1219"/>
      <c r="CY93" s="1219"/>
      <c r="CZ93" s="1219"/>
      <c r="DA93" s="1219"/>
      <c r="DB93" s="1219"/>
      <c r="DC93" s="1219"/>
      <c r="DD93" s="1219"/>
      <c r="DE93" s="1219"/>
      <c r="DF93" s="1219"/>
      <c r="DG93" s="1219"/>
      <c r="DH93" s="1219"/>
      <c r="DI93" s="1219"/>
      <c r="DJ93" s="1219"/>
      <c r="DK93" s="1219"/>
      <c r="DL93" s="1219"/>
      <c r="DM93" s="1219"/>
      <c r="DN93" s="1219"/>
      <c r="DO93" s="1219"/>
      <c r="DP93" s="1219"/>
      <c r="DQ93" s="1219"/>
      <c r="DR93" s="1219"/>
      <c r="DS93" s="220"/>
      <c r="DT93" s="220"/>
    </row>
    <row r="94" spans="2:124" s="28" customFormat="1" ht="15.95" customHeight="1">
      <c r="B94" s="117"/>
      <c r="C94" s="1192"/>
      <c r="D94" s="1665" t="str">
        <f>X!C390</f>
        <v xml:space="preserve">Hinweis: In Anlehnung an das Fachbuch «Klimakälte heute» verwenden wir im Kälte-Tool anstelle des abwertenden Begriffes «Abwärme» konsequent den Begriff «Wärme». </v>
      </c>
      <c r="E94" s="1665"/>
      <c r="F94" s="1665"/>
      <c r="G94" s="1665"/>
      <c r="H94" s="1665"/>
      <c r="I94" s="1665"/>
      <c r="J94" s="1665"/>
      <c r="K94" s="1665"/>
      <c r="L94" s="1665"/>
      <c r="M94" s="1665"/>
      <c r="N94" s="1665"/>
      <c r="O94" s="1665"/>
      <c r="P94" s="1665"/>
      <c r="Q94" s="1665"/>
      <c r="R94" s="1665"/>
      <c r="S94" s="1665"/>
      <c r="T94" s="1665"/>
      <c r="U94" s="1665"/>
      <c r="V94" s="1665"/>
      <c r="W94" s="1665"/>
      <c r="X94" s="1665"/>
      <c r="Y94" s="1665"/>
      <c r="Z94" s="1665"/>
      <c r="AA94" s="1665"/>
      <c r="AB94" s="1665"/>
      <c r="AC94" s="1665"/>
      <c r="AD94" s="1665"/>
      <c r="AE94" s="1665"/>
      <c r="AF94" s="1665"/>
      <c r="AG94" s="1665"/>
      <c r="AH94" s="1665"/>
      <c r="AI94" s="1665"/>
      <c r="AJ94" s="1665"/>
      <c r="AK94" s="1665"/>
      <c r="AL94" s="1665"/>
      <c r="AM94" s="1665"/>
      <c r="AN94" s="1665"/>
      <c r="AO94" s="1665"/>
      <c r="AP94" s="1665"/>
      <c r="AQ94" s="1665"/>
      <c r="AR94" s="1665"/>
      <c r="AS94" s="1665"/>
      <c r="AT94" s="1665"/>
      <c r="AU94" s="1665"/>
      <c r="AV94" s="1665"/>
      <c r="AW94" s="1665"/>
      <c r="AX94" s="1665"/>
      <c r="AY94" s="1665"/>
      <c r="AZ94" s="1665"/>
      <c r="BA94" s="1665"/>
      <c r="BB94" s="1665"/>
      <c r="BC94" s="1665"/>
      <c r="BD94" s="1665"/>
      <c r="BE94" s="1665"/>
      <c r="BF94" s="1665"/>
      <c r="BG94" s="1665"/>
      <c r="BH94" s="1665"/>
      <c r="BI94" s="1665"/>
      <c r="BJ94" s="121"/>
      <c r="BM94" s="1219"/>
      <c r="BN94" s="1219"/>
      <c r="BO94" s="1219"/>
      <c r="BP94" s="1219"/>
      <c r="BQ94" s="1219"/>
      <c r="BR94" s="1219"/>
      <c r="BS94" s="1219"/>
      <c r="BT94" s="1219"/>
      <c r="BU94" s="1219"/>
      <c r="BV94" s="1219"/>
      <c r="BW94" s="1219"/>
      <c r="BX94" s="1219"/>
      <c r="BY94" s="1219"/>
      <c r="BZ94" s="1219"/>
      <c r="CA94" s="1219"/>
      <c r="CB94" s="1219"/>
      <c r="CC94" s="1219"/>
      <c r="CD94" s="1219"/>
      <c r="CE94" s="1219"/>
      <c r="CF94" s="1219"/>
      <c r="CG94" s="1219"/>
      <c r="CH94" s="1219"/>
      <c r="CI94" s="1219"/>
      <c r="CJ94" s="1219"/>
      <c r="CK94" s="1219"/>
      <c r="CL94" s="1219"/>
      <c r="CM94" s="1219"/>
      <c r="CN94" s="1219"/>
      <c r="CO94" s="1219"/>
      <c r="CP94" s="1219"/>
      <c r="CQ94" s="1219"/>
      <c r="CR94" s="1219"/>
      <c r="CS94" s="1219"/>
      <c r="CT94" s="1219"/>
      <c r="CU94" s="1219"/>
      <c r="CV94" s="1219"/>
      <c r="CW94" s="1219"/>
      <c r="CX94" s="1219"/>
      <c r="CY94" s="1219"/>
      <c r="CZ94" s="1219"/>
      <c r="DA94" s="1219"/>
      <c r="DB94" s="1219"/>
      <c r="DC94" s="1219"/>
      <c r="DD94" s="1219"/>
      <c r="DE94" s="1219"/>
      <c r="DF94" s="1219"/>
      <c r="DG94" s="1219"/>
      <c r="DH94" s="1219"/>
      <c r="DI94" s="1219"/>
      <c r="DJ94" s="1219"/>
      <c r="DK94" s="1219"/>
      <c r="DL94" s="1219"/>
      <c r="DM94" s="1219"/>
      <c r="DN94" s="1219"/>
      <c r="DO94" s="1219"/>
      <c r="DP94" s="1219"/>
      <c r="DQ94" s="1219"/>
      <c r="DR94" s="1219"/>
      <c r="DS94" s="220"/>
      <c r="DT94" s="220"/>
    </row>
    <row r="95" spans="2:124" s="209" customFormat="1" ht="14.1" customHeight="1">
      <c r="B95" s="205"/>
      <c r="C95" s="522"/>
      <c r="BJ95" s="208"/>
      <c r="BM95" s="1220"/>
      <c r="BN95" s="1220"/>
      <c r="BO95" s="1220"/>
      <c r="BP95" s="1220"/>
      <c r="BQ95" s="1220"/>
      <c r="BR95" s="1220"/>
      <c r="BS95" s="1220"/>
      <c r="BT95" s="1220"/>
      <c r="BU95" s="1220"/>
      <c r="BV95" s="1220"/>
      <c r="BW95" s="1220"/>
      <c r="BX95" s="1220"/>
      <c r="BY95" s="1220"/>
      <c r="BZ95" s="1220"/>
      <c r="CA95" s="1220"/>
      <c r="CB95" s="1220"/>
      <c r="CC95" s="1220"/>
      <c r="CD95" s="1220"/>
      <c r="CE95" s="1220"/>
      <c r="CF95" s="1220"/>
      <c r="CG95" s="1220"/>
      <c r="CH95" s="1220"/>
      <c r="CI95" s="1220"/>
      <c r="CJ95" s="1220"/>
      <c r="CK95" s="1220"/>
      <c r="CL95" s="1220"/>
      <c r="CM95" s="1220"/>
      <c r="CN95" s="1220"/>
      <c r="CO95" s="1220"/>
      <c r="CP95" s="1220"/>
      <c r="CQ95" s="1220"/>
      <c r="CR95" s="1220"/>
      <c r="CS95" s="1220"/>
      <c r="CT95" s="1220"/>
      <c r="CU95" s="1220"/>
      <c r="CV95" s="1220"/>
      <c r="CW95" s="1220"/>
      <c r="CX95" s="1220"/>
      <c r="CY95" s="1220"/>
      <c r="CZ95" s="1220"/>
      <c r="DA95" s="1220"/>
      <c r="DB95" s="1220"/>
      <c r="DC95" s="1220"/>
      <c r="DD95" s="1220"/>
      <c r="DE95" s="1220"/>
      <c r="DF95" s="1220"/>
      <c r="DG95" s="1220"/>
      <c r="DH95" s="1220"/>
      <c r="DI95" s="1220"/>
      <c r="DJ95" s="1220"/>
      <c r="DK95" s="1220"/>
      <c r="DL95" s="1220"/>
      <c r="DM95" s="1220"/>
      <c r="DN95" s="1220"/>
      <c r="DO95" s="1220"/>
      <c r="DP95" s="1220"/>
      <c r="DQ95" s="1220"/>
      <c r="DR95" s="1220"/>
      <c r="DS95" s="1221"/>
      <c r="DT95" s="1221"/>
    </row>
    <row r="96" spans="2:124" s="28" customFormat="1" ht="6" customHeight="1">
      <c r="B96" s="117"/>
      <c r="C96" s="690"/>
      <c r="D96" s="98"/>
      <c r="E96" s="98"/>
      <c r="F96" s="98"/>
      <c r="G96" s="98"/>
      <c r="H96" s="98"/>
      <c r="I96" s="98"/>
      <c r="J96" s="98"/>
      <c r="K96" s="98"/>
      <c r="L96" s="98"/>
      <c r="M96" s="98"/>
      <c r="N96" s="98"/>
      <c r="O96" s="98"/>
      <c r="P96" s="122"/>
      <c r="Q96" s="98"/>
      <c r="R96" s="98"/>
      <c r="S96" s="98"/>
      <c r="T96" s="98"/>
      <c r="U96" s="98"/>
      <c r="V96" s="98"/>
      <c r="W96" s="98"/>
      <c r="X96" s="98"/>
      <c r="Y96" s="98"/>
      <c r="Z96" s="98"/>
      <c r="AA96" s="98"/>
      <c r="AB96" s="98"/>
      <c r="AC96" s="98"/>
      <c r="AD96" s="98"/>
      <c r="AE96" s="98"/>
      <c r="AF96" s="98"/>
      <c r="AG96" s="98"/>
      <c r="AH96" s="98"/>
      <c r="AI96" s="98"/>
      <c r="AJ96" s="98"/>
      <c r="AK96" s="98"/>
      <c r="AL96" s="148"/>
      <c r="AM96" s="148"/>
      <c r="AN96" s="148"/>
      <c r="AO96" s="148"/>
      <c r="AP96" s="98"/>
      <c r="BJ96" s="121"/>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row>
    <row r="97" spans="2:77" s="28" customFormat="1" ht="15" customHeight="1">
      <c r="B97" s="117"/>
      <c r="C97" s="489"/>
      <c r="D97" s="985" t="str">
        <f>X!C308</f>
        <v>Welche Zusatzfunktion wolle Sie berechnen?</v>
      </c>
      <c r="E97" s="1032"/>
      <c r="F97" s="160"/>
      <c r="G97" s="160"/>
      <c r="H97" s="160"/>
      <c r="I97" s="160"/>
      <c r="J97" s="160"/>
      <c r="K97" s="160"/>
      <c r="L97" s="160"/>
      <c r="M97" s="160"/>
      <c r="N97" s="160"/>
      <c r="O97" s="98"/>
      <c r="P97" s="122"/>
      <c r="Q97" s="98"/>
      <c r="R97" s="98"/>
      <c r="V97" s="98"/>
      <c r="W97" s="1661"/>
      <c r="X97" s="1661"/>
      <c r="Y97" s="1661"/>
      <c r="Z97" s="1661"/>
      <c r="AA97" s="1661"/>
      <c r="AB97" s="1661"/>
      <c r="AC97" s="1661"/>
      <c r="AD97" s="1661"/>
      <c r="AE97" s="1661"/>
      <c r="AF97" s="1661"/>
      <c r="AG97" s="1661"/>
      <c r="AH97" s="1661"/>
      <c r="AI97" s="1661"/>
      <c r="AJ97" s="1661"/>
      <c r="AK97" s="1662"/>
      <c r="AL97" s="148"/>
      <c r="AM97" s="148"/>
      <c r="AN97" s="148"/>
      <c r="AO97" s="148"/>
      <c r="AP97" s="98"/>
      <c r="AU97" s="1661"/>
      <c r="AV97" s="1661"/>
      <c r="AW97" s="1661"/>
      <c r="AX97" s="1661"/>
      <c r="AY97" s="1661"/>
      <c r="AZ97" s="1661"/>
      <c r="BA97" s="1661"/>
      <c r="BB97" s="1661"/>
      <c r="BC97" s="1661"/>
      <c r="BD97" s="1661"/>
      <c r="BE97" s="1661"/>
      <c r="BF97" s="1661"/>
      <c r="BG97" s="1661"/>
      <c r="BH97" s="1661"/>
      <c r="BI97" s="1662"/>
      <c r="BJ97" s="121"/>
      <c r="BP97" s="31"/>
      <c r="BQ97" s="762"/>
      <c r="BR97" s="31"/>
      <c r="BS97" s="31"/>
      <c r="BT97" s="31"/>
      <c r="BU97" s="31"/>
      <c r="BV97" s="31"/>
      <c r="BW97" s="31"/>
      <c r="BX97" s="31"/>
      <c r="BY97" s="31"/>
    </row>
    <row r="98" spans="2:77" s="28" customFormat="1" ht="6.95" customHeight="1">
      <c r="B98" s="117"/>
      <c r="C98" s="489"/>
      <c r="D98" s="1033"/>
      <c r="E98" s="1032"/>
      <c r="F98" s="160"/>
      <c r="G98" s="160"/>
      <c r="H98" s="160"/>
      <c r="I98" s="160"/>
      <c r="J98" s="160"/>
      <c r="K98" s="160"/>
      <c r="L98" s="160"/>
      <c r="M98" s="160"/>
      <c r="N98" s="160"/>
      <c r="O98" s="98"/>
      <c r="P98" s="122"/>
      <c r="Q98" s="98"/>
      <c r="R98" s="98"/>
      <c r="V98" s="98"/>
      <c r="W98" s="795"/>
      <c r="X98" s="795"/>
      <c r="Y98" s="795"/>
      <c r="Z98" s="795"/>
      <c r="AA98" s="795"/>
      <c r="AB98" s="795"/>
      <c r="AC98" s="795"/>
      <c r="AD98" s="795"/>
      <c r="AE98" s="795"/>
      <c r="AF98" s="795"/>
      <c r="AG98" s="795"/>
      <c r="AH98" s="795"/>
      <c r="AI98" s="795"/>
      <c r="AJ98" s="795"/>
      <c r="AK98" s="795"/>
      <c r="AL98" s="148"/>
      <c r="AM98" s="148"/>
      <c r="AN98" s="148"/>
      <c r="AO98" s="148"/>
      <c r="AP98" s="98"/>
      <c r="AU98" s="795"/>
      <c r="AV98" s="795"/>
      <c r="AW98" s="795"/>
      <c r="AX98" s="795"/>
      <c r="AY98" s="795"/>
      <c r="AZ98" s="795"/>
      <c r="BA98" s="795"/>
      <c r="BB98" s="795"/>
      <c r="BC98" s="795"/>
      <c r="BD98" s="795"/>
      <c r="BE98" s="795"/>
      <c r="BF98" s="795"/>
      <c r="BG98" s="795"/>
      <c r="BH98" s="795"/>
      <c r="BI98" s="795"/>
      <c r="BJ98" s="121"/>
      <c r="BP98" s="31"/>
      <c r="BQ98" s="762"/>
      <c r="BR98" s="31"/>
      <c r="BS98" s="31"/>
      <c r="BT98" s="31"/>
      <c r="BU98" s="31"/>
      <c r="BV98" s="31"/>
      <c r="BW98" s="31"/>
      <c r="BX98" s="31"/>
      <c r="BY98" s="31"/>
    </row>
    <row r="99" spans="2:77" s="28" customFormat="1" ht="15" hidden="1" customHeight="1" outlineLevel="1">
      <c r="B99" s="117"/>
      <c r="C99" s="489"/>
      <c r="D99" s="1033"/>
      <c r="E99" s="1032" t="str">
        <f>AV445</f>
        <v>keine Zusatzfunktion</v>
      </c>
      <c r="F99" s="160"/>
      <c r="G99" s="160"/>
      <c r="H99" s="160"/>
      <c r="I99" s="160"/>
      <c r="J99" s="160"/>
      <c r="K99" s="160"/>
      <c r="L99" s="160"/>
      <c r="M99" s="160"/>
      <c r="N99" s="160"/>
      <c r="O99" s="98"/>
      <c r="P99" s="122"/>
      <c r="Q99" s="98"/>
      <c r="R99" s="98"/>
      <c r="S99" s="1547">
        <f>W99+AU99</f>
        <v>2</v>
      </c>
      <c r="T99" s="1548"/>
      <c r="U99" s="1548"/>
      <c r="V99" s="98"/>
      <c r="W99" s="1546">
        <f>IF(W100+W101&lt;1,1,0)</f>
        <v>1</v>
      </c>
      <c r="X99" s="1546"/>
      <c r="Y99" s="1546"/>
      <c r="Z99" s="1546"/>
      <c r="AA99" s="1546"/>
      <c r="AB99" s="1546"/>
      <c r="AC99" s="1546"/>
      <c r="AD99" s="1546"/>
      <c r="AE99" s="1546"/>
      <c r="AF99" s="1546"/>
      <c r="AG99" s="1546"/>
      <c r="AH99" s="1546"/>
      <c r="AI99" s="1546"/>
      <c r="AJ99" s="1546"/>
      <c r="AK99" s="1546"/>
      <c r="AL99" s="148"/>
      <c r="AM99" s="148"/>
      <c r="AN99" s="148"/>
      <c r="AO99" s="148"/>
      <c r="AP99" s="98"/>
      <c r="AU99" s="1546">
        <f>IF(AU100+AU101&lt;1,1,0)</f>
        <v>1</v>
      </c>
      <c r="AV99" s="1546"/>
      <c r="AW99" s="1546"/>
      <c r="AX99" s="1546"/>
      <c r="AY99" s="1546"/>
      <c r="AZ99" s="1546"/>
      <c r="BA99" s="1546"/>
      <c r="BB99" s="1546"/>
      <c r="BC99" s="1546"/>
      <c r="BD99" s="1546"/>
      <c r="BE99" s="1546"/>
      <c r="BF99" s="1546"/>
      <c r="BG99" s="1546"/>
      <c r="BH99" s="1546"/>
      <c r="BI99" s="1546"/>
      <c r="BJ99" s="121"/>
      <c r="BP99" s="31"/>
      <c r="BQ99" s="762" t="s">
        <v>883</v>
      </c>
      <c r="BR99" s="31"/>
      <c r="BS99" s="31"/>
      <c r="BT99" s="31"/>
      <c r="BU99" s="31"/>
      <c r="BV99" s="31"/>
      <c r="BW99" s="31"/>
      <c r="BX99" s="31"/>
      <c r="BY99" s="31"/>
    </row>
    <row r="100" spans="2:77" s="28" customFormat="1" ht="15" hidden="1" customHeight="1" outlineLevel="1">
      <c r="B100" s="117"/>
      <c r="C100" s="489"/>
      <c r="D100" s="1033"/>
      <c r="E100" s="1032" t="str">
        <f>AV446</f>
        <v>Anlage mit Free-Cooling</v>
      </c>
      <c r="F100" s="160"/>
      <c r="G100" s="160"/>
      <c r="H100" s="160"/>
      <c r="I100" s="160"/>
      <c r="J100" s="160"/>
      <c r="K100" s="160"/>
      <c r="L100" s="160"/>
      <c r="M100" s="160"/>
      <c r="N100" s="160"/>
      <c r="O100" s="98"/>
      <c r="P100" s="122"/>
      <c r="Q100" s="98"/>
      <c r="R100" s="98"/>
      <c r="S100" s="1548">
        <f>IF(W100+AU100&gt;0,1,0)</f>
        <v>0</v>
      </c>
      <c r="T100" s="1548"/>
      <c r="U100" s="1548"/>
      <c r="V100" s="98"/>
      <c r="W100" s="1546">
        <f>IF(W97=E100,1,0)</f>
        <v>0</v>
      </c>
      <c r="X100" s="1546"/>
      <c r="Y100" s="1546"/>
      <c r="Z100" s="1546"/>
      <c r="AA100" s="1546"/>
      <c r="AB100" s="1546"/>
      <c r="AC100" s="1546"/>
      <c r="AD100" s="1546"/>
      <c r="AE100" s="1546"/>
      <c r="AF100" s="1546"/>
      <c r="AG100" s="1546"/>
      <c r="AH100" s="1546"/>
      <c r="AI100" s="1546"/>
      <c r="AJ100" s="1546"/>
      <c r="AK100" s="1546"/>
      <c r="AL100" s="148"/>
      <c r="AM100" s="148"/>
      <c r="AN100" s="148"/>
      <c r="AO100" s="148"/>
      <c r="AP100" s="98"/>
      <c r="AU100" s="1546">
        <f>IF(AU97=E100,1,0)</f>
        <v>0</v>
      </c>
      <c r="AV100" s="1546"/>
      <c r="AW100" s="1546"/>
      <c r="AX100" s="1546"/>
      <c r="AY100" s="1546"/>
      <c r="AZ100" s="1546"/>
      <c r="BA100" s="1546"/>
      <c r="BB100" s="1546"/>
      <c r="BC100" s="1546"/>
      <c r="BD100" s="1546"/>
      <c r="BE100" s="1546"/>
      <c r="BF100" s="1546"/>
      <c r="BG100" s="1546"/>
      <c r="BH100" s="1546"/>
      <c r="BI100" s="1546"/>
      <c r="BJ100" s="121"/>
      <c r="BP100" s="31"/>
      <c r="BQ100" s="762"/>
      <c r="BR100" s="31"/>
      <c r="BS100" s="31"/>
      <c r="BT100" s="31"/>
      <c r="BU100" s="31"/>
      <c r="BV100" s="31"/>
      <c r="BW100" s="31"/>
      <c r="BX100" s="31"/>
      <c r="BY100" s="31"/>
    </row>
    <row r="101" spans="2:77" s="28" customFormat="1" ht="15" hidden="1" customHeight="1" outlineLevel="1">
      <c r="B101" s="117"/>
      <c r="C101" s="489"/>
      <c r="D101" s="1033"/>
      <c r="E101" s="1032" t="str">
        <f>AV447</f>
        <v>Anlage mit einer Wärmenutzung</v>
      </c>
      <c r="F101" s="160"/>
      <c r="G101" s="160"/>
      <c r="H101" s="160"/>
      <c r="I101" s="160"/>
      <c r="J101" s="160"/>
      <c r="K101" s="160"/>
      <c r="L101" s="160"/>
      <c r="M101" s="160"/>
      <c r="N101" s="160"/>
      <c r="O101" s="98"/>
      <c r="P101" s="122"/>
      <c r="Q101" s="98"/>
      <c r="R101" s="98"/>
      <c r="S101" s="1548">
        <f>IF(W101+AU101&gt;0,1,0)</f>
        <v>0</v>
      </c>
      <c r="T101" s="1548"/>
      <c r="U101" s="1548"/>
      <c r="V101" s="98"/>
      <c r="W101" s="1546">
        <f>IF(W97=E101,1,0)</f>
        <v>0</v>
      </c>
      <c r="X101" s="1546"/>
      <c r="Y101" s="1546"/>
      <c r="Z101" s="1546"/>
      <c r="AA101" s="1546"/>
      <c r="AB101" s="1546"/>
      <c r="AC101" s="1546"/>
      <c r="AD101" s="1546"/>
      <c r="AE101" s="1546"/>
      <c r="AF101" s="1546"/>
      <c r="AG101" s="1546"/>
      <c r="AH101" s="1546"/>
      <c r="AI101" s="1546"/>
      <c r="AJ101" s="1546"/>
      <c r="AK101" s="1546"/>
      <c r="AL101" s="148"/>
      <c r="AM101" s="148"/>
      <c r="AN101" s="148"/>
      <c r="AO101" s="148"/>
      <c r="AP101" s="98"/>
      <c r="AU101" s="1546">
        <f>IF(AU97=E101,1,0)</f>
        <v>0</v>
      </c>
      <c r="AV101" s="1546"/>
      <c r="AW101" s="1546"/>
      <c r="AX101" s="1546"/>
      <c r="AY101" s="1546"/>
      <c r="AZ101" s="1546"/>
      <c r="BA101" s="1546"/>
      <c r="BB101" s="1546"/>
      <c r="BC101" s="1546"/>
      <c r="BD101" s="1546"/>
      <c r="BE101" s="1546"/>
      <c r="BF101" s="1546"/>
      <c r="BG101" s="1546"/>
      <c r="BH101" s="1546"/>
      <c r="BI101" s="1546"/>
      <c r="BJ101" s="121"/>
      <c r="BP101" s="31"/>
      <c r="BQ101" s="762"/>
      <c r="BR101" s="31"/>
      <c r="BS101" s="31"/>
      <c r="BT101" s="31"/>
      <c r="BU101" s="31"/>
      <c r="BV101" s="31"/>
      <c r="BW101" s="31"/>
      <c r="BX101" s="31"/>
      <c r="BY101" s="31"/>
    </row>
    <row r="102" spans="2:77" s="28" customFormat="1" ht="15" hidden="1" customHeight="1" outlineLevel="1">
      <c r="B102" s="117"/>
      <c r="C102" s="796"/>
      <c r="D102" s="1033"/>
      <c r="E102" s="1032"/>
      <c r="F102" s="160"/>
      <c r="G102" s="160"/>
      <c r="H102" s="160"/>
      <c r="I102" s="160"/>
      <c r="J102" s="160"/>
      <c r="K102" s="160"/>
      <c r="L102" s="160"/>
      <c r="M102" s="160"/>
      <c r="N102" s="160"/>
      <c r="O102" s="98"/>
      <c r="P102" s="122"/>
      <c r="Q102" s="98"/>
      <c r="R102" s="98"/>
      <c r="V102" s="98"/>
      <c r="W102" s="825"/>
      <c r="X102" s="825"/>
      <c r="Y102" s="825"/>
      <c r="Z102" s="825"/>
      <c r="AA102" s="825"/>
      <c r="AB102" s="825"/>
      <c r="AC102" s="825"/>
      <c r="AD102" s="825"/>
      <c r="AE102" s="825"/>
      <c r="AF102" s="825"/>
      <c r="AG102" s="825"/>
      <c r="AH102" s="825"/>
      <c r="AI102" s="825"/>
      <c r="AJ102" s="825"/>
      <c r="AK102" s="825"/>
      <c r="AL102" s="148"/>
      <c r="AM102" s="148"/>
      <c r="AN102" s="148"/>
      <c r="AO102" s="148"/>
      <c r="AP102" s="98"/>
      <c r="AU102" s="825"/>
      <c r="AV102" s="825"/>
      <c r="AW102" s="825"/>
      <c r="AX102" s="825"/>
      <c r="AY102" s="825"/>
      <c r="AZ102" s="825"/>
      <c r="BA102" s="825"/>
      <c r="BB102" s="825"/>
      <c r="BC102" s="825"/>
      <c r="BD102" s="825"/>
      <c r="BE102" s="825"/>
      <c r="BF102" s="825"/>
      <c r="BG102" s="825"/>
      <c r="BH102" s="825"/>
      <c r="BI102" s="825"/>
      <c r="BJ102" s="121"/>
      <c r="BP102" s="31"/>
      <c r="BQ102" s="762"/>
      <c r="BR102" s="31"/>
      <c r="BS102" s="31"/>
      <c r="BT102" s="31"/>
      <c r="BU102" s="31"/>
      <c r="BV102" s="31"/>
      <c r="BW102" s="31"/>
      <c r="BX102" s="31"/>
      <c r="BY102" s="31"/>
    </row>
    <row r="103" spans="2:77" s="28" customFormat="1" ht="12.95" hidden="1" customHeight="1" outlineLevel="1">
      <c r="B103" s="117"/>
      <c r="C103" s="789"/>
      <c r="D103" s="170"/>
      <c r="E103" s="170"/>
      <c r="F103" s="98"/>
      <c r="G103" s="98"/>
      <c r="H103" s="98"/>
      <c r="I103" s="98"/>
      <c r="J103" s="98"/>
      <c r="K103" s="98"/>
      <c r="L103" s="98"/>
      <c r="M103" s="98"/>
      <c r="N103" s="98"/>
      <c r="O103" s="98"/>
      <c r="P103" s="122"/>
      <c r="Q103" s="98"/>
      <c r="R103" s="98"/>
      <c r="S103" s="98"/>
      <c r="T103" s="98"/>
      <c r="U103" s="98"/>
      <c r="V103" s="98"/>
      <c r="AL103" s="148"/>
      <c r="AM103" s="148"/>
      <c r="AN103" s="148"/>
      <c r="AO103" s="148"/>
      <c r="AP103" s="98"/>
      <c r="AQ103" s="98"/>
      <c r="AR103" s="98"/>
      <c r="AS103" s="98"/>
      <c r="AT103" s="98"/>
      <c r="BJ103" s="121"/>
    </row>
    <row r="104" spans="2:77" s="28" customFormat="1" ht="15" hidden="1" customHeight="1" outlineLevel="1">
      <c r="B104" s="117"/>
      <c r="C104" s="748"/>
      <c r="D104" s="985" t="s">
        <v>843</v>
      </c>
      <c r="E104" s="507"/>
      <c r="F104" s="789"/>
      <c r="G104" s="789"/>
      <c r="H104" s="789"/>
      <c r="I104" s="789"/>
      <c r="J104" s="789"/>
      <c r="K104" s="789"/>
      <c r="L104" s="789"/>
      <c r="M104" s="789"/>
      <c r="N104" s="789"/>
      <c r="O104" s="98"/>
      <c r="P104" s="159"/>
      <c r="Q104" s="159"/>
      <c r="R104" s="159"/>
      <c r="S104" s="784"/>
      <c r="T104" s="784"/>
      <c r="U104" s="784"/>
      <c r="V104" s="784"/>
      <c r="W104" s="784"/>
      <c r="X104" s="784"/>
      <c r="Y104" s="784"/>
      <c r="Z104" s="784"/>
      <c r="AA104" s="784"/>
      <c r="AB104" s="784"/>
      <c r="AC104" s="784"/>
      <c r="AD104" s="784"/>
      <c r="AE104" s="784"/>
      <c r="AF104" s="784"/>
      <c r="AG104" s="784"/>
      <c r="AH104" s="784"/>
      <c r="AI104" s="784"/>
      <c r="AJ104" s="784"/>
      <c r="AK104" s="784"/>
      <c r="AL104" s="784"/>
      <c r="AM104" s="784"/>
      <c r="AN104" s="784"/>
      <c r="AO104" s="784"/>
      <c r="AP104" s="784"/>
      <c r="AQ104" s="784"/>
      <c r="AR104" s="784"/>
      <c r="AS104" s="784"/>
      <c r="AT104" s="784"/>
      <c r="AU104" s="784"/>
      <c r="AV104" s="784"/>
      <c r="AW104" s="784"/>
      <c r="AX104" s="784"/>
      <c r="AY104" s="784"/>
      <c r="AZ104" s="784"/>
      <c r="BA104" s="784"/>
      <c r="BB104" s="784"/>
      <c r="BC104" s="784"/>
      <c r="BD104" s="784"/>
      <c r="BE104" s="784"/>
      <c r="BF104" s="784"/>
      <c r="BG104" s="784"/>
      <c r="BH104" s="784"/>
      <c r="BI104" s="784"/>
      <c r="BJ104" s="121"/>
      <c r="BQ104" s="712"/>
      <c r="BR104" s="712"/>
      <c r="BS104" s="712"/>
      <c r="BT104" s="712"/>
    </row>
    <row r="105" spans="2:77" s="28" customFormat="1" ht="6.95" hidden="1" customHeight="1" outlineLevel="1">
      <c r="B105" s="117"/>
      <c r="C105" s="796"/>
      <c r="D105" s="507"/>
      <c r="E105" s="507"/>
      <c r="F105" s="789"/>
      <c r="G105" s="789"/>
      <c r="H105" s="789"/>
      <c r="I105" s="789"/>
      <c r="J105" s="789"/>
      <c r="K105" s="789"/>
      <c r="L105" s="789"/>
      <c r="M105" s="789"/>
      <c r="N105" s="789"/>
      <c r="O105" s="98"/>
      <c r="P105" s="159"/>
      <c r="Q105" s="159"/>
      <c r="R105" s="159"/>
      <c r="S105" s="784"/>
      <c r="T105" s="784"/>
      <c r="U105" s="784"/>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121"/>
      <c r="BQ105" s="712"/>
      <c r="BR105" s="712"/>
      <c r="BS105" s="712"/>
      <c r="BT105" s="712"/>
    </row>
    <row r="106" spans="2:77" s="28" customFormat="1" ht="15" customHeight="1" collapsed="1">
      <c r="B106" s="117"/>
      <c r="C106" s="796"/>
      <c r="D106" s="220"/>
      <c r="E106" s="1033" t="str">
        <f>X!C309</f>
        <v>VL-Temperatur Kaltwasser</v>
      </c>
      <c r="F106" s="160"/>
      <c r="G106" s="160"/>
      <c r="H106" s="160"/>
      <c r="I106" s="160"/>
      <c r="J106" s="160"/>
      <c r="K106" s="160"/>
      <c r="L106" s="160"/>
      <c r="M106" s="160"/>
      <c r="N106" s="160"/>
      <c r="O106" s="98"/>
      <c r="P106" s="122" t="s">
        <v>108</v>
      </c>
      <c r="Q106" s="98"/>
      <c r="R106" s="98"/>
      <c r="S106" s="1663"/>
      <c r="T106" s="1663"/>
      <c r="U106" s="1664"/>
      <c r="V106" s="98"/>
      <c r="AL106" s="148"/>
      <c r="AM106" s="148"/>
      <c r="AN106" s="148"/>
      <c r="AO106" s="148"/>
      <c r="AP106" s="98"/>
      <c r="AQ106" s="1663"/>
      <c r="AR106" s="1663"/>
      <c r="AS106" s="1664"/>
      <c r="AT106" s="98"/>
      <c r="BJ106" s="121"/>
      <c r="BP106" s="31"/>
      <c r="BQ106" s="31"/>
      <c r="BR106" s="31"/>
      <c r="BS106" s="31"/>
      <c r="BT106" s="31"/>
      <c r="BU106" s="31"/>
      <c r="BV106" s="31"/>
      <c r="BW106" s="31"/>
      <c r="BX106" s="31"/>
      <c r="BY106" s="31"/>
    </row>
    <row r="107" spans="2:77" s="28" customFormat="1" ht="6" customHeight="1">
      <c r="B107" s="117"/>
      <c r="C107" s="789"/>
      <c r="D107" s="220"/>
      <c r="E107" s="170"/>
      <c r="F107" s="98"/>
      <c r="G107" s="98"/>
      <c r="H107" s="98"/>
      <c r="I107" s="98"/>
      <c r="J107" s="98"/>
      <c r="K107" s="98"/>
      <c r="L107" s="98"/>
      <c r="M107" s="98"/>
      <c r="N107" s="98"/>
      <c r="O107" s="98"/>
      <c r="P107" s="122"/>
      <c r="Q107" s="98"/>
      <c r="R107" s="98"/>
      <c r="S107" s="98"/>
      <c r="T107" s="98"/>
      <c r="U107" s="98"/>
      <c r="V107" s="98"/>
      <c r="W107" s="98"/>
      <c r="X107" s="98"/>
      <c r="Y107" s="98"/>
      <c r="Z107" s="98"/>
      <c r="AA107" s="98"/>
      <c r="AB107" s="98"/>
      <c r="AC107" s="98"/>
      <c r="AD107" s="98"/>
      <c r="AE107" s="98"/>
      <c r="AF107" s="98"/>
      <c r="AG107" s="98"/>
      <c r="AH107" s="98"/>
      <c r="AI107" s="98"/>
      <c r="AJ107" s="98"/>
      <c r="AK107" s="98"/>
      <c r="AL107" s="148"/>
      <c r="AM107" s="148"/>
      <c r="AN107" s="148"/>
      <c r="AO107" s="148"/>
      <c r="AP107" s="98"/>
      <c r="AQ107" s="98"/>
      <c r="AR107" s="98"/>
      <c r="AS107" s="98"/>
      <c r="AT107" s="98"/>
      <c r="AU107" s="98"/>
      <c r="AV107" s="98"/>
      <c r="AW107" s="98"/>
      <c r="AX107" s="98"/>
      <c r="AY107" s="98"/>
      <c r="AZ107" s="98"/>
      <c r="BA107" s="98"/>
      <c r="BB107" s="98"/>
      <c r="BC107" s="98"/>
      <c r="BD107" s="98"/>
      <c r="BE107" s="98"/>
      <c r="BF107" s="98"/>
      <c r="BG107" s="98"/>
      <c r="BH107" s="98"/>
      <c r="BI107" s="98"/>
      <c r="BJ107" s="121"/>
    </row>
    <row r="108" spans="2:77" s="28" customFormat="1" ht="17.100000000000001" customHeight="1">
      <c r="B108" s="117"/>
      <c r="C108" s="495"/>
      <c r="D108" s="985" t="str">
        <f>X!C311</f>
        <v>zusätzliche Hilfsbetriebe</v>
      </c>
      <c r="E108" s="985"/>
      <c r="F108" s="144"/>
      <c r="G108" s="98"/>
      <c r="H108" s="98"/>
      <c r="I108" s="640"/>
      <c r="J108" s="640"/>
      <c r="K108" s="640"/>
      <c r="L108" s="640"/>
      <c r="M108" s="640"/>
      <c r="N108" s="640"/>
      <c r="O108" s="640"/>
      <c r="P108" s="640"/>
      <c r="Q108" s="640"/>
      <c r="R108" s="640"/>
      <c r="T108" s="148"/>
      <c r="U108" s="532" t="str">
        <f>X!$C$191</f>
        <v>P elektrisch</v>
      </c>
      <c r="V108" s="150"/>
      <c r="W108" s="533" t="str">
        <f>X!$C$206</f>
        <v>Regelungsart</v>
      </c>
      <c r="X108" s="148"/>
      <c r="Y108" s="148"/>
      <c r="Z108" s="148"/>
      <c r="AA108" s="148"/>
      <c r="AB108" s="148"/>
      <c r="AC108" s="148"/>
      <c r="AD108" s="148"/>
      <c r="AE108" s="148"/>
      <c r="AF108" s="148"/>
      <c r="AG108" s="148"/>
      <c r="AH108" s="148"/>
      <c r="AI108" s="148"/>
      <c r="AJ108" s="148"/>
      <c r="AK108" s="148"/>
      <c r="AL108" s="148"/>
      <c r="AM108" s="148"/>
      <c r="AN108" s="148"/>
      <c r="AO108" s="148"/>
      <c r="AP108" s="151"/>
      <c r="AR108" s="148"/>
      <c r="AS108" s="532" t="str">
        <f>X!$C$191</f>
        <v>P elektrisch</v>
      </c>
      <c r="AT108" s="150"/>
      <c r="AU108" s="533" t="str">
        <f>X!$C$206</f>
        <v>Regelungsart</v>
      </c>
      <c r="AV108" s="148"/>
      <c r="AW108" s="148"/>
      <c r="AX108" s="148"/>
      <c r="AY108" s="148"/>
      <c r="AZ108" s="148"/>
      <c r="BA108" s="148"/>
      <c r="BB108" s="148"/>
      <c r="BC108" s="148"/>
      <c r="BD108" s="148"/>
      <c r="BE108" s="148"/>
      <c r="BF108" s="148"/>
      <c r="BG108" s="148"/>
      <c r="BH108" s="148"/>
      <c r="BI108" s="148"/>
      <c r="BJ108" s="121"/>
    </row>
    <row r="109" spans="2:77" s="28" customFormat="1" ht="6" customHeight="1">
      <c r="B109" s="117"/>
      <c r="C109" s="789"/>
      <c r="E109" s="98"/>
      <c r="F109" s="98"/>
      <c r="G109" s="98"/>
      <c r="H109" s="98"/>
      <c r="I109" s="98"/>
      <c r="J109" s="98"/>
      <c r="K109" s="98"/>
      <c r="L109" s="98"/>
      <c r="M109" s="98"/>
      <c r="N109" s="98"/>
      <c r="O109" s="98"/>
      <c r="P109" s="122"/>
      <c r="Q109" s="98"/>
      <c r="R109" s="98"/>
      <c r="S109" s="98"/>
      <c r="T109" s="98"/>
      <c r="U109" s="98"/>
      <c r="V109" s="98"/>
      <c r="W109" s="98"/>
      <c r="X109" s="98"/>
      <c r="Y109" s="98"/>
      <c r="Z109" s="98"/>
      <c r="AA109" s="98"/>
      <c r="AB109" s="98"/>
      <c r="AC109" s="98"/>
      <c r="AD109" s="98"/>
      <c r="AE109" s="98"/>
      <c r="AF109" s="98"/>
      <c r="AG109" s="98"/>
      <c r="AH109" s="98"/>
      <c r="AI109" s="98"/>
      <c r="AJ109" s="98"/>
      <c r="AK109" s="98"/>
      <c r="AL109" s="148"/>
      <c r="AM109" s="148"/>
      <c r="AN109" s="148"/>
      <c r="AO109" s="148"/>
      <c r="AP109" s="98"/>
      <c r="AQ109" s="98"/>
      <c r="AR109" s="98"/>
      <c r="AS109" s="98"/>
      <c r="AT109" s="98"/>
      <c r="AU109" s="98"/>
      <c r="AV109" s="98"/>
      <c r="AW109" s="98"/>
      <c r="AX109" s="98"/>
      <c r="AY109" s="98"/>
      <c r="AZ109" s="98"/>
      <c r="BA109" s="98"/>
      <c r="BB109" s="98"/>
      <c r="BC109" s="98"/>
      <c r="BD109" s="98"/>
      <c r="BE109" s="98"/>
      <c r="BF109" s="98"/>
      <c r="BG109" s="98"/>
      <c r="BH109" s="98"/>
      <c r="BI109" s="98"/>
      <c r="BJ109" s="121"/>
    </row>
    <row r="110" spans="2:77" s="28" customFormat="1" ht="15" customHeight="1">
      <c r="B110" s="117"/>
      <c r="C110" s="796"/>
      <c r="D110" s="1659"/>
      <c r="E110" s="1659"/>
      <c r="F110" s="1659"/>
      <c r="G110" s="1659"/>
      <c r="H110" s="1659"/>
      <c r="I110" s="1659"/>
      <c r="J110" s="1659"/>
      <c r="K110" s="1659"/>
      <c r="L110" s="1659"/>
      <c r="M110" s="1659"/>
      <c r="N110" s="1660"/>
      <c r="O110" s="98"/>
      <c r="P110" s="122" t="s">
        <v>106</v>
      </c>
      <c r="Q110" s="98"/>
      <c r="R110" s="98"/>
      <c r="S110" s="1524"/>
      <c r="T110" s="1524"/>
      <c r="U110" s="1525"/>
      <c r="V110" s="98"/>
      <c r="W110" s="1526"/>
      <c r="X110" s="1526"/>
      <c r="Y110" s="1526"/>
      <c r="Z110" s="1526"/>
      <c r="AA110" s="1526"/>
      <c r="AB110" s="1526"/>
      <c r="AC110" s="1526"/>
      <c r="AD110" s="1526"/>
      <c r="AE110" s="1526"/>
      <c r="AF110" s="1526"/>
      <c r="AG110" s="1526"/>
      <c r="AH110" s="1526"/>
      <c r="AI110" s="1526"/>
      <c r="AJ110" s="1526"/>
      <c r="AK110" s="1527"/>
      <c r="AL110" s="148"/>
      <c r="AM110" s="148"/>
      <c r="AN110" s="148"/>
      <c r="AO110" s="148"/>
      <c r="AP110" s="98"/>
      <c r="AQ110" s="1524"/>
      <c r="AR110" s="1524"/>
      <c r="AS110" s="1525"/>
      <c r="AT110" s="98"/>
      <c r="AU110" s="1526"/>
      <c r="AV110" s="1526"/>
      <c r="AW110" s="1526"/>
      <c r="AX110" s="1526"/>
      <c r="AY110" s="1526"/>
      <c r="AZ110" s="1526"/>
      <c r="BA110" s="1526"/>
      <c r="BB110" s="1526"/>
      <c r="BC110" s="1526"/>
      <c r="BD110" s="1526"/>
      <c r="BE110" s="1526"/>
      <c r="BF110" s="1526"/>
      <c r="BG110" s="1526"/>
      <c r="BH110" s="1526"/>
      <c r="BI110" s="1527"/>
      <c r="BJ110" s="121"/>
      <c r="BP110" s="31"/>
      <c r="BQ110" s="31"/>
      <c r="BR110" s="31"/>
      <c r="BS110" s="31"/>
      <c r="BT110" s="31"/>
      <c r="BU110" s="31"/>
      <c r="BV110" s="31"/>
      <c r="BW110" s="31"/>
      <c r="BX110" s="31"/>
      <c r="BY110" s="31"/>
    </row>
    <row r="111" spans="2:77" s="28" customFormat="1" ht="8.1" customHeight="1">
      <c r="B111" s="117"/>
      <c r="C111" s="789"/>
      <c r="D111" s="98"/>
      <c r="E111" s="98"/>
      <c r="F111" s="98"/>
      <c r="G111" s="98"/>
      <c r="H111" s="98"/>
      <c r="I111" s="98"/>
      <c r="J111" s="98"/>
      <c r="K111" s="98"/>
      <c r="L111" s="98"/>
      <c r="M111" s="98"/>
      <c r="N111" s="98"/>
      <c r="O111" s="98"/>
      <c r="P111" s="122"/>
      <c r="Q111" s="98"/>
      <c r="R111" s="98"/>
      <c r="S111" s="98"/>
      <c r="T111" s="98"/>
      <c r="U111" s="98"/>
      <c r="V111" s="98"/>
      <c r="AL111" s="148"/>
      <c r="AM111" s="148"/>
      <c r="AN111" s="148"/>
      <c r="AO111" s="148"/>
      <c r="AP111" s="98"/>
      <c r="AQ111" s="98"/>
      <c r="AR111" s="98"/>
      <c r="AS111" s="98"/>
      <c r="AT111" s="98"/>
      <c r="BJ111" s="121"/>
    </row>
    <row r="112" spans="2:77">
      <c r="B112" s="161"/>
      <c r="C112" s="506"/>
      <c r="D112" s="127"/>
      <c r="E112" s="127"/>
      <c r="F112" s="127"/>
      <c r="G112" s="127"/>
      <c r="H112" s="127"/>
      <c r="I112" s="127"/>
      <c r="J112" s="127"/>
      <c r="K112" s="127"/>
      <c r="L112" s="127"/>
      <c r="M112" s="127"/>
      <c r="N112" s="127"/>
      <c r="O112" s="127"/>
      <c r="P112" s="126"/>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62"/>
    </row>
    <row r="113" spans="2:77" ht="17.100000000000001" customHeight="1">
      <c r="B113" s="52"/>
      <c r="C113" s="664"/>
      <c r="D113" s="52"/>
      <c r="E113" s="52"/>
      <c r="F113" s="52"/>
      <c r="G113" s="52"/>
      <c r="H113" s="52"/>
      <c r="I113" s="52"/>
      <c r="J113" s="52"/>
      <c r="K113" s="52"/>
      <c r="L113" s="52"/>
      <c r="M113" s="52"/>
      <c r="N113" s="52"/>
      <c r="O113" s="52"/>
      <c r="P113" s="640"/>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row>
    <row r="114" spans="2:77" ht="17.100000000000001" customHeight="1">
      <c r="B114" s="127"/>
      <c r="C114" s="506"/>
      <c r="D114" s="127"/>
      <c r="E114" s="127"/>
      <c r="F114" s="127"/>
      <c r="G114" s="127"/>
      <c r="H114" s="127"/>
      <c r="I114" s="127"/>
      <c r="J114" s="127"/>
      <c r="K114" s="127"/>
      <c r="L114" s="127"/>
      <c r="M114" s="127"/>
      <c r="N114" s="127"/>
      <c r="O114" s="127"/>
      <c r="P114" s="126"/>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P114" s="28"/>
      <c r="BQ114" s="28"/>
      <c r="BR114" s="28"/>
      <c r="BS114" s="28"/>
      <c r="BT114" s="28"/>
      <c r="BU114" s="28"/>
      <c r="BV114" s="28"/>
      <c r="BW114" s="28"/>
      <c r="BX114" s="28"/>
      <c r="BY114" s="28"/>
    </row>
    <row r="115" spans="2:77" ht="17.100000000000001" customHeight="1">
      <c r="B115" s="103"/>
      <c r="C115" s="502"/>
      <c r="D115" s="104"/>
      <c r="E115" s="104"/>
      <c r="F115" s="104"/>
      <c r="G115" s="104"/>
      <c r="H115" s="104"/>
      <c r="I115" s="104"/>
      <c r="J115" s="104"/>
      <c r="K115" s="104"/>
      <c r="L115" s="104"/>
      <c r="M115" s="104"/>
      <c r="N115" s="104"/>
      <c r="O115" s="104"/>
      <c r="P115" s="105"/>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6"/>
      <c r="BP115" s="28"/>
      <c r="BQ115" s="28"/>
      <c r="BR115" s="28"/>
      <c r="BS115" s="28"/>
      <c r="BT115" s="28"/>
      <c r="BU115" s="28"/>
      <c r="BV115" s="28"/>
      <c r="BW115" s="28"/>
      <c r="BX115" s="28"/>
      <c r="BY115" s="28"/>
    </row>
    <row r="116" spans="2:77" s="116" customFormat="1" ht="21" customHeight="1">
      <c r="B116" s="107"/>
      <c r="C116" s="486">
        <v>3</v>
      </c>
      <c r="D116" s="539" t="str">
        <f>X!$C$86</f>
        <v>Eingabe Betriebsdaten</v>
      </c>
      <c r="E116" s="109"/>
      <c r="F116" s="109"/>
      <c r="G116" s="110"/>
      <c r="H116" s="110"/>
      <c r="I116" s="111"/>
      <c r="J116" s="111"/>
      <c r="K116" s="111"/>
      <c r="L116" s="111"/>
      <c r="M116" s="111"/>
      <c r="N116" s="111"/>
      <c r="O116" s="111"/>
      <c r="P116" s="111"/>
      <c r="Q116" s="111"/>
      <c r="R116" s="111"/>
      <c r="S116" s="109"/>
      <c r="T116" s="109"/>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09"/>
      <c r="AR116" s="109"/>
      <c r="AS116" s="110"/>
      <c r="AT116" s="110"/>
      <c r="AU116" s="110"/>
      <c r="AV116" s="110"/>
      <c r="AW116" s="110"/>
      <c r="AX116" s="110"/>
      <c r="AY116" s="110"/>
      <c r="AZ116" s="110"/>
      <c r="BA116" s="110"/>
      <c r="BB116" s="110"/>
      <c r="BC116" s="110"/>
      <c r="BD116" s="110"/>
      <c r="BE116" s="110"/>
      <c r="BF116" s="110"/>
      <c r="BG116" s="110"/>
      <c r="BH116" s="110"/>
      <c r="BI116" s="110"/>
      <c r="BJ116" s="115"/>
      <c r="BP116" s="28"/>
      <c r="BQ116" s="28"/>
      <c r="BR116" s="28"/>
      <c r="BS116" s="28"/>
      <c r="BT116" s="28"/>
      <c r="BU116" s="28"/>
      <c r="BV116" s="28"/>
      <c r="BW116" s="28"/>
      <c r="BX116" s="28"/>
      <c r="BY116" s="28"/>
    </row>
    <row r="117" spans="2:77" s="28" customFormat="1" ht="17.100000000000001" customHeight="1">
      <c r="B117" s="117"/>
      <c r="C117" s="489"/>
      <c r="D117" s="98"/>
      <c r="E117" s="98"/>
      <c r="F117" s="98"/>
      <c r="G117" s="98"/>
      <c r="H117" s="98"/>
      <c r="I117" s="98"/>
      <c r="J117" s="98"/>
      <c r="K117" s="98"/>
      <c r="L117" s="98"/>
      <c r="M117" s="98"/>
      <c r="N117" s="98"/>
      <c r="O117" s="98"/>
      <c r="P117" s="122"/>
      <c r="Q117" s="98"/>
      <c r="R117" s="98"/>
      <c r="S117" s="135"/>
      <c r="T117" s="135"/>
      <c r="U117" s="135"/>
      <c r="V117" s="98"/>
      <c r="W117" s="136"/>
      <c r="X117" s="136"/>
      <c r="Y117" s="136"/>
      <c r="Z117" s="136"/>
      <c r="AA117" s="136"/>
      <c r="AB117" s="136"/>
      <c r="AC117" s="136"/>
      <c r="AD117" s="136"/>
      <c r="AE117" s="136"/>
      <c r="AF117" s="98"/>
      <c r="AG117" s="98"/>
      <c r="AH117" s="98"/>
      <c r="AI117" s="98"/>
      <c r="AJ117" s="98"/>
      <c r="AK117" s="98"/>
      <c r="AL117" s="98"/>
      <c r="AM117" s="98"/>
      <c r="AN117" s="98"/>
      <c r="AO117" s="98"/>
      <c r="AP117" s="98"/>
      <c r="AQ117" s="135"/>
      <c r="AR117" s="135"/>
      <c r="AS117" s="135"/>
      <c r="AT117" s="98"/>
      <c r="AU117" s="136"/>
      <c r="AV117" s="136"/>
      <c r="AW117" s="136"/>
      <c r="AX117" s="136"/>
      <c r="AY117" s="136"/>
      <c r="AZ117" s="136"/>
      <c r="BA117" s="136"/>
      <c r="BB117" s="136"/>
      <c r="BC117" s="136"/>
      <c r="BD117" s="55"/>
      <c r="BE117" s="55"/>
      <c r="BF117" s="55"/>
      <c r="BG117" s="55"/>
      <c r="BH117" s="52"/>
      <c r="BI117" s="55"/>
      <c r="BJ117" s="121"/>
    </row>
    <row r="118" spans="2:77" s="28" customFormat="1" ht="32.1" customHeight="1">
      <c r="B118" s="117"/>
      <c r="C118" s="1695" t="str">
        <f>C38</f>
        <v xml:space="preserve">Die Eingabedaten für Verdichter und Hilfsantriebe (Ventilatoren, Pumpen) müssen bei Anlagenersatz den «Ist-Werten» vor Ort entsprechen. Bei neuen Projekten sind die Planungs- bzw. die Ausführungswerte zu berücksichtigen (keine Schätzwerte). </v>
      </c>
      <c r="D118" s="1695"/>
      <c r="E118" s="1695"/>
      <c r="F118" s="1695"/>
      <c r="G118" s="1695"/>
      <c r="H118" s="1695"/>
      <c r="I118" s="1695"/>
      <c r="J118" s="1695"/>
      <c r="K118" s="1695"/>
      <c r="L118" s="1695"/>
      <c r="M118" s="1695"/>
      <c r="N118" s="1695"/>
      <c r="O118" s="1695"/>
      <c r="P118" s="1695"/>
      <c r="Q118" s="1695"/>
      <c r="R118" s="1695"/>
      <c r="S118" s="1695"/>
      <c r="T118" s="1695"/>
      <c r="U118" s="1695"/>
      <c r="V118" s="1695"/>
      <c r="W118" s="1695"/>
      <c r="X118" s="1695"/>
      <c r="Y118" s="1695"/>
      <c r="Z118" s="1695"/>
      <c r="AA118" s="1695"/>
      <c r="AB118" s="1695"/>
      <c r="AC118" s="1695"/>
      <c r="AD118" s="1695"/>
      <c r="AE118" s="1695"/>
      <c r="AF118" s="1695"/>
      <c r="AG118" s="1695"/>
      <c r="AH118" s="1695"/>
      <c r="AI118" s="1695"/>
      <c r="AJ118" s="1695"/>
      <c r="AK118" s="1695"/>
      <c r="AL118" s="1695"/>
      <c r="AM118" s="1695"/>
      <c r="AN118" s="1695"/>
      <c r="AO118" s="1695"/>
      <c r="AP118" s="1695"/>
      <c r="AQ118" s="1695"/>
      <c r="AR118" s="1695"/>
      <c r="AS118" s="1695"/>
      <c r="AT118" s="1695"/>
      <c r="AU118" s="1695"/>
      <c r="AV118" s="1695"/>
      <c r="AW118" s="1695"/>
      <c r="AX118" s="1695"/>
      <c r="AY118" s="1695"/>
      <c r="AZ118" s="1695"/>
      <c r="BA118" s="1695"/>
      <c r="BB118" s="1695"/>
      <c r="BC118" s="1695"/>
      <c r="BD118" s="1695"/>
      <c r="BE118" s="1695"/>
      <c r="BF118" s="1695"/>
      <c r="BG118" s="1695"/>
      <c r="BH118" s="1695"/>
      <c r="BI118" s="1695"/>
      <c r="BJ118" s="121"/>
    </row>
    <row r="119" spans="2:77" s="28" customFormat="1" ht="17.100000000000001" customHeight="1">
      <c r="B119" s="117"/>
      <c r="C119" s="1299"/>
      <c r="D119" s="98"/>
      <c r="E119" s="98"/>
      <c r="F119" s="98"/>
      <c r="G119" s="98"/>
      <c r="H119" s="98"/>
      <c r="I119" s="98"/>
      <c r="J119" s="98"/>
      <c r="K119" s="98"/>
      <c r="L119" s="98"/>
      <c r="M119" s="98"/>
      <c r="N119" s="98"/>
      <c r="O119" s="98"/>
      <c r="P119" s="122"/>
      <c r="Q119" s="98"/>
      <c r="R119" s="98"/>
      <c r="S119" s="1298"/>
      <c r="T119" s="1298"/>
      <c r="U119" s="1298"/>
      <c r="V119" s="98"/>
      <c r="W119" s="136"/>
      <c r="X119" s="136"/>
      <c r="Y119" s="136"/>
      <c r="Z119" s="136"/>
      <c r="AA119" s="136"/>
      <c r="AB119" s="136"/>
      <c r="AC119" s="136"/>
      <c r="AD119" s="136"/>
      <c r="AE119" s="136"/>
      <c r="AF119" s="98"/>
      <c r="AG119" s="98"/>
      <c r="AH119" s="98"/>
      <c r="AI119" s="98"/>
      <c r="AJ119" s="98"/>
      <c r="AK119" s="98"/>
      <c r="AL119" s="98"/>
      <c r="AM119" s="98"/>
      <c r="AN119" s="98"/>
      <c r="AO119" s="98"/>
      <c r="AP119" s="98"/>
      <c r="AQ119" s="1298"/>
      <c r="AR119" s="1298"/>
      <c r="AS119" s="1298"/>
      <c r="AT119" s="98"/>
      <c r="AU119" s="136"/>
      <c r="AV119" s="136"/>
      <c r="AW119" s="136"/>
      <c r="AX119" s="136"/>
      <c r="AY119" s="136"/>
      <c r="AZ119" s="136"/>
      <c r="BA119" s="136"/>
      <c r="BB119" s="136"/>
      <c r="BC119" s="136"/>
      <c r="BD119" s="640"/>
      <c r="BE119" s="640"/>
      <c r="BF119" s="640"/>
      <c r="BG119" s="640"/>
      <c r="BH119" s="52"/>
      <c r="BI119" s="640"/>
      <c r="BJ119" s="121"/>
    </row>
    <row r="120" spans="2:77" s="139" customFormat="1" ht="17.100000000000001" customHeight="1">
      <c r="B120" s="137"/>
      <c r="C120" s="488"/>
      <c r="D120" s="138"/>
      <c r="E120" s="138"/>
      <c r="F120" s="138"/>
      <c r="S120" s="140" t="str">
        <f>'1 System specification'!O132</f>
        <v>Variante A</v>
      </c>
      <c r="T120" s="140"/>
      <c r="U120" s="141"/>
      <c r="V120" s="141"/>
      <c r="W120" s="141"/>
      <c r="X120" s="141"/>
      <c r="Y120" s="141"/>
      <c r="Z120" s="141"/>
      <c r="AA120" s="141"/>
      <c r="AB120" s="141"/>
      <c r="AC120" s="141"/>
      <c r="AD120" s="141"/>
      <c r="AE120" s="141"/>
      <c r="AF120" s="141"/>
      <c r="AG120" s="141"/>
      <c r="AH120" s="141"/>
      <c r="AI120" s="141"/>
      <c r="AJ120" s="141"/>
      <c r="AK120" s="141"/>
      <c r="AL120" s="431"/>
      <c r="AM120" s="431"/>
      <c r="AQ120" s="140" t="str">
        <f>'1 System specification'!O133</f>
        <v/>
      </c>
      <c r="AR120" s="140"/>
      <c r="AS120" s="141"/>
      <c r="AT120" s="141"/>
      <c r="AU120" s="141"/>
      <c r="AV120" s="141"/>
      <c r="AW120" s="141"/>
      <c r="AX120" s="141"/>
      <c r="AY120" s="141"/>
      <c r="AZ120" s="141"/>
      <c r="BA120" s="141"/>
      <c r="BB120" s="141"/>
      <c r="BC120" s="141"/>
      <c r="BD120" s="141"/>
      <c r="BE120" s="141"/>
      <c r="BF120" s="141"/>
      <c r="BG120" s="141"/>
      <c r="BH120" s="141"/>
      <c r="BI120" s="141"/>
      <c r="BJ120" s="142"/>
      <c r="BP120" s="28"/>
      <c r="BQ120" s="28"/>
      <c r="BR120" s="28"/>
      <c r="BS120" s="28"/>
      <c r="BT120" s="28"/>
      <c r="BU120" s="28"/>
      <c r="BV120" s="28"/>
      <c r="BW120" s="28"/>
      <c r="BX120" s="28"/>
      <c r="BY120" s="28"/>
    </row>
    <row r="121" spans="2:77" s="28" customFormat="1" ht="9" customHeight="1">
      <c r="B121" s="117"/>
      <c r="C121" s="474"/>
      <c r="D121" s="98"/>
      <c r="E121" s="98"/>
      <c r="F121" s="98"/>
      <c r="G121" s="98"/>
      <c r="H121" s="98"/>
      <c r="I121" s="98"/>
      <c r="J121" s="98"/>
      <c r="K121" s="98"/>
      <c r="L121" s="98"/>
      <c r="M121" s="98"/>
      <c r="N121" s="98"/>
      <c r="O121" s="98"/>
      <c r="P121" s="122"/>
      <c r="Q121" s="98"/>
      <c r="R121" s="98"/>
      <c r="S121" s="98"/>
      <c r="T121" s="98"/>
      <c r="U121" s="98"/>
      <c r="V121" s="98"/>
      <c r="W121" s="98"/>
      <c r="X121" s="98"/>
      <c r="Y121" s="98"/>
      <c r="Z121" s="98"/>
      <c r="AA121" s="55"/>
      <c r="AB121" s="55"/>
      <c r="AC121" s="55"/>
      <c r="AD121" s="55"/>
      <c r="AE121" s="55"/>
      <c r="AF121" s="55"/>
      <c r="AG121" s="55"/>
      <c r="AH121" s="55"/>
      <c r="AI121" s="55"/>
      <c r="AJ121" s="55"/>
      <c r="AK121" s="55"/>
      <c r="AL121" s="640"/>
      <c r="AM121" s="55"/>
      <c r="AN121" s="55"/>
      <c r="AO121" s="55"/>
      <c r="AP121" s="55"/>
      <c r="AQ121" s="55"/>
      <c r="AR121" s="55"/>
      <c r="AS121" s="55"/>
      <c r="AT121" s="120"/>
      <c r="AU121" s="55"/>
      <c r="AV121" s="55"/>
      <c r="AW121" s="55"/>
      <c r="AX121" s="55"/>
      <c r="AY121" s="55"/>
      <c r="AZ121" s="55"/>
      <c r="BA121" s="55"/>
      <c r="BB121" s="55"/>
      <c r="BC121" s="55"/>
      <c r="BD121" s="55"/>
      <c r="BE121" s="55"/>
      <c r="BF121" s="55"/>
      <c r="BG121" s="55"/>
      <c r="BH121" s="52"/>
      <c r="BI121" s="55"/>
      <c r="BJ121" s="121"/>
    </row>
    <row r="122" spans="2:77" s="28" customFormat="1" ht="17.100000000000001" customHeight="1">
      <c r="B122" s="117"/>
      <c r="C122" s="463"/>
      <c r="D122" s="55"/>
      <c r="E122" s="55"/>
      <c r="F122" s="55"/>
      <c r="G122" s="55"/>
      <c r="H122" s="55"/>
      <c r="I122" s="55"/>
      <c r="J122" s="55"/>
      <c r="K122" s="55"/>
      <c r="L122" s="55"/>
      <c r="M122" s="55"/>
      <c r="N122" s="55"/>
      <c r="O122" s="55"/>
      <c r="P122" s="55"/>
      <c r="Q122" s="55"/>
      <c r="R122" s="1482" t="str">
        <f>X!$C$114</f>
        <v>Frühling</v>
      </c>
      <c r="S122" s="1482"/>
      <c r="T122" s="1482"/>
      <c r="U122" s="1482"/>
      <c r="V122" s="1480" t="str">
        <f>X!$C$212</f>
        <v>Sommer</v>
      </c>
      <c r="W122" s="1480"/>
      <c r="X122" s="1480"/>
      <c r="Y122" s="1480"/>
      <c r="Z122" s="1482" t="str">
        <f>X!$C$120</f>
        <v>Herbst</v>
      </c>
      <c r="AA122" s="1482"/>
      <c r="AB122" s="1482"/>
      <c r="AC122" s="1482"/>
      <c r="AD122" s="1482" t="str">
        <f>X!$C$269</f>
        <v>Winter</v>
      </c>
      <c r="AE122" s="1482"/>
      <c r="AF122" s="1482"/>
      <c r="AG122" s="1482"/>
      <c r="AH122" s="55"/>
      <c r="AI122" s="1482" t="str">
        <f>X!$C$130</f>
        <v>Jahr</v>
      </c>
      <c r="AJ122" s="1483"/>
      <c r="AK122" s="1483"/>
      <c r="AL122" s="657"/>
      <c r="AM122" s="421"/>
      <c r="AN122" s="55"/>
      <c r="AO122" s="55"/>
      <c r="AP122" s="55"/>
      <c r="AQ122" s="1482" t="str">
        <f>X!$C$114</f>
        <v>Frühling</v>
      </c>
      <c r="AR122" s="1483"/>
      <c r="AS122" s="1483"/>
      <c r="AT122" s="55"/>
      <c r="AU122" s="1480" t="str">
        <f>X!$C$212</f>
        <v>Sommer</v>
      </c>
      <c r="AV122" s="1481"/>
      <c r="AW122" s="1481"/>
      <c r="AX122" s="55"/>
      <c r="AY122" s="1482" t="str">
        <f>X!$C$120</f>
        <v>Herbst</v>
      </c>
      <c r="AZ122" s="1483"/>
      <c r="BA122" s="1483"/>
      <c r="BB122" s="55"/>
      <c r="BC122" s="1482" t="str">
        <f>X!$C$269</f>
        <v>Winter</v>
      </c>
      <c r="BD122" s="1483"/>
      <c r="BE122" s="1483"/>
      <c r="BF122" s="55"/>
      <c r="BG122" s="1482" t="str">
        <f>X!$C$130</f>
        <v>Jahr</v>
      </c>
      <c r="BH122" s="1483"/>
      <c r="BI122" s="1483"/>
      <c r="BJ122" s="121"/>
    </row>
    <row r="123" spans="2:77" s="28" customFormat="1" ht="6" customHeight="1">
      <c r="B123" s="117"/>
      <c r="C123" s="474"/>
      <c r="D123" s="98"/>
      <c r="E123" s="98"/>
      <c r="F123" s="98"/>
      <c r="G123" s="98"/>
      <c r="H123" s="98"/>
      <c r="I123" s="98"/>
      <c r="J123" s="98"/>
      <c r="K123" s="98"/>
      <c r="L123" s="98"/>
      <c r="M123" s="98"/>
      <c r="N123" s="98"/>
      <c r="O123" s="98"/>
      <c r="P123" s="122"/>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121"/>
      <c r="BP123" s="31"/>
      <c r="BQ123" s="31"/>
      <c r="BR123" s="31"/>
      <c r="BS123" s="31"/>
      <c r="BT123" s="31"/>
      <c r="BU123" s="31"/>
      <c r="BV123" s="31"/>
      <c r="BW123" s="31"/>
      <c r="BX123" s="31"/>
      <c r="BY123" s="31"/>
    </row>
    <row r="124" spans="2:77" s="28" customFormat="1" ht="17.100000000000001" customHeight="1">
      <c r="B124" s="117"/>
      <c r="C124" s="495">
        <v>3.1</v>
      </c>
      <c r="D124" s="536" t="str">
        <f>X!$C$179</f>
        <v>Mittlere Aussentemperatur (0-24h)</v>
      </c>
      <c r="E124" s="98"/>
      <c r="F124" s="98"/>
      <c r="G124" s="98"/>
      <c r="H124" s="98"/>
      <c r="I124" s="98"/>
      <c r="J124" s="163"/>
      <c r="K124" s="98"/>
      <c r="L124" s="98"/>
      <c r="M124" s="98"/>
      <c r="N124" s="98"/>
      <c r="O124" s="98"/>
      <c r="P124" s="122"/>
      <c r="Q124" s="98"/>
      <c r="R124" s="98"/>
      <c r="S124" s="164"/>
      <c r="T124" s="164"/>
      <c r="U124" s="164"/>
      <c r="V124" s="165"/>
      <c r="W124" s="164"/>
      <c r="X124" s="164"/>
      <c r="Y124" s="164"/>
      <c r="Z124" s="166"/>
      <c r="AA124" s="164"/>
      <c r="AB124" s="164"/>
      <c r="AC124" s="164"/>
      <c r="AD124" s="166"/>
      <c r="AE124" s="164"/>
      <c r="AF124" s="164"/>
      <c r="AG124" s="164"/>
      <c r="AH124" s="135"/>
      <c r="AI124" s="167"/>
      <c r="AJ124" s="167"/>
      <c r="AK124" s="167"/>
      <c r="AL124" s="167"/>
      <c r="AM124" s="167"/>
      <c r="AN124" s="135"/>
      <c r="AO124" s="135"/>
      <c r="AP124" s="135"/>
      <c r="AQ124" s="164"/>
      <c r="AR124" s="160"/>
      <c r="AS124" s="160"/>
      <c r="AT124" s="135"/>
      <c r="AU124" s="164"/>
      <c r="AV124" s="160"/>
      <c r="AW124" s="160"/>
      <c r="AX124" s="168"/>
      <c r="AY124" s="164"/>
      <c r="AZ124" s="160"/>
      <c r="BA124" s="160"/>
      <c r="BB124" s="168"/>
      <c r="BC124" s="164"/>
      <c r="BD124" s="160"/>
      <c r="BE124" s="160"/>
      <c r="BF124" s="135"/>
      <c r="BG124" s="167"/>
      <c r="BH124" s="169"/>
      <c r="BI124" s="169"/>
      <c r="BJ124" s="121"/>
      <c r="BP124" s="31"/>
      <c r="BQ124" s="31"/>
      <c r="BR124" s="31"/>
      <c r="BS124" s="31"/>
      <c r="BT124" s="31"/>
      <c r="BU124" s="31"/>
      <c r="BV124" s="31"/>
      <c r="BW124" s="31"/>
      <c r="BX124" s="31"/>
      <c r="BY124" s="31"/>
    </row>
    <row r="125" spans="2:77" s="28" customFormat="1" ht="6" customHeight="1">
      <c r="B125" s="117"/>
      <c r="C125" s="507"/>
      <c r="D125" s="98"/>
      <c r="E125" s="98"/>
      <c r="F125" s="98"/>
      <c r="G125" s="98"/>
      <c r="H125" s="98"/>
      <c r="I125" s="98"/>
      <c r="J125" s="98"/>
      <c r="K125" s="98"/>
      <c r="L125" s="98"/>
      <c r="M125" s="98"/>
      <c r="N125" s="98"/>
      <c r="O125" s="98"/>
      <c r="P125" s="122"/>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121"/>
    </row>
    <row r="126" spans="2:77" s="28" customFormat="1" ht="11.1" customHeight="1">
      <c r="B126" s="117"/>
      <c r="C126" s="508"/>
      <c r="D126" s="163">
        <f>S544</f>
        <v>0</v>
      </c>
      <c r="E126" s="98"/>
      <c r="F126" s="98"/>
      <c r="G126" s="98"/>
      <c r="H126" s="98"/>
      <c r="I126" s="98"/>
      <c r="K126" s="98"/>
      <c r="L126" s="98"/>
      <c r="M126" s="98"/>
      <c r="N126" s="98"/>
      <c r="O126" s="98"/>
      <c r="P126" s="122" t="s">
        <v>108</v>
      </c>
      <c r="Q126" s="98"/>
      <c r="R126" s="98"/>
      <c r="S126" s="1598">
        <f>Y548</f>
        <v>0</v>
      </c>
      <c r="T126" s="1598"/>
      <c r="U126" s="1598"/>
      <c r="V126" s="165"/>
      <c r="W126" s="1598">
        <f>Y558</f>
        <v>0</v>
      </c>
      <c r="X126" s="1598"/>
      <c r="Y126" s="1598"/>
      <c r="Z126" s="166"/>
      <c r="AA126" s="1598">
        <f>Y567</f>
        <v>0</v>
      </c>
      <c r="AB126" s="1598"/>
      <c r="AC126" s="1598"/>
      <c r="AD126" s="166"/>
      <c r="AE126" s="1598">
        <f>Y576</f>
        <v>0</v>
      </c>
      <c r="AF126" s="1598"/>
      <c r="AG126" s="1598"/>
      <c r="AH126" s="135"/>
      <c r="AI126" s="1602">
        <f>AVERAGE(S126:AG126)</f>
        <v>0</v>
      </c>
      <c r="AJ126" s="1602"/>
      <c r="AK126" s="1602"/>
      <c r="AL126" s="659"/>
      <c r="AM126" s="607" t="s">
        <v>292</v>
      </c>
      <c r="AN126" s="607" t="s">
        <v>292</v>
      </c>
      <c r="AO126" s="607" t="s">
        <v>292</v>
      </c>
      <c r="AP126" s="135"/>
      <c r="AQ126" s="1598">
        <f>S126</f>
        <v>0</v>
      </c>
      <c r="AR126" s="1463"/>
      <c r="AS126" s="1463"/>
      <c r="AT126" s="135"/>
      <c r="AU126" s="1598">
        <f>W126</f>
        <v>0</v>
      </c>
      <c r="AV126" s="1463"/>
      <c r="AW126" s="1463"/>
      <c r="AX126" s="168"/>
      <c r="AY126" s="1598">
        <f>AA126</f>
        <v>0</v>
      </c>
      <c r="AZ126" s="1463"/>
      <c r="BA126" s="1463"/>
      <c r="BB126" s="168"/>
      <c r="BC126" s="1598">
        <f>AE126</f>
        <v>0</v>
      </c>
      <c r="BD126" s="1463"/>
      <c r="BE126" s="1463"/>
      <c r="BF126" s="135"/>
      <c r="BG126" s="1602">
        <f>AI126</f>
        <v>0</v>
      </c>
      <c r="BH126" s="1537"/>
      <c r="BI126" s="1537"/>
      <c r="BJ126" s="121"/>
      <c r="BQ126" s="531">
        <f>LEN(BV126)</f>
        <v>153</v>
      </c>
      <c r="BR126" s="531">
        <f>LEN(BW126)</f>
        <v>175</v>
      </c>
      <c r="BS126" s="531">
        <f>LEN(BX126)</f>
        <v>182</v>
      </c>
      <c r="BT126" s="531"/>
      <c r="BU126" s="28" t="s">
        <v>433</v>
      </c>
      <c r="BV126" s="28" t="str">
        <f>X!E421</f>
        <v>Die Mittlere Aussentemperatur der Jahreszeit ist ein Indikator bei der Bestimmung der effektiven Betriebsweise der Kälteanlage (Kondensationstemperatur).</v>
      </c>
      <c r="BW126" s="28" t="str">
        <f>X!F421</f>
        <v>La température extérieure moyenne de la saison est un indicateur pour la détermination du fonctionnement effectif de l'installation frigorifique (température de condensation).</v>
      </c>
      <c r="BX126" s="28" t="str">
        <f>X!G421</f>
        <v>La temperatura esterna media della stagione è un indicatore per la determinazione dell'effettiva modalità di esercizio dell'impianto di refrigerazione (temperatura di condensazione).</v>
      </c>
    </row>
    <row r="127" spans="2:77" s="28" customFormat="1" ht="6" hidden="1" customHeight="1" outlineLevel="1">
      <c r="B127" s="117"/>
      <c r="C127" s="507"/>
      <c r="D127" s="98"/>
      <c r="E127" s="98"/>
      <c r="F127" s="98"/>
      <c r="G127" s="98"/>
      <c r="H127" s="98"/>
      <c r="I127" s="98"/>
      <c r="J127" s="98"/>
      <c r="K127" s="98"/>
      <c r="L127" s="98"/>
      <c r="M127" s="98"/>
      <c r="N127" s="98"/>
      <c r="O127" s="98"/>
      <c r="P127" s="122"/>
      <c r="Q127" s="98"/>
      <c r="R127" s="98"/>
      <c r="S127" s="135"/>
      <c r="T127" s="135"/>
      <c r="U127" s="135"/>
      <c r="V127" s="135"/>
      <c r="W127" s="135"/>
      <c r="X127" s="135"/>
      <c r="Y127" s="135"/>
      <c r="Z127" s="135"/>
      <c r="AA127" s="135"/>
      <c r="AB127" s="135"/>
      <c r="AC127" s="135"/>
      <c r="AD127" s="135"/>
      <c r="AE127" s="135"/>
      <c r="AF127" s="135"/>
      <c r="AG127" s="135"/>
      <c r="AH127" s="135"/>
      <c r="AI127" s="135"/>
      <c r="AJ127" s="135"/>
      <c r="AK127" s="135"/>
      <c r="AL127" s="644"/>
      <c r="AM127" s="594"/>
      <c r="AN127" s="594"/>
      <c r="AO127" s="594"/>
      <c r="AP127" s="135"/>
      <c r="AQ127" s="135"/>
      <c r="AR127" s="135"/>
      <c r="AS127" s="135"/>
      <c r="AT127" s="98"/>
      <c r="AU127" s="98"/>
      <c r="AV127" s="55"/>
      <c r="AW127" s="55"/>
      <c r="AX127" s="55"/>
      <c r="AY127" s="55"/>
      <c r="AZ127" s="55"/>
      <c r="BA127" s="55"/>
      <c r="BB127" s="55"/>
      <c r="BC127" s="55"/>
      <c r="BD127" s="55"/>
      <c r="BE127" s="55"/>
      <c r="BF127" s="55"/>
      <c r="BG127" s="55"/>
      <c r="BH127" s="55"/>
      <c r="BI127" s="55"/>
      <c r="BJ127" s="121"/>
    </row>
    <row r="128" spans="2:77" s="28" customFormat="1" ht="11.1" hidden="1" customHeight="1" outlineLevel="1">
      <c r="B128" s="117"/>
      <c r="C128" s="507"/>
      <c r="D128" s="535" t="str">
        <f>X!$C$27</f>
        <v>Annahme des Planers für das Projekt</v>
      </c>
      <c r="E128" s="98"/>
      <c r="F128" s="98"/>
      <c r="G128" s="98"/>
      <c r="H128" s="98"/>
      <c r="I128" s="98"/>
      <c r="J128" s="98"/>
      <c r="K128" s="98"/>
      <c r="L128" s="98"/>
      <c r="M128" s="98"/>
      <c r="N128" s="98"/>
      <c r="O128" s="98"/>
      <c r="P128" s="122" t="s">
        <v>108</v>
      </c>
      <c r="Q128" s="98"/>
      <c r="R128" s="98"/>
      <c r="S128" s="1594"/>
      <c r="T128" s="1594"/>
      <c r="U128" s="1595"/>
      <c r="V128" s="165"/>
      <c r="W128" s="1594"/>
      <c r="X128" s="1594"/>
      <c r="Y128" s="1595"/>
      <c r="Z128" s="166"/>
      <c r="AA128" s="1594"/>
      <c r="AB128" s="1594"/>
      <c r="AC128" s="1595"/>
      <c r="AD128" s="166"/>
      <c r="AE128" s="1594"/>
      <c r="AF128" s="1594"/>
      <c r="AG128" s="1595"/>
      <c r="AH128" s="135"/>
      <c r="AI128" s="1591">
        <f>IF(SUM(S128:AG128)=0,0,AVERAGE(S128:AG128))</f>
        <v>0</v>
      </c>
      <c r="AJ128" s="1591"/>
      <c r="AK128" s="1591"/>
      <c r="AL128" s="660"/>
      <c r="AM128" s="608" t="s">
        <v>292</v>
      </c>
      <c r="AN128" s="608" t="s">
        <v>292</v>
      </c>
      <c r="AO128" s="608" t="s">
        <v>292</v>
      </c>
      <c r="AP128" s="91"/>
      <c r="AQ128" s="1607"/>
      <c r="AR128" s="1607"/>
      <c r="AS128" s="1608"/>
      <c r="AT128" s="135"/>
      <c r="AU128" s="1607"/>
      <c r="AV128" s="1607"/>
      <c r="AW128" s="1608"/>
      <c r="AX128" s="168"/>
      <c r="AY128" s="1607"/>
      <c r="AZ128" s="1607"/>
      <c r="BA128" s="1608"/>
      <c r="BB128" s="168"/>
      <c r="BC128" s="1607"/>
      <c r="BD128" s="1607"/>
      <c r="BE128" s="1608"/>
      <c r="BF128" s="135"/>
      <c r="BG128" s="1602">
        <f>IF(SUM(AQ128:BE128)=0,0,AVERAGE(AQ128:BE128))</f>
        <v>0</v>
      </c>
      <c r="BH128" s="1537"/>
      <c r="BI128" s="1537"/>
      <c r="BJ128" s="121"/>
      <c r="BL128" s="28" t="s">
        <v>677</v>
      </c>
      <c r="BQ128" s="531">
        <f>LEN(BV128)</f>
        <v>82</v>
      </c>
      <c r="BR128" s="531">
        <f>LEN(BW128)</f>
        <v>71</v>
      </c>
      <c r="BS128" s="531">
        <f>LEN(BX128)</f>
        <v>53</v>
      </c>
      <c r="BT128" s="531"/>
      <c r="BU128" s="28" t="s">
        <v>434</v>
      </c>
      <c r="BV128" s="28" t="str">
        <f>X!E422</f>
        <v>Hier kann die mittlere Temperatur durch den Planer eingegeben werden (informativ).</v>
      </c>
      <c r="BW128" s="28" t="str">
        <f>X!F422</f>
        <v>La température moyenne peut être saisie par le projeteur à cet endroit.</v>
      </c>
      <c r="BX128" s="28" t="str">
        <f>X!G422</f>
        <v>Qui il progettista può inserire la temperatura media.</v>
      </c>
    </row>
    <row r="129" spans="2:76" s="28" customFormat="1" ht="17.100000000000001" customHeight="1" collapsed="1">
      <c r="B129" s="117"/>
      <c r="C129" s="508"/>
      <c r="E129" s="98"/>
      <c r="F129" s="98"/>
      <c r="G129" s="98"/>
      <c r="H129" s="98"/>
      <c r="I129" s="98"/>
      <c r="J129" s="163"/>
      <c r="K129" s="98"/>
      <c r="L129" s="98"/>
      <c r="M129" s="98"/>
      <c r="N129" s="98"/>
      <c r="O129" s="98"/>
      <c r="P129" s="122"/>
      <c r="Q129" s="98"/>
      <c r="R129" s="160"/>
      <c r="S129" s="165"/>
      <c r="T129" s="165"/>
      <c r="U129" s="165"/>
      <c r="V129" s="165"/>
      <c r="W129" s="165"/>
      <c r="X129" s="165"/>
      <c r="Y129" s="165"/>
      <c r="Z129" s="166"/>
      <c r="AA129" s="165"/>
      <c r="AB129" s="165"/>
      <c r="AC129" s="165"/>
      <c r="AD129" s="166"/>
      <c r="AE129" s="165"/>
      <c r="AF129" s="165"/>
      <c r="AG129" s="165"/>
      <c r="AH129" s="135"/>
      <c r="AI129" s="172"/>
      <c r="AJ129" s="172"/>
      <c r="AK129" s="172"/>
      <c r="AL129" s="659"/>
      <c r="AM129" s="414"/>
      <c r="AN129" s="135"/>
      <c r="AO129" s="135"/>
      <c r="AP129" s="135"/>
      <c r="AQ129" s="165"/>
      <c r="AR129" s="135"/>
      <c r="AS129" s="135"/>
      <c r="AT129" s="135"/>
      <c r="AU129" s="165"/>
      <c r="AV129" s="135"/>
      <c r="AW129" s="135"/>
      <c r="AX129" s="168"/>
      <c r="AY129" s="165"/>
      <c r="AZ129" s="135"/>
      <c r="BA129" s="135"/>
      <c r="BB129" s="168"/>
      <c r="BC129" s="165"/>
      <c r="BD129" s="135"/>
      <c r="BE129" s="135"/>
      <c r="BF129" s="135"/>
      <c r="BG129" s="172"/>
      <c r="BH129" s="173"/>
      <c r="BI129" s="173"/>
      <c r="BJ129" s="121"/>
    </row>
    <row r="130" spans="2:76" s="28" customFormat="1" ht="17.100000000000001" customHeight="1">
      <c r="B130" s="117"/>
      <c r="C130" s="495">
        <v>3.2</v>
      </c>
      <c r="D130" s="536" t="str">
        <f>X!$C$81</f>
        <v>Effektive Betriebstemperaturen</v>
      </c>
      <c r="E130" s="98"/>
      <c r="F130" s="98"/>
      <c r="G130" s="98"/>
      <c r="H130" s="98"/>
      <c r="I130" s="98"/>
      <c r="J130" s="163"/>
      <c r="K130" s="98"/>
      <c r="L130" s="98"/>
      <c r="M130" s="98"/>
      <c r="N130" s="98"/>
      <c r="O130" s="98"/>
      <c r="P130" s="122"/>
      <c r="Q130" s="98"/>
      <c r="R130" s="160"/>
      <c r="S130" s="165"/>
      <c r="T130" s="165"/>
      <c r="U130" s="165"/>
      <c r="V130" s="165"/>
      <c r="W130" s="165"/>
      <c r="X130" s="165"/>
      <c r="Y130" s="165"/>
      <c r="Z130" s="166"/>
      <c r="AA130" s="165"/>
      <c r="AB130" s="165"/>
      <c r="AC130" s="165"/>
      <c r="AD130" s="166"/>
      <c r="AE130" s="165"/>
      <c r="AF130" s="165"/>
      <c r="AG130" s="165"/>
      <c r="AH130" s="135"/>
      <c r="AI130" s="172"/>
      <c r="AJ130" s="172"/>
      <c r="AK130" s="172"/>
      <c r="AL130" s="659"/>
      <c r="AM130" s="414"/>
      <c r="AN130" s="135"/>
      <c r="AO130" s="135"/>
      <c r="AP130" s="135"/>
      <c r="AQ130" s="165"/>
      <c r="AR130" s="135"/>
      <c r="AS130" s="135"/>
      <c r="AT130" s="135"/>
      <c r="AU130" s="165"/>
      <c r="AV130" s="135"/>
      <c r="AW130" s="135"/>
      <c r="AX130" s="168"/>
      <c r="AY130" s="165"/>
      <c r="AZ130" s="135"/>
      <c r="BA130" s="135"/>
      <c r="BB130" s="168"/>
      <c r="BC130" s="165"/>
      <c r="BD130" s="135"/>
      <c r="BE130" s="135"/>
      <c r="BF130" s="135"/>
      <c r="BG130" s="172"/>
      <c r="BH130" s="173"/>
      <c r="BI130" s="173"/>
      <c r="BJ130" s="121"/>
      <c r="BP130" s="31"/>
      <c r="BQ130" s="31"/>
      <c r="BR130" s="31"/>
      <c r="BS130" s="31"/>
      <c r="BT130" s="31"/>
      <c r="BU130" s="31"/>
      <c r="BV130" s="31"/>
      <c r="BW130" s="31"/>
      <c r="BX130" s="31"/>
    </row>
    <row r="131" spans="2:76" s="28" customFormat="1" ht="6" customHeight="1">
      <c r="B131" s="117"/>
      <c r="C131" s="507"/>
      <c r="D131" s="98"/>
      <c r="E131" s="98"/>
      <c r="F131" s="98"/>
      <c r="G131" s="98"/>
      <c r="H131" s="98"/>
      <c r="I131" s="98"/>
      <c r="J131" s="98"/>
      <c r="K131" s="98"/>
      <c r="L131" s="98"/>
      <c r="M131" s="98"/>
      <c r="N131" s="98"/>
      <c r="O131" s="98"/>
      <c r="P131" s="122"/>
      <c r="Q131" s="98"/>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160"/>
      <c r="AM131" s="160"/>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21"/>
    </row>
    <row r="132" spans="2:76" s="28" customFormat="1" ht="11.1" customHeight="1">
      <c r="B132" s="117"/>
      <c r="C132" s="474"/>
      <c r="D132" s="535" t="str">
        <f>X!$C$246</f>
        <v>Verdampfungstemperatur</v>
      </c>
      <c r="E132" s="98"/>
      <c r="F132" s="98"/>
      <c r="G132" s="98"/>
      <c r="H132" s="98"/>
      <c r="I132" s="98"/>
      <c r="J132" s="98"/>
      <c r="K132" s="98"/>
      <c r="L132" s="98"/>
      <c r="M132" s="98"/>
      <c r="N132" s="98"/>
      <c r="O132" s="98"/>
      <c r="P132" s="122" t="s">
        <v>108</v>
      </c>
      <c r="Q132" s="98"/>
      <c r="R132" s="98"/>
      <c r="S132" s="1581"/>
      <c r="T132" s="1581"/>
      <c r="U132" s="1582"/>
      <c r="V132" s="165"/>
      <c r="W132" s="1581"/>
      <c r="X132" s="1581"/>
      <c r="Y132" s="1582"/>
      <c r="Z132" s="166"/>
      <c r="AA132" s="1581"/>
      <c r="AB132" s="1581"/>
      <c r="AC132" s="1582"/>
      <c r="AD132" s="166"/>
      <c r="AE132" s="1581"/>
      <c r="AF132" s="1581"/>
      <c r="AG132" s="1582"/>
      <c r="AH132" s="135"/>
      <c r="AI132" s="1462"/>
      <c r="AJ132" s="1462"/>
      <c r="AK132" s="1462"/>
      <c r="AL132" s="646"/>
      <c r="AM132" s="412"/>
      <c r="AN132" s="91"/>
      <c r="AO132" s="91"/>
      <c r="AP132" s="91"/>
      <c r="AQ132" s="1603"/>
      <c r="AR132" s="1603"/>
      <c r="AS132" s="1604"/>
      <c r="AT132" s="621"/>
      <c r="AU132" s="1603"/>
      <c r="AV132" s="1603"/>
      <c r="AW132" s="1604"/>
      <c r="AX132" s="175"/>
      <c r="AY132" s="1603"/>
      <c r="AZ132" s="1603"/>
      <c r="BA132" s="1604"/>
      <c r="BB132" s="175"/>
      <c r="BC132" s="1603"/>
      <c r="BD132" s="1603"/>
      <c r="BE132" s="1604"/>
      <c r="BF132" s="618"/>
      <c r="BG132" s="1537"/>
      <c r="BH132" s="1537"/>
      <c r="BI132" s="1537"/>
      <c r="BJ132" s="121"/>
      <c r="BP132" s="209"/>
      <c r="BQ132" s="209"/>
      <c r="BR132" s="209"/>
      <c r="BS132" s="209"/>
      <c r="BT132" s="209"/>
      <c r="BU132" s="209"/>
      <c r="BV132" s="209"/>
      <c r="BW132" s="209"/>
      <c r="BX132" s="209"/>
    </row>
    <row r="133" spans="2:76" s="28" customFormat="1" ht="6" customHeight="1">
      <c r="B133" s="117"/>
      <c r="C133" s="474"/>
      <c r="D133" s="98"/>
      <c r="E133" s="98"/>
      <c r="F133" s="98"/>
      <c r="G133" s="98"/>
      <c r="H133" s="98"/>
      <c r="I133" s="98"/>
      <c r="J133" s="98"/>
      <c r="K133" s="98"/>
      <c r="L133" s="98"/>
      <c r="M133" s="98"/>
      <c r="N133" s="98"/>
      <c r="O133" s="98"/>
      <c r="P133" s="122"/>
      <c r="Q133" s="98"/>
      <c r="R133" s="98"/>
      <c r="S133" s="135"/>
      <c r="T133" s="135"/>
      <c r="U133" s="135"/>
      <c r="V133" s="135"/>
      <c r="W133" s="135"/>
      <c r="X133" s="135"/>
      <c r="Y133" s="135"/>
      <c r="Z133" s="135"/>
      <c r="AA133" s="135"/>
      <c r="AB133" s="135"/>
      <c r="AC133" s="135"/>
      <c r="AD133" s="135"/>
      <c r="AE133" s="135"/>
      <c r="AF133" s="135"/>
      <c r="AG133" s="135"/>
      <c r="AH133" s="135"/>
      <c r="AI133" s="135"/>
      <c r="AJ133" s="135"/>
      <c r="AK133" s="135"/>
      <c r="AL133" s="644"/>
      <c r="AM133" s="405"/>
      <c r="AN133" s="135"/>
      <c r="AO133" s="135"/>
      <c r="AP133" s="135"/>
      <c r="AQ133" s="135"/>
      <c r="AR133" s="135"/>
      <c r="AS133" s="135"/>
      <c r="AT133" s="98"/>
      <c r="AU133" s="98"/>
      <c r="AV133" s="55"/>
      <c r="AW133" s="55"/>
      <c r="AX133" s="55"/>
      <c r="AY133" s="55"/>
      <c r="AZ133" s="55"/>
      <c r="BA133" s="55"/>
      <c r="BB133" s="55"/>
      <c r="BC133" s="55"/>
      <c r="BD133" s="55"/>
      <c r="BE133" s="55"/>
      <c r="BF133" s="55"/>
      <c r="BG133" s="135"/>
      <c r="BH133" s="135"/>
      <c r="BI133" s="135"/>
      <c r="BJ133" s="121"/>
    </row>
    <row r="134" spans="2:76" s="28" customFormat="1" ht="11.1" customHeight="1">
      <c r="B134" s="117"/>
      <c r="C134" s="474"/>
      <c r="D134" s="535" t="str">
        <f>X!$C$254</f>
        <v>Verflüssigungstemperatur</v>
      </c>
      <c r="E134" s="98"/>
      <c r="F134" s="98"/>
      <c r="G134" s="98"/>
      <c r="H134" s="98"/>
      <c r="I134" s="98"/>
      <c r="J134" s="98"/>
      <c r="K134" s="98"/>
      <c r="L134" s="98"/>
      <c r="M134" s="98"/>
      <c r="N134" s="98"/>
      <c r="O134" s="98"/>
      <c r="P134" s="122" t="s">
        <v>108</v>
      </c>
      <c r="Q134" s="98"/>
      <c r="R134" s="98"/>
      <c r="S134" s="1581"/>
      <c r="T134" s="1581"/>
      <c r="U134" s="1582"/>
      <c r="V134" s="634" t="str">
        <f>V668</f>
        <v/>
      </c>
      <c r="W134" s="1581"/>
      <c r="X134" s="1581"/>
      <c r="Y134" s="1582"/>
      <c r="Z134" s="634" t="str">
        <f>Z668</f>
        <v/>
      </c>
      <c r="AA134" s="1581"/>
      <c r="AB134" s="1581"/>
      <c r="AC134" s="1582"/>
      <c r="AD134" s="634" t="str">
        <f>AD668</f>
        <v/>
      </c>
      <c r="AE134" s="1581"/>
      <c r="AF134" s="1581"/>
      <c r="AG134" s="1582"/>
      <c r="AH134" s="634" t="str">
        <f>AH668</f>
        <v/>
      </c>
      <c r="AI134" s="1561"/>
      <c r="AJ134" s="1561"/>
      <c r="AK134" s="1561"/>
      <c r="AL134" s="646"/>
      <c r="AM134" s="633"/>
      <c r="AN134" s="91"/>
      <c r="AO134" s="91"/>
      <c r="AP134" s="91"/>
      <c r="AQ134" s="1603"/>
      <c r="AR134" s="1603"/>
      <c r="AS134" s="1604"/>
      <c r="AT134" s="634"/>
      <c r="AU134" s="1603"/>
      <c r="AV134" s="1603"/>
      <c r="AW134" s="1604"/>
      <c r="AX134" s="634"/>
      <c r="AY134" s="1603"/>
      <c r="AZ134" s="1603"/>
      <c r="BA134" s="1604"/>
      <c r="BB134" s="634"/>
      <c r="BC134" s="1603"/>
      <c r="BD134" s="1603"/>
      <c r="BE134" s="1604"/>
      <c r="BF134" s="634" t="str">
        <f>BF668</f>
        <v/>
      </c>
      <c r="BG134" s="1601"/>
      <c r="BH134" s="1601"/>
      <c r="BI134" s="1601"/>
      <c r="BJ134" s="121"/>
    </row>
    <row r="135" spans="2:76" s="28" customFormat="1" ht="11.1" customHeight="1">
      <c r="B135" s="117"/>
      <c r="C135" s="663"/>
      <c r="D135" s="535"/>
      <c r="E135" s="98"/>
      <c r="F135" s="98"/>
      <c r="G135" s="98"/>
      <c r="H135" s="98"/>
      <c r="I135" s="98"/>
      <c r="J135" s="98"/>
      <c r="K135" s="98"/>
      <c r="L135" s="98"/>
      <c r="M135" s="98"/>
      <c r="N135" s="98"/>
      <c r="O135" s="98"/>
      <c r="P135" s="122"/>
      <c r="Q135" s="98"/>
      <c r="R135" s="98"/>
      <c r="S135" s="643"/>
      <c r="T135" s="643"/>
      <c r="U135" s="643"/>
      <c r="V135" s="654"/>
      <c r="W135" s="643"/>
      <c r="X135" s="643"/>
      <c r="Y135" s="643"/>
      <c r="Z135" s="166"/>
      <c r="AA135" s="643"/>
      <c r="AB135" s="643"/>
      <c r="AC135" s="643"/>
      <c r="AD135" s="166"/>
      <c r="AE135" s="643"/>
      <c r="AF135" s="643"/>
      <c r="AG135" s="643"/>
      <c r="AH135" s="644"/>
      <c r="AI135" s="646"/>
      <c r="AJ135" s="646"/>
      <c r="AK135" s="646"/>
      <c r="AL135" s="646"/>
      <c r="AM135" s="646"/>
      <c r="AN135" s="652"/>
      <c r="AO135" s="652"/>
      <c r="AP135" s="652"/>
      <c r="AQ135" s="661"/>
      <c r="AR135" s="661"/>
      <c r="AS135" s="661"/>
      <c r="AT135" s="653"/>
      <c r="AU135" s="661"/>
      <c r="AV135" s="661"/>
      <c r="AW135" s="661"/>
      <c r="AX135" s="175"/>
      <c r="AY135" s="661"/>
      <c r="AZ135" s="661"/>
      <c r="BA135" s="661"/>
      <c r="BB135" s="175"/>
      <c r="BC135" s="661"/>
      <c r="BD135" s="661"/>
      <c r="BE135" s="661"/>
      <c r="BF135" s="644"/>
      <c r="BG135" s="647"/>
      <c r="BH135" s="647"/>
      <c r="BI135" s="647"/>
      <c r="BJ135" s="121"/>
    </row>
    <row r="136" spans="2:76" s="28" customFormat="1" ht="11.1" customHeight="1">
      <c r="B136" s="117"/>
      <c r="C136" s="624"/>
      <c r="D136" s="535"/>
      <c r="E136" s="98"/>
      <c r="F136" s="98"/>
      <c r="G136" s="98"/>
      <c r="H136" s="98"/>
      <c r="I136" s="98"/>
      <c r="J136" s="98"/>
      <c r="K136" s="98"/>
      <c r="L136" s="98"/>
      <c r="M136" s="98"/>
      <c r="N136" s="98"/>
      <c r="O136" s="98"/>
      <c r="P136" s="122"/>
      <c r="Q136" s="98"/>
      <c r="R136" s="98"/>
      <c r="S136" s="1613" t="str">
        <f>S670</f>
        <v/>
      </c>
      <c r="T136" s="1613"/>
      <c r="U136" s="1613"/>
      <c r="V136" s="1613"/>
      <c r="W136" s="1613"/>
      <c r="X136" s="1613"/>
      <c r="Y136" s="1613"/>
      <c r="Z136" s="1613"/>
      <c r="AA136" s="1613"/>
      <c r="AB136" s="1613"/>
      <c r="AC136" s="1613"/>
      <c r="AD136" s="1613"/>
      <c r="AE136" s="1613"/>
      <c r="AF136" s="1613"/>
      <c r="AG136" s="1613"/>
      <c r="AH136" s="1613"/>
      <c r="AI136" s="1613"/>
      <c r="AJ136" s="1613"/>
      <c r="AK136" s="1613"/>
      <c r="AL136" s="646"/>
      <c r="AM136" s="620"/>
      <c r="AN136" s="617"/>
      <c r="AO136" s="617"/>
      <c r="AP136" s="617"/>
      <c r="AQ136" s="1613" t="str">
        <f>AQ670</f>
        <v/>
      </c>
      <c r="AR136" s="1613"/>
      <c r="AS136" s="1613"/>
      <c r="AT136" s="1613"/>
      <c r="AU136" s="1613"/>
      <c r="AV136" s="1613"/>
      <c r="AW136" s="1613"/>
      <c r="AX136" s="1613"/>
      <c r="AY136" s="1613"/>
      <c r="AZ136" s="1613"/>
      <c r="BA136" s="1613"/>
      <c r="BB136" s="1613"/>
      <c r="BC136" s="1613"/>
      <c r="BD136" s="1613"/>
      <c r="BE136" s="1613"/>
      <c r="BF136" s="1613"/>
      <c r="BG136" s="1613"/>
      <c r="BH136" s="1613"/>
      <c r="BI136" s="1613"/>
      <c r="BJ136" s="121"/>
    </row>
    <row r="137" spans="2:76" s="28" customFormat="1" ht="17.100000000000001" customHeight="1">
      <c r="B137" s="117"/>
      <c r="C137" s="508"/>
      <c r="E137" s="98"/>
      <c r="F137" s="98"/>
      <c r="G137" s="98"/>
      <c r="H137" s="98"/>
      <c r="I137" s="98"/>
      <c r="J137" s="163"/>
      <c r="K137" s="98"/>
      <c r="L137" s="98"/>
      <c r="M137" s="98"/>
      <c r="N137" s="98"/>
      <c r="O137" s="98"/>
      <c r="P137" s="122"/>
      <c r="Q137" s="98"/>
      <c r="R137" s="98"/>
      <c r="S137" s="164"/>
      <c r="T137" s="164"/>
      <c r="U137" s="164"/>
      <c r="V137" s="165"/>
      <c r="W137" s="164"/>
      <c r="X137" s="164"/>
      <c r="Y137" s="164"/>
      <c r="Z137" s="166"/>
      <c r="AA137" s="164"/>
      <c r="AB137" s="164"/>
      <c r="AC137" s="164"/>
      <c r="AD137" s="166"/>
      <c r="AE137" s="164"/>
      <c r="AF137" s="164"/>
      <c r="AG137" s="164"/>
      <c r="AH137" s="135"/>
      <c r="AI137" s="167"/>
      <c r="AJ137" s="167"/>
      <c r="AK137" s="167"/>
      <c r="AL137" s="167"/>
      <c r="AM137" s="167"/>
      <c r="AN137" s="135"/>
      <c r="AO137" s="135"/>
      <c r="AP137" s="135"/>
      <c r="AQ137" s="164"/>
      <c r="AR137" s="160"/>
      <c r="AS137" s="160"/>
      <c r="AT137" s="135"/>
      <c r="AU137" s="164"/>
      <c r="AV137" s="160"/>
      <c r="AW137" s="160"/>
      <c r="AX137" s="168"/>
      <c r="AY137" s="164"/>
      <c r="AZ137" s="160"/>
      <c r="BA137" s="160"/>
      <c r="BB137" s="168"/>
      <c r="BC137" s="164"/>
      <c r="BD137" s="160"/>
      <c r="BE137" s="160"/>
      <c r="BF137" s="135"/>
      <c r="BG137" s="167"/>
      <c r="BH137" s="169"/>
      <c r="BI137" s="169"/>
      <c r="BJ137" s="121"/>
      <c r="BP137" s="31"/>
      <c r="BQ137" s="31"/>
      <c r="BR137" s="31"/>
      <c r="BS137" s="31"/>
      <c r="BT137" s="31"/>
      <c r="BU137" s="31"/>
      <c r="BV137" s="31"/>
      <c r="BW137" s="31"/>
      <c r="BX137" s="31"/>
    </row>
    <row r="138" spans="2:76" s="28" customFormat="1" ht="17.100000000000001" customHeight="1">
      <c r="B138" s="117"/>
      <c r="C138" s="495">
        <v>3.3</v>
      </c>
      <c r="D138" s="536" t="str">
        <f>X!$C$91</f>
        <v>elektrische Leistungsaufnahme Verdichter</v>
      </c>
      <c r="E138" s="98"/>
      <c r="F138" s="98"/>
      <c r="G138" s="98"/>
      <c r="H138" s="98"/>
      <c r="I138" s="98"/>
      <c r="J138" s="163"/>
      <c r="K138" s="98"/>
      <c r="L138" s="98"/>
      <c r="M138" s="98"/>
      <c r="N138" s="98"/>
      <c r="O138" s="98"/>
      <c r="P138" s="122"/>
      <c r="Q138" s="98"/>
      <c r="R138" s="98"/>
      <c r="S138" s="1598" t="str">
        <f>CONCATENATE(S132,"/ +",S134)</f>
        <v>/ +</v>
      </c>
      <c r="T138" s="1598"/>
      <c r="U138" s="1598"/>
      <c r="V138" s="165"/>
      <c r="W138" s="1598" t="str">
        <f>CONCATENATE(W132,"/ +",W134)</f>
        <v>/ +</v>
      </c>
      <c r="X138" s="1598"/>
      <c r="Y138" s="1598"/>
      <c r="Z138" s="166"/>
      <c r="AA138" s="1598" t="str">
        <f>CONCATENATE(AA132,"/ +",AA134)</f>
        <v>/ +</v>
      </c>
      <c r="AB138" s="1598"/>
      <c r="AC138" s="1598"/>
      <c r="AD138" s="166"/>
      <c r="AE138" s="1598" t="str">
        <f>CONCATENATE(AE132,"/ +",AE134)</f>
        <v>/ +</v>
      </c>
      <c r="AF138" s="1598"/>
      <c r="AG138" s="1598"/>
      <c r="AH138" s="135"/>
      <c r="AI138" s="167"/>
      <c r="AJ138" s="167"/>
      <c r="AK138" s="167"/>
      <c r="AL138" s="167"/>
      <c r="AM138" s="607" t="s">
        <v>292</v>
      </c>
      <c r="AN138" s="607" t="s">
        <v>292</v>
      </c>
      <c r="AO138" s="607" t="s">
        <v>292</v>
      </c>
      <c r="AP138" s="135"/>
      <c r="AQ138" s="1598" t="str">
        <f>CONCATENATE(AQ132,"/ +",AQ134)</f>
        <v>/ +</v>
      </c>
      <c r="AR138" s="1598"/>
      <c r="AS138" s="1598"/>
      <c r="AT138" s="135"/>
      <c r="AU138" s="1598" t="str">
        <f>CONCATENATE(AU132,"/ +",AU134)</f>
        <v>/ +</v>
      </c>
      <c r="AV138" s="1598"/>
      <c r="AW138" s="1598"/>
      <c r="AX138" s="168"/>
      <c r="AY138" s="1598" t="str">
        <f>CONCATENATE(AY132,"/ +",AY134)</f>
        <v>/ +</v>
      </c>
      <c r="AZ138" s="1598"/>
      <c r="BA138" s="1598"/>
      <c r="BB138" s="168"/>
      <c r="BC138" s="1598" t="str">
        <f>CONCATENATE(BC132,"/ +",BC134)</f>
        <v>/ +</v>
      </c>
      <c r="BD138" s="1598"/>
      <c r="BE138" s="1598"/>
      <c r="BF138" s="135"/>
      <c r="BG138" s="167"/>
      <c r="BH138" s="169"/>
      <c r="BI138" s="169"/>
      <c r="BJ138" s="121"/>
      <c r="BP138" s="31"/>
      <c r="BQ138" s="31"/>
      <c r="BR138" s="31"/>
      <c r="BS138" s="31"/>
      <c r="BT138" s="31"/>
      <c r="BU138" s="31"/>
      <c r="BV138" s="31"/>
      <c r="BW138" s="31"/>
      <c r="BX138" s="31"/>
    </row>
    <row r="139" spans="2:76" s="28" customFormat="1" ht="6" customHeight="1">
      <c r="B139" s="117"/>
      <c r="C139" s="507"/>
      <c r="D139" s="98"/>
      <c r="E139" s="98"/>
      <c r="F139" s="98"/>
      <c r="G139" s="98"/>
      <c r="H139" s="98"/>
      <c r="I139" s="98"/>
      <c r="J139" s="98"/>
      <c r="K139" s="98"/>
      <c r="L139" s="98"/>
      <c r="M139" s="98"/>
      <c r="N139" s="98"/>
      <c r="O139" s="98"/>
      <c r="P139" s="122"/>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8"/>
      <c r="BD139" s="98"/>
      <c r="BE139" s="98"/>
      <c r="BF139" s="98"/>
      <c r="BG139" s="98"/>
      <c r="BH139" s="98"/>
      <c r="BI139" s="98"/>
      <c r="BJ139" s="121"/>
      <c r="BP139" s="31"/>
      <c r="BQ139" s="31"/>
      <c r="BR139" s="31"/>
      <c r="BS139" s="31"/>
      <c r="BT139" s="31"/>
      <c r="BU139" s="31"/>
      <c r="BV139" s="31"/>
      <c r="BW139" s="31"/>
      <c r="BX139" s="31"/>
    </row>
    <row r="140" spans="2:76" s="28" customFormat="1" ht="11.1" customHeight="1">
      <c r="B140" s="117"/>
      <c r="C140" s="474"/>
      <c r="D140" s="98" t="str">
        <f>D56</f>
        <v>Verdichter 1</v>
      </c>
      <c r="E140" s="98"/>
      <c r="F140" s="98"/>
      <c r="G140" s="55"/>
      <c r="H140" s="98"/>
      <c r="I140" s="55"/>
      <c r="J140" s="55"/>
      <c r="K140" s="98"/>
      <c r="L140" s="98"/>
      <c r="M140" s="55"/>
      <c r="N140" s="55"/>
      <c r="O140" s="55"/>
      <c r="P140" s="122" t="s">
        <v>186</v>
      </c>
      <c r="Q140" s="55"/>
      <c r="R140" s="98"/>
      <c r="S140" s="1599"/>
      <c r="T140" s="1599"/>
      <c r="U140" s="1600"/>
      <c r="V140" s="174"/>
      <c r="W140" s="1599"/>
      <c r="X140" s="1599"/>
      <c r="Y140" s="1600"/>
      <c r="Z140" s="175"/>
      <c r="AA140" s="1599"/>
      <c r="AB140" s="1599"/>
      <c r="AC140" s="1600"/>
      <c r="AD140" s="175"/>
      <c r="AE140" s="1599"/>
      <c r="AF140" s="1599"/>
      <c r="AG140" s="1600"/>
      <c r="AH140" s="158"/>
      <c r="AI140" s="1462"/>
      <c r="AJ140" s="1462"/>
      <c r="AK140" s="1462"/>
      <c r="AL140" s="646"/>
      <c r="AM140" s="412"/>
      <c r="AN140" s="176"/>
      <c r="AO140" s="176"/>
      <c r="AP140" s="176"/>
      <c r="AQ140" s="1599"/>
      <c r="AR140" s="1599"/>
      <c r="AS140" s="1600"/>
      <c r="AT140" s="174"/>
      <c r="AU140" s="1599"/>
      <c r="AV140" s="1599"/>
      <c r="AW140" s="1600"/>
      <c r="AX140" s="175"/>
      <c r="AY140" s="1599"/>
      <c r="AZ140" s="1599"/>
      <c r="BA140" s="1600"/>
      <c r="BB140" s="175"/>
      <c r="BC140" s="1599"/>
      <c r="BD140" s="1599"/>
      <c r="BE140" s="1600"/>
      <c r="BF140" s="135"/>
      <c r="BG140" s="1537"/>
      <c r="BH140" s="1537"/>
      <c r="BI140" s="1537"/>
      <c r="BJ140" s="121"/>
      <c r="BP140" s="31"/>
      <c r="BQ140" s="31"/>
      <c r="BR140" s="31"/>
      <c r="BS140" s="31"/>
      <c r="BT140" s="31"/>
      <c r="BU140" s="31"/>
      <c r="BV140" s="31"/>
      <c r="BW140" s="31"/>
      <c r="BX140" s="31"/>
    </row>
    <row r="141" spans="2:76" s="28" customFormat="1" ht="6" customHeight="1">
      <c r="B141" s="117"/>
      <c r="C141" s="474"/>
      <c r="D141" s="118"/>
      <c r="E141" s="118"/>
      <c r="F141" s="118"/>
      <c r="G141" s="118"/>
      <c r="H141" s="118"/>
      <c r="I141" s="118"/>
      <c r="J141" s="118"/>
      <c r="K141" s="118"/>
      <c r="L141" s="118"/>
      <c r="M141" s="118"/>
      <c r="N141" s="118"/>
      <c r="O141" s="118"/>
      <c r="P141" s="119"/>
      <c r="Q141" s="98"/>
      <c r="R141" s="98"/>
      <c r="S141" s="174"/>
      <c r="T141" s="174"/>
      <c r="U141" s="174"/>
      <c r="V141" s="174"/>
      <c r="W141" s="174"/>
      <c r="X141" s="174"/>
      <c r="Y141" s="174"/>
      <c r="Z141" s="174"/>
      <c r="AA141" s="174"/>
      <c r="AB141" s="174"/>
      <c r="AC141" s="174"/>
      <c r="AD141" s="174"/>
      <c r="AE141" s="174"/>
      <c r="AF141" s="174"/>
      <c r="AG141" s="174"/>
      <c r="AH141" s="158"/>
      <c r="AI141" s="158"/>
      <c r="AJ141" s="158"/>
      <c r="AK141" s="158"/>
      <c r="AL141" s="645"/>
      <c r="AM141" s="411"/>
      <c r="AN141" s="158"/>
      <c r="AO141" s="158"/>
      <c r="AP141" s="158"/>
      <c r="AQ141" s="174"/>
      <c r="AR141" s="174"/>
      <c r="AS141" s="174"/>
      <c r="AT141" s="174"/>
      <c r="AU141" s="174"/>
      <c r="AV141" s="174"/>
      <c r="AW141" s="174"/>
      <c r="AX141" s="174"/>
      <c r="AY141" s="174"/>
      <c r="AZ141" s="174"/>
      <c r="BA141" s="174"/>
      <c r="BB141" s="174"/>
      <c r="BC141" s="174"/>
      <c r="BD141" s="174"/>
      <c r="BE141" s="174"/>
      <c r="BF141" s="55"/>
      <c r="BG141" s="55"/>
      <c r="BH141" s="55"/>
      <c r="BI141" s="55"/>
      <c r="BJ141" s="121"/>
      <c r="BP141" s="116"/>
      <c r="BQ141" s="116"/>
      <c r="BR141" s="116"/>
      <c r="BS141" s="116"/>
      <c r="BT141" s="116"/>
      <c r="BU141" s="116"/>
      <c r="BV141" s="116"/>
      <c r="BW141" s="116"/>
      <c r="BX141" s="116"/>
    </row>
    <row r="142" spans="2:76" s="183" customFormat="1" ht="11.1" customHeight="1">
      <c r="B142" s="177"/>
      <c r="C142" s="509"/>
      <c r="D142" s="98" t="str">
        <f>D58</f>
        <v>Verdichter 2</v>
      </c>
      <c r="E142" s="98"/>
      <c r="F142" s="98"/>
      <c r="G142" s="55"/>
      <c r="H142" s="98"/>
      <c r="I142" s="55"/>
      <c r="J142" s="55"/>
      <c r="K142" s="98"/>
      <c r="L142" s="98"/>
      <c r="M142" s="55"/>
      <c r="N142" s="55"/>
      <c r="O142" s="55"/>
      <c r="P142" s="122" t="s">
        <v>186</v>
      </c>
      <c r="Q142" s="179"/>
      <c r="R142" s="178"/>
      <c r="S142" s="1599"/>
      <c r="T142" s="1599"/>
      <c r="U142" s="1600"/>
      <c r="V142" s="174"/>
      <c r="W142" s="1599"/>
      <c r="X142" s="1599"/>
      <c r="Y142" s="1600"/>
      <c r="Z142" s="175"/>
      <c r="AA142" s="1599"/>
      <c r="AB142" s="1599"/>
      <c r="AC142" s="1600"/>
      <c r="AD142" s="175"/>
      <c r="AE142" s="1599"/>
      <c r="AF142" s="1599"/>
      <c r="AG142" s="1600"/>
      <c r="AH142" s="180"/>
      <c r="AI142" s="1605"/>
      <c r="AJ142" s="1605"/>
      <c r="AK142" s="1605"/>
      <c r="AL142" s="658"/>
      <c r="AM142" s="415"/>
      <c r="AN142" s="180"/>
      <c r="AO142" s="180"/>
      <c r="AP142" s="180"/>
      <c r="AQ142" s="1599"/>
      <c r="AR142" s="1599"/>
      <c r="AS142" s="1600"/>
      <c r="AT142" s="174"/>
      <c r="AU142" s="1599"/>
      <c r="AV142" s="1599"/>
      <c r="AW142" s="1600"/>
      <c r="AX142" s="175"/>
      <c r="AY142" s="1599"/>
      <c r="AZ142" s="1599"/>
      <c r="BA142" s="1600"/>
      <c r="BB142" s="175"/>
      <c r="BC142" s="1599"/>
      <c r="BD142" s="1599"/>
      <c r="BE142" s="1600"/>
      <c r="BF142" s="181"/>
      <c r="BG142" s="1686"/>
      <c r="BH142" s="1686"/>
      <c r="BI142" s="1686"/>
      <c r="BJ142" s="182"/>
      <c r="BP142" s="28"/>
      <c r="BQ142" s="28"/>
      <c r="BR142" s="28"/>
      <c r="BS142" s="28"/>
      <c r="BT142" s="28"/>
      <c r="BU142" s="28"/>
      <c r="BV142" s="28"/>
      <c r="BW142" s="28"/>
      <c r="BX142" s="28"/>
    </row>
    <row r="143" spans="2:76" s="183" customFormat="1" ht="6" customHeight="1">
      <c r="B143" s="177"/>
      <c r="C143" s="509"/>
      <c r="D143" s="118"/>
      <c r="E143" s="118"/>
      <c r="F143" s="118"/>
      <c r="G143" s="118"/>
      <c r="H143" s="118"/>
      <c r="I143" s="118"/>
      <c r="J143" s="118"/>
      <c r="K143" s="118"/>
      <c r="L143" s="118"/>
      <c r="M143" s="118"/>
      <c r="N143" s="118"/>
      <c r="O143" s="118"/>
      <c r="P143" s="119"/>
      <c r="Q143" s="178"/>
      <c r="R143" s="178"/>
      <c r="S143" s="174"/>
      <c r="T143" s="174"/>
      <c r="U143" s="174"/>
      <c r="V143" s="174"/>
      <c r="W143" s="174"/>
      <c r="X143" s="174"/>
      <c r="Y143" s="174"/>
      <c r="Z143" s="174"/>
      <c r="AA143" s="174"/>
      <c r="AB143" s="174"/>
      <c r="AC143" s="174"/>
      <c r="AD143" s="174"/>
      <c r="AE143" s="174"/>
      <c r="AF143" s="174"/>
      <c r="AG143" s="174"/>
      <c r="AH143" s="180"/>
      <c r="AI143" s="180"/>
      <c r="AJ143" s="180"/>
      <c r="AK143" s="180"/>
      <c r="AL143" s="180"/>
      <c r="AM143" s="180"/>
      <c r="AN143" s="180"/>
      <c r="AO143" s="180"/>
      <c r="AP143" s="180"/>
      <c r="AQ143" s="174"/>
      <c r="AR143" s="174"/>
      <c r="AS143" s="174"/>
      <c r="AT143" s="174"/>
      <c r="AU143" s="174"/>
      <c r="AV143" s="174"/>
      <c r="AW143" s="174"/>
      <c r="AX143" s="174"/>
      <c r="AY143" s="174"/>
      <c r="AZ143" s="174"/>
      <c r="BA143" s="174"/>
      <c r="BB143" s="174"/>
      <c r="BC143" s="174"/>
      <c r="BD143" s="174"/>
      <c r="BE143" s="174"/>
      <c r="BF143" s="179"/>
      <c r="BG143" s="179"/>
      <c r="BH143" s="179"/>
      <c r="BI143" s="179"/>
      <c r="BJ143" s="182"/>
      <c r="BP143" s="139"/>
      <c r="BQ143" s="139"/>
      <c r="BR143" s="139"/>
      <c r="BS143" s="139"/>
      <c r="BT143" s="139"/>
      <c r="BU143" s="139"/>
      <c r="BV143" s="139"/>
      <c r="BW143" s="139"/>
      <c r="BX143" s="139"/>
    </row>
    <row r="144" spans="2:76" s="183" customFormat="1" ht="11.1" customHeight="1">
      <c r="B144" s="177"/>
      <c r="C144" s="509"/>
      <c r="D144" s="98" t="str">
        <f>D60</f>
        <v>Verdichter 3</v>
      </c>
      <c r="E144" s="98"/>
      <c r="F144" s="98"/>
      <c r="G144" s="55"/>
      <c r="H144" s="98"/>
      <c r="I144" s="55"/>
      <c r="J144" s="55"/>
      <c r="K144" s="98"/>
      <c r="L144" s="98"/>
      <c r="M144" s="55"/>
      <c r="N144" s="55"/>
      <c r="O144" s="55"/>
      <c r="P144" s="122" t="s">
        <v>186</v>
      </c>
      <c r="Q144" s="179"/>
      <c r="R144" s="178"/>
      <c r="S144" s="1599"/>
      <c r="T144" s="1599"/>
      <c r="U144" s="1600"/>
      <c r="V144" s="174"/>
      <c r="W144" s="1599"/>
      <c r="X144" s="1599"/>
      <c r="Y144" s="1600"/>
      <c r="Z144" s="175"/>
      <c r="AA144" s="1599"/>
      <c r="AB144" s="1599"/>
      <c r="AC144" s="1600"/>
      <c r="AD144" s="175"/>
      <c r="AE144" s="1599"/>
      <c r="AF144" s="1599"/>
      <c r="AG144" s="1600"/>
      <c r="AH144" s="180"/>
      <c r="AI144" s="1605"/>
      <c r="AJ144" s="1605"/>
      <c r="AK144" s="1605"/>
      <c r="AL144" s="658"/>
      <c r="AM144" s="415"/>
      <c r="AN144" s="180"/>
      <c r="AO144" s="180"/>
      <c r="AP144" s="180"/>
      <c r="AQ144" s="1599"/>
      <c r="AR144" s="1599"/>
      <c r="AS144" s="1600"/>
      <c r="AT144" s="1204"/>
      <c r="AU144" s="1599"/>
      <c r="AV144" s="1599"/>
      <c r="AW144" s="1600"/>
      <c r="AX144" s="175"/>
      <c r="AY144" s="1599"/>
      <c r="AZ144" s="1599"/>
      <c r="BA144" s="1600"/>
      <c r="BB144" s="175"/>
      <c r="BC144" s="1599"/>
      <c r="BD144" s="1599"/>
      <c r="BE144" s="1600"/>
      <c r="BF144" s="181"/>
      <c r="BG144" s="1686"/>
      <c r="BH144" s="1686"/>
      <c r="BI144" s="1686"/>
      <c r="BJ144" s="182"/>
      <c r="BP144" s="28"/>
      <c r="BQ144" s="28"/>
      <c r="BR144" s="28"/>
      <c r="BS144" s="28"/>
      <c r="BT144" s="28"/>
      <c r="BU144" s="28"/>
      <c r="BV144" s="28"/>
      <c r="BW144" s="28"/>
      <c r="BX144" s="28"/>
    </row>
    <row r="145" spans="2:76" s="183" customFormat="1" ht="6" customHeight="1">
      <c r="B145" s="177"/>
      <c r="C145" s="509"/>
      <c r="D145" s="118"/>
      <c r="E145" s="118"/>
      <c r="F145" s="118"/>
      <c r="G145" s="118"/>
      <c r="H145" s="118"/>
      <c r="I145" s="118"/>
      <c r="J145" s="118"/>
      <c r="K145" s="118"/>
      <c r="L145" s="118"/>
      <c r="M145" s="118"/>
      <c r="N145" s="118"/>
      <c r="O145" s="118"/>
      <c r="P145" s="119"/>
      <c r="Q145" s="178"/>
      <c r="R145" s="178"/>
      <c r="S145" s="174"/>
      <c r="T145" s="174"/>
      <c r="U145" s="174"/>
      <c r="V145" s="174"/>
      <c r="W145" s="174"/>
      <c r="X145" s="174"/>
      <c r="Y145" s="174"/>
      <c r="Z145" s="174"/>
      <c r="AA145" s="174"/>
      <c r="AB145" s="174"/>
      <c r="AC145" s="174"/>
      <c r="AD145" s="174"/>
      <c r="AE145" s="174"/>
      <c r="AF145" s="174"/>
      <c r="AG145" s="174"/>
      <c r="AH145" s="180"/>
      <c r="AI145" s="180"/>
      <c r="AJ145" s="180"/>
      <c r="AK145" s="180"/>
      <c r="AL145" s="180"/>
      <c r="AM145" s="180"/>
      <c r="AN145" s="180"/>
      <c r="AO145" s="180"/>
      <c r="AP145" s="180"/>
      <c r="AQ145" s="174"/>
      <c r="AR145" s="174"/>
      <c r="AS145" s="174"/>
      <c r="AT145" s="174"/>
      <c r="AU145" s="174"/>
      <c r="AV145" s="174"/>
      <c r="AW145" s="174"/>
      <c r="AX145" s="174"/>
      <c r="AY145" s="174"/>
      <c r="AZ145" s="174"/>
      <c r="BA145" s="174"/>
      <c r="BB145" s="174"/>
      <c r="BC145" s="174"/>
      <c r="BD145" s="174"/>
      <c r="BE145" s="174"/>
      <c r="BF145" s="179"/>
      <c r="BG145" s="179"/>
      <c r="BH145" s="179"/>
      <c r="BI145" s="179"/>
      <c r="BJ145" s="182"/>
      <c r="BP145" s="31"/>
      <c r="BQ145" s="31"/>
      <c r="BR145" s="31"/>
      <c r="BS145" s="31"/>
      <c r="BT145" s="31"/>
      <c r="BU145" s="31"/>
      <c r="BV145" s="31"/>
      <c r="BW145" s="31"/>
      <c r="BX145" s="31"/>
    </row>
    <row r="146" spans="2:76" s="189" customFormat="1" ht="11.1" customHeight="1">
      <c r="B146" s="184"/>
      <c r="C146" s="510"/>
      <c r="D146" s="98" t="str">
        <f>D62</f>
        <v>Verdichter 4</v>
      </c>
      <c r="E146" s="98"/>
      <c r="F146" s="98"/>
      <c r="G146" s="55"/>
      <c r="H146" s="98"/>
      <c r="I146" s="55"/>
      <c r="J146" s="55"/>
      <c r="K146" s="98"/>
      <c r="L146" s="98"/>
      <c r="M146" s="55"/>
      <c r="N146" s="55"/>
      <c r="O146" s="55"/>
      <c r="P146" s="122" t="s">
        <v>186</v>
      </c>
      <c r="Q146" s="18"/>
      <c r="R146" s="185"/>
      <c r="S146" s="1599"/>
      <c r="T146" s="1599"/>
      <c r="U146" s="1600"/>
      <c r="V146" s="174"/>
      <c r="W146" s="1599"/>
      <c r="X146" s="1599"/>
      <c r="Y146" s="1600"/>
      <c r="Z146" s="175"/>
      <c r="AA146" s="1599"/>
      <c r="AB146" s="1599"/>
      <c r="AC146" s="1600"/>
      <c r="AD146" s="175"/>
      <c r="AE146" s="1599"/>
      <c r="AF146" s="1599"/>
      <c r="AG146" s="1600"/>
      <c r="AH146" s="186"/>
      <c r="AI146" s="1606"/>
      <c r="AJ146" s="1606"/>
      <c r="AK146" s="1606"/>
      <c r="AL146" s="662"/>
      <c r="AM146" s="420"/>
      <c r="AN146" s="186"/>
      <c r="AO146" s="186"/>
      <c r="AP146" s="186"/>
      <c r="AQ146" s="1599"/>
      <c r="AR146" s="1599"/>
      <c r="AS146" s="1600"/>
      <c r="AT146" s="1204"/>
      <c r="AU146" s="1599"/>
      <c r="AV146" s="1599"/>
      <c r="AW146" s="1600"/>
      <c r="AX146" s="175"/>
      <c r="AY146" s="1599"/>
      <c r="AZ146" s="1599"/>
      <c r="BA146" s="1600"/>
      <c r="BB146" s="175"/>
      <c r="BC146" s="1599"/>
      <c r="BD146" s="1599"/>
      <c r="BE146" s="1600"/>
      <c r="BF146" s="187"/>
      <c r="BG146" s="1614"/>
      <c r="BH146" s="1614"/>
      <c r="BI146" s="1614"/>
      <c r="BJ146" s="188"/>
      <c r="BP146" s="28"/>
      <c r="BQ146" s="28"/>
      <c r="BR146" s="28"/>
      <c r="BS146" s="28"/>
      <c r="BT146" s="28"/>
      <c r="BU146" s="28"/>
      <c r="BV146" s="28"/>
      <c r="BW146" s="28"/>
      <c r="BX146" s="28"/>
    </row>
    <row r="147" spans="2:76" s="28" customFormat="1" ht="6" customHeight="1">
      <c r="B147" s="117"/>
      <c r="C147" s="474"/>
      <c r="D147" s="98"/>
      <c r="E147" s="98"/>
      <c r="F147" s="98"/>
      <c r="G147" s="98"/>
      <c r="H147" s="98"/>
      <c r="I147" s="98"/>
      <c r="J147" s="98"/>
      <c r="K147" s="98"/>
      <c r="L147" s="98"/>
      <c r="M147" s="98"/>
      <c r="N147" s="98"/>
      <c r="O147" s="98"/>
      <c r="P147" s="122"/>
      <c r="Q147" s="98"/>
      <c r="R147" s="98"/>
      <c r="S147" s="135"/>
      <c r="T147" s="135"/>
      <c r="U147" s="135"/>
      <c r="V147" s="135"/>
      <c r="W147" s="135"/>
      <c r="X147" s="135"/>
      <c r="Y147" s="135"/>
      <c r="Z147" s="135"/>
      <c r="AA147" s="135"/>
      <c r="AB147" s="135"/>
      <c r="AC147" s="135"/>
      <c r="AD147" s="135"/>
      <c r="AE147" s="135"/>
      <c r="AF147" s="135"/>
      <c r="AG147" s="135"/>
      <c r="AH147" s="135"/>
      <c r="AI147" s="135"/>
      <c r="AJ147" s="135"/>
      <c r="AK147" s="135"/>
      <c r="AL147" s="644"/>
      <c r="AM147" s="405"/>
      <c r="AN147" s="135"/>
      <c r="AO147" s="135"/>
      <c r="AP147" s="135"/>
      <c r="AQ147" s="135"/>
      <c r="AR147" s="135"/>
      <c r="AS147" s="135"/>
      <c r="AT147" s="98"/>
      <c r="AU147" s="98"/>
      <c r="AV147" s="55"/>
      <c r="AW147" s="55"/>
      <c r="AX147" s="55"/>
      <c r="AY147" s="55"/>
      <c r="AZ147" s="55"/>
      <c r="BA147" s="55"/>
      <c r="BB147" s="55"/>
      <c r="BC147" s="55"/>
      <c r="BD147" s="55"/>
      <c r="BE147" s="55"/>
      <c r="BF147" s="55"/>
      <c r="BG147" s="55"/>
      <c r="BH147" s="55"/>
      <c r="BI147" s="55"/>
      <c r="BJ147" s="121"/>
      <c r="BP147" s="31"/>
      <c r="BQ147" s="31"/>
      <c r="BR147" s="31"/>
      <c r="BS147" s="31"/>
      <c r="BT147" s="31"/>
      <c r="BU147" s="31"/>
      <c r="BV147" s="31"/>
      <c r="BW147" s="31"/>
      <c r="BX147" s="31"/>
    </row>
    <row r="148" spans="2:76" s="28" customFormat="1" ht="11.1" customHeight="1">
      <c r="B148" s="117"/>
      <c r="C148" s="474"/>
      <c r="D148" s="540" t="str">
        <f>X!$C$232</f>
        <v>Total</v>
      </c>
      <c r="E148" s="144"/>
      <c r="F148" s="144"/>
      <c r="G148" s="144"/>
      <c r="H148" s="144"/>
      <c r="I148" s="144"/>
      <c r="J148" s="144"/>
      <c r="K148" s="144"/>
      <c r="L148" s="144"/>
      <c r="M148" s="144"/>
      <c r="N148" s="144"/>
      <c r="O148" s="144"/>
      <c r="P148" s="190" t="s">
        <v>186</v>
      </c>
      <c r="Q148" s="156"/>
      <c r="R148" s="144"/>
      <c r="S148" s="1462">
        <f>IF($S$50=4,SUM(S140:U146),IF($S$50=3,SUM(S140:U144),IF($S$50=2,S142+S140,S140)))</f>
        <v>0</v>
      </c>
      <c r="T148" s="1462"/>
      <c r="U148" s="1462"/>
      <c r="V148" s="191"/>
      <c r="W148" s="1462">
        <f>IF($S$50=4,SUM(W140:Y146),IF($S$50=3,SUM(W140:Y144),IF($S$50=2,W142+W140,W140)))</f>
        <v>0</v>
      </c>
      <c r="X148" s="1462"/>
      <c r="Y148" s="1462"/>
      <c r="Z148" s="192"/>
      <c r="AA148" s="1462">
        <f>IF($S$50=4,SUM(AA140:AC146),IF($S$50=3,SUM(AA140:AC144),IF($S$50=2,AA142+AA140,AA140)))</f>
        <v>0</v>
      </c>
      <c r="AB148" s="1462"/>
      <c r="AC148" s="1462"/>
      <c r="AD148" s="192"/>
      <c r="AE148" s="1462">
        <f>IF($S$50=4,SUM(AE140:AG146),IF($S$50=3,SUM(AE140:AG144),IF($S$50=2,AE142+AE140,AE140)))</f>
        <v>0</v>
      </c>
      <c r="AF148" s="1462"/>
      <c r="AG148" s="1462"/>
      <c r="AH148" s="158"/>
      <c r="AI148" s="1462"/>
      <c r="AJ148" s="1462"/>
      <c r="AK148" s="1462"/>
      <c r="AL148" s="646"/>
      <c r="AM148" s="412"/>
      <c r="AN148" s="176"/>
      <c r="AO148" s="176"/>
      <c r="AP148" s="176"/>
      <c r="AQ148" s="1462">
        <f>IF($AQ$50=4,SUM(AQ140:AS146),IF($AQ$50=3,SUM(AQ140:AS144),IF($AQ$50=2,AQ142+AQ140,AQ140)))</f>
        <v>0</v>
      </c>
      <c r="AR148" s="1462"/>
      <c r="AS148" s="1462"/>
      <c r="AT148" s="191"/>
      <c r="AU148" s="1462">
        <f>IF($AQ$50=4,SUM(AU140:AW146),IF($AQ$50=3,SUM(AU140:AW144),IF($AQ$50=2,AU142+AU140,AU140)))</f>
        <v>0</v>
      </c>
      <c r="AV148" s="1462"/>
      <c r="AW148" s="1462"/>
      <c r="AX148" s="192"/>
      <c r="AY148" s="1462">
        <f>IF($AQ$50=4,SUM(AY140:BA146),IF($AQ$50=3,SUM(AY140:BA144),IF($AQ$50=2,AY142+AY140,AY140)))</f>
        <v>0</v>
      </c>
      <c r="AZ148" s="1462"/>
      <c r="BA148" s="1462"/>
      <c r="BB148" s="192"/>
      <c r="BC148" s="1462">
        <f>IF($AQ$50=4,SUM(BC140:BE146),IF($AQ$50=3,SUM(BC140:BE144),IF($AQ$50=2,BC142+BC140,BC140)))</f>
        <v>0</v>
      </c>
      <c r="BD148" s="1462"/>
      <c r="BE148" s="1462"/>
      <c r="BF148" s="135"/>
      <c r="BG148" s="1537"/>
      <c r="BH148" s="1537"/>
      <c r="BI148" s="1537"/>
      <c r="BJ148" s="121"/>
    </row>
    <row r="149" spans="2:76" s="28" customFormat="1" ht="17.100000000000001" customHeight="1">
      <c r="B149" s="117"/>
      <c r="C149" s="508"/>
      <c r="E149" s="98"/>
      <c r="F149" s="98"/>
      <c r="G149" s="98"/>
      <c r="H149" s="98"/>
      <c r="I149" s="98"/>
      <c r="J149" s="163"/>
      <c r="K149" s="98"/>
      <c r="L149" s="98"/>
      <c r="M149" s="98"/>
      <c r="N149" s="98"/>
      <c r="O149" s="98"/>
      <c r="P149" s="122"/>
      <c r="Q149" s="98"/>
      <c r="R149" s="98"/>
      <c r="S149" s="164"/>
      <c r="T149" s="164"/>
      <c r="U149" s="164"/>
      <c r="V149" s="165"/>
      <c r="W149" s="164"/>
      <c r="X149" s="164"/>
      <c r="Y149" s="164"/>
      <c r="Z149" s="166"/>
      <c r="AA149" s="164"/>
      <c r="AB149" s="164"/>
      <c r="AC149" s="164"/>
      <c r="AD149" s="166"/>
      <c r="AE149" s="164"/>
      <c r="AF149" s="164"/>
      <c r="AG149" s="164"/>
      <c r="AH149" s="135"/>
      <c r="AI149" s="167"/>
      <c r="AJ149" s="167"/>
      <c r="AK149" s="167"/>
      <c r="AL149" s="167"/>
      <c r="AM149" s="167"/>
      <c r="AN149" s="135"/>
      <c r="AO149" s="135"/>
      <c r="AP149" s="135"/>
      <c r="AQ149" s="164"/>
      <c r="AR149" s="160"/>
      <c r="AS149" s="160"/>
      <c r="AT149" s="135"/>
      <c r="AU149" s="164"/>
      <c r="AV149" s="160"/>
      <c r="AW149" s="160"/>
      <c r="AX149" s="168"/>
      <c r="AY149" s="164"/>
      <c r="AZ149" s="160"/>
      <c r="BA149" s="160"/>
      <c r="BB149" s="168"/>
      <c r="BC149" s="164"/>
      <c r="BD149" s="160"/>
      <c r="BE149" s="160"/>
      <c r="BF149" s="135"/>
      <c r="BG149" s="167"/>
      <c r="BH149" s="169"/>
      <c r="BI149" s="169"/>
      <c r="BJ149" s="121"/>
    </row>
    <row r="150" spans="2:76" s="28" customFormat="1" ht="17.100000000000001" customHeight="1">
      <c r="B150" s="117"/>
      <c r="C150" s="495">
        <v>3.4</v>
      </c>
      <c r="D150" s="536" t="str">
        <f>X!$C$144</f>
        <v>Kälteleistung Verdichter</v>
      </c>
      <c r="E150" s="98"/>
      <c r="F150" s="98"/>
      <c r="G150" s="98"/>
      <c r="H150" s="98"/>
      <c r="I150" s="98"/>
      <c r="J150" s="163"/>
      <c r="K150" s="98"/>
      <c r="L150" s="98"/>
      <c r="M150" s="98"/>
      <c r="N150" s="98"/>
      <c r="O150" s="98"/>
      <c r="P150" s="122"/>
      <c r="Q150" s="98"/>
      <c r="R150" s="98"/>
      <c r="S150" s="1598" t="str">
        <f>S138</f>
        <v>/ +</v>
      </c>
      <c r="T150" s="1598"/>
      <c r="U150" s="1598"/>
      <c r="V150" s="165"/>
      <c r="W150" s="1598" t="str">
        <f>W138</f>
        <v>/ +</v>
      </c>
      <c r="X150" s="1598"/>
      <c r="Y150" s="1598"/>
      <c r="Z150" s="166"/>
      <c r="AA150" s="1598" t="str">
        <f>AA138</f>
        <v>/ +</v>
      </c>
      <c r="AB150" s="1598"/>
      <c r="AC150" s="1598"/>
      <c r="AD150" s="166"/>
      <c r="AE150" s="1598" t="str">
        <f>AE138</f>
        <v>/ +</v>
      </c>
      <c r="AF150" s="1598"/>
      <c r="AG150" s="1598"/>
      <c r="AH150" s="135"/>
      <c r="AI150" s="167"/>
      <c r="AJ150" s="167"/>
      <c r="AK150" s="167"/>
      <c r="AL150" s="167"/>
      <c r="AM150" s="607" t="s">
        <v>292</v>
      </c>
      <c r="AN150" s="607" t="s">
        <v>292</v>
      </c>
      <c r="AO150" s="607" t="s">
        <v>292</v>
      </c>
      <c r="AP150" s="135"/>
      <c r="AQ150" s="1598" t="str">
        <f>AQ138</f>
        <v>/ +</v>
      </c>
      <c r="AR150" s="1598"/>
      <c r="AS150" s="1598"/>
      <c r="AT150" s="135"/>
      <c r="AU150" s="1598" t="str">
        <f>AU138</f>
        <v>/ +</v>
      </c>
      <c r="AV150" s="1598"/>
      <c r="AW150" s="1598"/>
      <c r="AX150" s="168"/>
      <c r="AY150" s="1598" t="str">
        <f>AY138</f>
        <v>/ +</v>
      </c>
      <c r="AZ150" s="1598"/>
      <c r="BA150" s="1598"/>
      <c r="BB150" s="168"/>
      <c r="BC150" s="1598" t="str">
        <f>BC138</f>
        <v>/ +</v>
      </c>
      <c r="BD150" s="1598"/>
      <c r="BE150" s="1598"/>
      <c r="BF150" s="135"/>
      <c r="BG150" s="167"/>
      <c r="BH150" s="169"/>
      <c r="BI150" s="169"/>
      <c r="BJ150" s="121"/>
    </row>
    <row r="151" spans="2:76" s="28" customFormat="1" ht="6" customHeight="1">
      <c r="B151" s="117"/>
      <c r="C151" s="507"/>
      <c r="D151" s="98"/>
      <c r="E151" s="98"/>
      <c r="F151" s="98"/>
      <c r="G151" s="98"/>
      <c r="H151" s="98"/>
      <c r="I151" s="98"/>
      <c r="J151" s="98"/>
      <c r="K151" s="98"/>
      <c r="L151" s="98"/>
      <c r="M151" s="98"/>
      <c r="N151" s="98"/>
      <c r="O151" s="98"/>
      <c r="P151" s="122"/>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121"/>
    </row>
    <row r="152" spans="2:76" s="28" customFormat="1" ht="11.1" customHeight="1">
      <c r="B152" s="117"/>
      <c r="C152" s="474"/>
      <c r="D152" s="98" t="str">
        <f>D140</f>
        <v>Verdichter 1</v>
      </c>
      <c r="E152" s="98"/>
      <c r="F152" s="98"/>
      <c r="G152" s="55"/>
      <c r="H152" s="98"/>
      <c r="I152" s="55"/>
      <c r="J152" s="55"/>
      <c r="K152" s="98"/>
      <c r="L152" s="98"/>
      <c r="M152" s="55"/>
      <c r="N152" s="55"/>
      <c r="O152" s="55"/>
      <c r="P152" s="122" t="s">
        <v>186</v>
      </c>
      <c r="Q152" s="55"/>
      <c r="R152" s="98"/>
      <c r="S152" s="1607"/>
      <c r="T152" s="1607"/>
      <c r="U152" s="1608"/>
      <c r="V152" s="158"/>
      <c r="W152" s="1607"/>
      <c r="X152" s="1607"/>
      <c r="Y152" s="1608"/>
      <c r="Z152" s="193"/>
      <c r="AA152" s="1607"/>
      <c r="AB152" s="1607"/>
      <c r="AC152" s="1608"/>
      <c r="AD152" s="193"/>
      <c r="AE152" s="1607"/>
      <c r="AF152" s="1607"/>
      <c r="AG152" s="1608"/>
      <c r="AH152" s="158"/>
      <c r="AI152" s="1462"/>
      <c r="AJ152" s="1462"/>
      <c r="AK152" s="1462"/>
      <c r="AL152" s="646"/>
      <c r="AM152" s="412"/>
      <c r="AN152" s="176"/>
      <c r="AO152" s="176"/>
      <c r="AP152" s="176"/>
      <c r="AQ152" s="1607"/>
      <c r="AR152" s="1607"/>
      <c r="AS152" s="1608"/>
      <c r="AT152" s="158"/>
      <c r="AU152" s="1607"/>
      <c r="AV152" s="1607"/>
      <c r="AW152" s="1608"/>
      <c r="AX152" s="193"/>
      <c r="AY152" s="1607"/>
      <c r="AZ152" s="1607"/>
      <c r="BA152" s="1608"/>
      <c r="BB152" s="193"/>
      <c r="BC152" s="1607"/>
      <c r="BD152" s="1607"/>
      <c r="BE152" s="1608"/>
      <c r="BF152" s="135"/>
      <c r="BG152" s="1537"/>
      <c r="BH152" s="1537"/>
      <c r="BI152" s="1537"/>
      <c r="BJ152" s="121"/>
    </row>
    <row r="153" spans="2:76" s="28" customFormat="1" ht="6" customHeight="1">
      <c r="B153" s="117"/>
      <c r="C153" s="474"/>
      <c r="D153" s="118"/>
      <c r="E153" s="118"/>
      <c r="F153" s="118"/>
      <c r="G153" s="118"/>
      <c r="H153" s="118"/>
      <c r="I153" s="118"/>
      <c r="J153" s="118"/>
      <c r="K153" s="118"/>
      <c r="L153" s="118"/>
      <c r="M153" s="118"/>
      <c r="N153" s="118"/>
      <c r="O153" s="118"/>
      <c r="P153" s="119"/>
      <c r="Q153" s="98"/>
      <c r="R153" s="98"/>
      <c r="S153" s="158"/>
      <c r="T153" s="158"/>
      <c r="U153" s="158"/>
      <c r="V153" s="158"/>
      <c r="W153" s="158"/>
      <c r="X153" s="158"/>
      <c r="Y153" s="158"/>
      <c r="Z153" s="158"/>
      <c r="AA153" s="158"/>
      <c r="AB153" s="158"/>
      <c r="AC153" s="158"/>
      <c r="AD153" s="158"/>
      <c r="AE153" s="158"/>
      <c r="AF153" s="158"/>
      <c r="AG153" s="158"/>
      <c r="AH153" s="158"/>
      <c r="AI153" s="158"/>
      <c r="AJ153" s="158"/>
      <c r="AK153" s="158"/>
      <c r="AL153" s="645"/>
      <c r="AM153" s="411"/>
      <c r="AN153" s="158"/>
      <c r="AO153" s="158"/>
      <c r="AP153" s="158"/>
      <c r="AQ153" s="158"/>
      <c r="AR153" s="158"/>
      <c r="AS153" s="158"/>
      <c r="AT153" s="158"/>
      <c r="AU153" s="158"/>
      <c r="AV153" s="158"/>
      <c r="AW153" s="158"/>
      <c r="AX153" s="158"/>
      <c r="AY153" s="158"/>
      <c r="AZ153" s="158"/>
      <c r="BA153" s="158"/>
      <c r="BB153" s="158"/>
      <c r="BC153" s="158"/>
      <c r="BD153" s="158"/>
      <c r="BE153" s="158"/>
      <c r="BF153" s="1203"/>
      <c r="BG153" s="55"/>
      <c r="BH153" s="55"/>
      <c r="BI153" s="55"/>
      <c r="BJ153" s="121"/>
    </row>
    <row r="154" spans="2:76" s="28" customFormat="1" ht="11.1" customHeight="1">
      <c r="B154" s="117"/>
      <c r="C154" s="474"/>
      <c r="D154" s="98" t="str">
        <f>D142</f>
        <v>Verdichter 2</v>
      </c>
      <c r="E154" s="98"/>
      <c r="F154" s="98"/>
      <c r="G154" s="55"/>
      <c r="H154" s="98"/>
      <c r="I154" s="55"/>
      <c r="J154" s="55"/>
      <c r="K154" s="98"/>
      <c r="L154" s="98"/>
      <c r="M154" s="55"/>
      <c r="N154" s="55"/>
      <c r="O154" s="55"/>
      <c r="P154" s="122" t="s">
        <v>186</v>
      </c>
      <c r="Q154" s="55"/>
      <c r="R154" s="98"/>
      <c r="S154" s="1599"/>
      <c r="T154" s="1599"/>
      <c r="U154" s="1600"/>
      <c r="V154" s="174"/>
      <c r="W154" s="1599"/>
      <c r="X154" s="1599"/>
      <c r="Y154" s="1600"/>
      <c r="Z154" s="175"/>
      <c r="AA154" s="1599"/>
      <c r="AB154" s="1599"/>
      <c r="AC154" s="1600"/>
      <c r="AD154" s="175"/>
      <c r="AE154" s="1599"/>
      <c r="AF154" s="1599"/>
      <c r="AG154" s="1600"/>
      <c r="AH154" s="158"/>
      <c r="AI154" s="1462"/>
      <c r="AJ154" s="1462"/>
      <c r="AK154" s="1462"/>
      <c r="AL154" s="646"/>
      <c r="AM154" s="412"/>
      <c r="AN154" s="176"/>
      <c r="AO154" s="176"/>
      <c r="AP154" s="176"/>
      <c r="AQ154" s="1599"/>
      <c r="AR154" s="1599"/>
      <c r="AS154" s="1600"/>
      <c r="AT154" s="1204"/>
      <c r="AU154" s="1599"/>
      <c r="AV154" s="1599"/>
      <c r="AW154" s="1600"/>
      <c r="AX154" s="175"/>
      <c r="AY154" s="1599"/>
      <c r="AZ154" s="1599"/>
      <c r="BA154" s="1600"/>
      <c r="BB154" s="175"/>
      <c r="BC154" s="1599"/>
      <c r="BD154" s="1599"/>
      <c r="BE154" s="1600"/>
      <c r="BF154" s="1203"/>
      <c r="BG154" s="1537"/>
      <c r="BH154" s="1537"/>
      <c r="BI154" s="1537"/>
      <c r="BJ154" s="121"/>
    </row>
    <row r="155" spans="2:76" s="28" customFormat="1" ht="6" customHeight="1">
      <c r="B155" s="117"/>
      <c r="C155" s="474"/>
      <c r="D155" s="118"/>
      <c r="E155" s="118"/>
      <c r="F155" s="118"/>
      <c r="G155" s="118"/>
      <c r="H155" s="118"/>
      <c r="I155" s="118"/>
      <c r="J155" s="118"/>
      <c r="K155" s="118"/>
      <c r="L155" s="118"/>
      <c r="M155" s="118"/>
      <c r="N155" s="118"/>
      <c r="O155" s="118"/>
      <c r="P155" s="119"/>
      <c r="Q155" s="98"/>
      <c r="R155" s="98"/>
      <c r="S155" s="174"/>
      <c r="T155" s="174"/>
      <c r="U155" s="174"/>
      <c r="V155" s="174"/>
      <c r="W155" s="174"/>
      <c r="X155" s="174"/>
      <c r="Y155" s="174"/>
      <c r="Z155" s="174"/>
      <c r="AA155" s="174"/>
      <c r="AB155" s="174"/>
      <c r="AC155" s="174"/>
      <c r="AD155" s="174"/>
      <c r="AE155" s="174"/>
      <c r="AF155" s="174"/>
      <c r="AG155" s="174"/>
      <c r="AH155" s="158"/>
      <c r="AI155" s="158"/>
      <c r="AJ155" s="158"/>
      <c r="AK155" s="158"/>
      <c r="AL155" s="645"/>
      <c r="AM155" s="411"/>
      <c r="AN155" s="158"/>
      <c r="AO155" s="158"/>
      <c r="AP155" s="158"/>
      <c r="AQ155" s="1204"/>
      <c r="AR155" s="1204"/>
      <c r="AS155" s="1204"/>
      <c r="AT155" s="1204"/>
      <c r="AU155" s="1204"/>
      <c r="AV155" s="1204"/>
      <c r="AW155" s="1204"/>
      <c r="AX155" s="1204"/>
      <c r="AY155" s="1204"/>
      <c r="AZ155" s="1204"/>
      <c r="BA155" s="1204"/>
      <c r="BB155" s="1204"/>
      <c r="BC155" s="1204"/>
      <c r="BD155" s="1204"/>
      <c r="BE155" s="1204"/>
      <c r="BF155" s="1203"/>
      <c r="BG155" s="55"/>
      <c r="BH155" s="55"/>
      <c r="BI155" s="55"/>
      <c r="BJ155" s="121"/>
    </row>
    <row r="156" spans="2:76" s="28" customFormat="1" ht="11.1" customHeight="1">
      <c r="B156" s="117"/>
      <c r="C156" s="474"/>
      <c r="D156" s="98" t="str">
        <f>D144</f>
        <v>Verdichter 3</v>
      </c>
      <c r="E156" s="98"/>
      <c r="F156" s="98"/>
      <c r="G156" s="55"/>
      <c r="H156" s="98"/>
      <c r="I156" s="55"/>
      <c r="J156" s="55"/>
      <c r="K156" s="98"/>
      <c r="L156" s="98"/>
      <c r="M156" s="55"/>
      <c r="N156" s="55"/>
      <c r="O156" s="55"/>
      <c r="P156" s="122" t="s">
        <v>186</v>
      </c>
      <c r="Q156" s="55"/>
      <c r="R156" s="98"/>
      <c r="S156" s="1599"/>
      <c r="T156" s="1599"/>
      <c r="U156" s="1600"/>
      <c r="V156" s="174"/>
      <c r="W156" s="1599"/>
      <c r="X156" s="1599"/>
      <c r="Y156" s="1600"/>
      <c r="Z156" s="175"/>
      <c r="AA156" s="1599"/>
      <c r="AB156" s="1599"/>
      <c r="AC156" s="1600"/>
      <c r="AD156" s="175"/>
      <c r="AE156" s="1599"/>
      <c r="AF156" s="1599"/>
      <c r="AG156" s="1600"/>
      <c r="AH156" s="158"/>
      <c r="AI156" s="1462"/>
      <c r="AJ156" s="1462"/>
      <c r="AK156" s="1462"/>
      <c r="AL156" s="646"/>
      <c r="AM156" s="412"/>
      <c r="AN156" s="176"/>
      <c r="AO156" s="176"/>
      <c r="AP156" s="176"/>
      <c r="AQ156" s="1599"/>
      <c r="AR156" s="1599"/>
      <c r="AS156" s="1600"/>
      <c r="AT156" s="1204"/>
      <c r="AU156" s="1599"/>
      <c r="AV156" s="1599"/>
      <c r="AW156" s="1600"/>
      <c r="AX156" s="175"/>
      <c r="AY156" s="1599"/>
      <c r="AZ156" s="1599"/>
      <c r="BA156" s="1600"/>
      <c r="BB156" s="175"/>
      <c r="BC156" s="1599"/>
      <c r="BD156" s="1599"/>
      <c r="BE156" s="1600"/>
      <c r="BF156" s="1203"/>
      <c r="BG156" s="1537"/>
      <c r="BH156" s="1537"/>
      <c r="BI156" s="1537"/>
      <c r="BJ156" s="121"/>
    </row>
    <row r="157" spans="2:76" s="28" customFormat="1" ht="6" customHeight="1">
      <c r="B157" s="117"/>
      <c r="C157" s="474"/>
      <c r="D157" s="118"/>
      <c r="E157" s="118"/>
      <c r="F157" s="118"/>
      <c r="G157" s="118"/>
      <c r="H157" s="118"/>
      <c r="I157" s="118"/>
      <c r="J157" s="118"/>
      <c r="K157" s="118"/>
      <c r="L157" s="118"/>
      <c r="M157" s="118"/>
      <c r="N157" s="118"/>
      <c r="O157" s="118"/>
      <c r="P157" s="119"/>
      <c r="Q157" s="98"/>
      <c r="R157" s="98"/>
      <c r="S157" s="174"/>
      <c r="T157" s="174"/>
      <c r="U157" s="174"/>
      <c r="V157" s="174"/>
      <c r="W157" s="174"/>
      <c r="X157" s="174"/>
      <c r="Y157" s="174"/>
      <c r="Z157" s="174"/>
      <c r="AA157" s="174"/>
      <c r="AB157" s="174"/>
      <c r="AC157" s="174"/>
      <c r="AD157" s="174"/>
      <c r="AE157" s="174"/>
      <c r="AF157" s="174"/>
      <c r="AG157" s="174"/>
      <c r="AH157" s="158"/>
      <c r="AI157" s="158"/>
      <c r="AJ157" s="158"/>
      <c r="AK157" s="158"/>
      <c r="AL157" s="645"/>
      <c r="AM157" s="411"/>
      <c r="AN157" s="158"/>
      <c r="AO157" s="158"/>
      <c r="AP157" s="158"/>
      <c r="AQ157" s="1204"/>
      <c r="AR157" s="1204"/>
      <c r="AS157" s="1204"/>
      <c r="AT157" s="1204"/>
      <c r="AU157" s="1204"/>
      <c r="AV157" s="1204"/>
      <c r="AW157" s="1204"/>
      <c r="AX157" s="1204"/>
      <c r="AY157" s="1204"/>
      <c r="AZ157" s="1204"/>
      <c r="BA157" s="1204"/>
      <c r="BB157" s="1204"/>
      <c r="BC157" s="1204"/>
      <c r="BD157" s="1204"/>
      <c r="BE157" s="1204"/>
      <c r="BF157" s="1203"/>
      <c r="BG157" s="55"/>
      <c r="BH157" s="55"/>
      <c r="BI157" s="55"/>
      <c r="BJ157" s="121"/>
    </row>
    <row r="158" spans="2:76" s="28" customFormat="1" ht="11.1" customHeight="1">
      <c r="B158" s="117"/>
      <c r="C158" s="474"/>
      <c r="D158" s="98" t="str">
        <f>D146</f>
        <v>Verdichter 4</v>
      </c>
      <c r="E158" s="98"/>
      <c r="F158" s="98"/>
      <c r="G158" s="55"/>
      <c r="H158" s="98"/>
      <c r="I158" s="55"/>
      <c r="J158" s="55"/>
      <c r="K158" s="98"/>
      <c r="L158" s="98"/>
      <c r="M158" s="55"/>
      <c r="N158" s="55"/>
      <c r="O158" s="55"/>
      <c r="P158" s="122" t="s">
        <v>186</v>
      </c>
      <c r="Q158" s="55"/>
      <c r="R158" s="98"/>
      <c r="S158" s="1599"/>
      <c r="T158" s="1599"/>
      <c r="U158" s="1600"/>
      <c r="V158" s="174"/>
      <c r="W158" s="1599"/>
      <c r="X158" s="1599"/>
      <c r="Y158" s="1600"/>
      <c r="Z158" s="175"/>
      <c r="AA158" s="1599"/>
      <c r="AB158" s="1599"/>
      <c r="AC158" s="1600"/>
      <c r="AD158" s="175"/>
      <c r="AE158" s="1599"/>
      <c r="AF158" s="1599"/>
      <c r="AG158" s="1600"/>
      <c r="AH158" s="158"/>
      <c r="AI158" s="1462"/>
      <c r="AJ158" s="1462"/>
      <c r="AK158" s="1462"/>
      <c r="AL158" s="646"/>
      <c r="AM158" s="412"/>
      <c r="AN158" s="176"/>
      <c r="AO158" s="176"/>
      <c r="AP158" s="176"/>
      <c r="AQ158" s="1599"/>
      <c r="AR158" s="1599"/>
      <c r="AS158" s="1600"/>
      <c r="AT158" s="1204"/>
      <c r="AU158" s="1599"/>
      <c r="AV158" s="1599"/>
      <c r="AW158" s="1600"/>
      <c r="AX158" s="175"/>
      <c r="AY158" s="1599"/>
      <c r="AZ158" s="1599"/>
      <c r="BA158" s="1600"/>
      <c r="BB158" s="175"/>
      <c r="BC158" s="1599"/>
      <c r="BD158" s="1599"/>
      <c r="BE158" s="1600"/>
      <c r="BF158" s="1203"/>
      <c r="BG158" s="1537"/>
      <c r="BH158" s="1537"/>
      <c r="BI158" s="1537"/>
      <c r="BJ158" s="121"/>
    </row>
    <row r="159" spans="2:76" s="28" customFormat="1" ht="6" customHeight="1">
      <c r="B159" s="117"/>
      <c r="C159" s="474"/>
      <c r="D159" s="98"/>
      <c r="E159" s="98"/>
      <c r="F159" s="98"/>
      <c r="G159" s="98"/>
      <c r="H159" s="98"/>
      <c r="I159" s="98"/>
      <c r="J159" s="98"/>
      <c r="K159" s="98"/>
      <c r="L159" s="98"/>
      <c r="M159" s="98"/>
      <c r="N159" s="98"/>
      <c r="O159" s="98"/>
      <c r="P159" s="122"/>
      <c r="Q159" s="98"/>
      <c r="R159" s="98"/>
      <c r="S159" s="135"/>
      <c r="T159" s="135"/>
      <c r="U159" s="135"/>
      <c r="V159" s="135"/>
      <c r="W159" s="135"/>
      <c r="X159" s="135"/>
      <c r="Y159" s="135"/>
      <c r="Z159" s="135"/>
      <c r="AA159" s="135"/>
      <c r="AB159" s="135"/>
      <c r="AC159" s="135"/>
      <c r="AD159" s="135"/>
      <c r="AE159" s="135"/>
      <c r="AF159" s="135"/>
      <c r="AG159" s="135"/>
      <c r="AH159" s="135"/>
      <c r="AI159" s="135"/>
      <c r="AJ159" s="135"/>
      <c r="AK159" s="135"/>
      <c r="AL159" s="644"/>
      <c r="AM159" s="405"/>
      <c r="AN159" s="135"/>
      <c r="AO159" s="135"/>
      <c r="AP159" s="135"/>
      <c r="AQ159" s="135"/>
      <c r="AR159" s="135"/>
      <c r="AS159" s="135"/>
      <c r="AT159" s="98"/>
      <c r="AU159" s="98"/>
      <c r="AV159" s="55"/>
      <c r="AW159" s="55"/>
      <c r="AX159" s="55"/>
      <c r="AY159" s="55"/>
      <c r="AZ159" s="55"/>
      <c r="BA159" s="55"/>
      <c r="BB159" s="55"/>
      <c r="BC159" s="55"/>
      <c r="BD159" s="55"/>
      <c r="BE159" s="55"/>
      <c r="BF159" s="1203"/>
      <c r="BG159" s="55"/>
      <c r="BH159" s="55"/>
      <c r="BI159" s="55"/>
      <c r="BJ159" s="121"/>
    </row>
    <row r="160" spans="2:76" s="28" customFormat="1" ht="11.1" customHeight="1">
      <c r="B160" s="117"/>
      <c r="C160" s="474"/>
      <c r="D160" s="144" t="str">
        <f>D148</f>
        <v>Total</v>
      </c>
      <c r="E160" s="144"/>
      <c r="F160" s="144"/>
      <c r="G160" s="144"/>
      <c r="H160" s="144"/>
      <c r="I160" s="144"/>
      <c r="J160" s="144"/>
      <c r="K160" s="144"/>
      <c r="L160" s="144"/>
      <c r="M160" s="144"/>
      <c r="N160" s="144"/>
      <c r="O160" s="144"/>
      <c r="P160" s="190" t="s">
        <v>186</v>
      </c>
      <c r="Q160" s="156"/>
      <c r="R160" s="144"/>
      <c r="S160" s="1462">
        <f>IF($S$50=4,SUM(S152:U158),IF($S$50=3,SUM(S152:U156),IF($S$50=2,S154+S152,S152)))</f>
        <v>0</v>
      </c>
      <c r="T160" s="1462"/>
      <c r="U160" s="1462"/>
      <c r="V160" s="191"/>
      <c r="W160" s="1462">
        <f>IF($S$50=4,SUM(W152:Y158),IF($S$50=3,SUM(W152:Y156),IF($S$50=2,W154+W152,W152)))</f>
        <v>0</v>
      </c>
      <c r="X160" s="1462"/>
      <c r="Y160" s="1462"/>
      <c r="Z160" s="192"/>
      <c r="AA160" s="1462">
        <f>IF($S$50=4,SUM(AA152:AC158),IF($S$50=3,SUM(AA152:AC156),IF($S$50=2,AA154+AA152,AA152)))</f>
        <v>0</v>
      </c>
      <c r="AB160" s="1462"/>
      <c r="AC160" s="1462"/>
      <c r="AD160" s="192"/>
      <c r="AE160" s="1462">
        <f>IF($S$50=4,SUM(AE152:AG158),IF($S$50=3,SUM(AE152:AG156),IF($S$50=2,AE154+AE152,AE152)))</f>
        <v>0</v>
      </c>
      <c r="AF160" s="1462"/>
      <c r="AG160" s="1462"/>
      <c r="AH160" s="158"/>
      <c r="AI160" s="1462"/>
      <c r="AJ160" s="1462"/>
      <c r="AK160" s="1462"/>
      <c r="AL160" s="646"/>
      <c r="AM160" s="412"/>
      <c r="AN160" s="176"/>
      <c r="AO160" s="176"/>
      <c r="AP160" s="176"/>
      <c r="AQ160" s="1462">
        <f>IF($AQ$50=4,SUM(AQ152:AS158),IF($AQ$50=3,SUM(AQ152:AS156),IF($AQ$50=2,AQ154+AQ152,AQ152)))</f>
        <v>0</v>
      </c>
      <c r="AR160" s="1462"/>
      <c r="AS160" s="1462"/>
      <c r="AT160" s="191"/>
      <c r="AU160" s="1462">
        <f>IF($AQ$50=4,SUM(AU152:AW158),IF($AQ$50=3,SUM(AU152:AW156),IF($AQ$50=2,AU154+AU152,AU152)))</f>
        <v>0</v>
      </c>
      <c r="AV160" s="1462"/>
      <c r="AW160" s="1462"/>
      <c r="AX160" s="192"/>
      <c r="AY160" s="1462">
        <f>IF($AQ$50=4,SUM(AY152:BA158),IF($AQ$50=3,SUM(AY152:BA156),IF($AQ$50=2,AY154+AY152,AY152)))</f>
        <v>0</v>
      </c>
      <c r="AZ160" s="1462"/>
      <c r="BA160" s="1462"/>
      <c r="BB160" s="192"/>
      <c r="BC160" s="1462">
        <f>IF($AQ$50=4,SUM(BC152:BE158),IF($AQ$50=3,SUM(BC152:BE156),IF($AQ$50=2,BC154+BC152,BC152)))</f>
        <v>0</v>
      </c>
      <c r="BD160" s="1462"/>
      <c r="BE160" s="1462"/>
      <c r="BF160" s="135"/>
      <c r="BG160" s="1537"/>
      <c r="BH160" s="1537"/>
      <c r="BI160" s="1537"/>
      <c r="BJ160" s="121"/>
    </row>
    <row r="161" spans="2:77" s="28" customFormat="1" ht="17.100000000000001" customHeight="1">
      <c r="B161" s="117"/>
      <c r="C161" s="508"/>
      <c r="E161" s="98"/>
      <c r="F161" s="98"/>
      <c r="G161" s="98"/>
      <c r="H161" s="98"/>
      <c r="I161" s="98"/>
      <c r="J161" s="163"/>
      <c r="K161" s="98"/>
      <c r="L161" s="98"/>
      <c r="M161" s="98"/>
      <c r="N161" s="98"/>
      <c r="O161" s="98"/>
      <c r="P161" s="122"/>
      <c r="Q161" s="98"/>
      <c r="R161" s="98"/>
      <c r="S161" s="164"/>
      <c r="T161" s="164"/>
      <c r="U161" s="164"/>
      <c r="V161" s="165"/>
      <c r="W161" s="164"/>
      <c r="X161" s="164"/>
      <c r="Y161" s="164"/>
      <c r="Z161" s="166"/>
      <c r="AA161" s="164"/>
      <c r="AB161" s="164"/>
      <c r="AC161" s="164"/>
      <c r="AD161" s="166"/>
      <c r="AE161" s="164"/>
      <c r="AF161" s="164"/>
      <c r="AG161" s="164"/>
      <c r="AH161" s="135"/>
      <c r="AI161" s="167"/>
      <c r="AJ161" s="167"/>
      <c r="AK161" s="167"/>
      <c r="AL161" s="167"/>
      <c r="AM161" s="167"/>
      <c r="AN161" s="135"/>
      <c r="AO161" s="135"/>
      <c r="AP161" s="135"/>
      <c r="AQ161" s="164"/>
      <c r="AR161" s="160"/>
      <c r="AS161" s="160"/>
      <c r="AT161" s="135"/>
      <c r="AU161" s="164"/>
      <c r="AV161" s="160"/>
      <c r="AW161" s="160"/>
      <c r="AX161" s="168"/>
      <c r="AY161" s="164"/>
      <c r="AZ161" s="160"/>
      <c r="BA161" s="160"/>
      <c r="BB161" s="168"/>
      <c r="BC161" s="164"/>
      <c r="BD161" s="160"/>
      <c r="BE161" s="160"/>
      <c r="BF161" s="135"/>
      <c r="BG161" s="167"/>
      <c r="BH161" s="169"/>
      <c r="BI161" s="169"/>
      <c r="BJ161" s="121"/>
    </row>
    <row r="162" spans="2:77" s="28" customFormat="1" ht="17.100000000000001" customHeight="1">
      <c r="B162" s="117"/>
      <c r="C162" s="495">
        <v>3.5</v>
      </c>
      <c r="D162" s="536" t="str">
        <f>X!$C$76</f>
        <v>COP Verdichter (nur zur Kontrolle)</v>
      </c>
      <c r="E162" s="98"/>
      <c r="F162" s="98"/>
      <c r="G162" s="98"/>
      <c r="H162" s="98"/>
      <c r="I162" s="98"/>
      <c r="J162" s="163"/>
      <c r="K162" s="98"/>
      <c r="L162" s="98"/>
      <c r="M162" s="98"/>
      <c r="N162" s="98"/>
      <c r="O162" s="98"/>
      <c r="P162" s="122"/>
      <c r="Q162" s="98"/>
      <c r="R162" s="98"/>
      <c r="S162" s="1598"/>
      <c r="T162" s="1598"/>
      <c r="U162" s="1598"/>
      <c r="V162" s="165"/>
      <c r="W162" s="1598"/>
      <c r="X162" s="1598"/>
      <c r="Y162" s="1598"/>
      <c r="Z162" s="166"/>
      <c r="AA162" s="1598"/>
      <c r="AB162" s="1598"/>
      <c r="AC162" s="1598"/>
      <c r="AD162" s="166"/>
      <c r="AE162" s="1615" t="str">
        <f>X!$C$228</f>
        <v>«Teillast-Bonus»</v>
      </c>
      <c r="AF162" s="1609"/>
      <c r="AG162" s="1609"/>
      <c r="AH162" s="1609"/>
      <c r="AI162" s="1609"/>
      <c r="AJ162" s="1609"/>
      <c r="AK162" s="1609"/>
      <c r="AL162" s="654"/>
      <c r="AM162" s="607" t="s">
        <v>292</v>
      </c>
      <c r="AN162" s="607" t="s">
        <v>292</v>
      </c>
      <c r="AO162" s="607" t="s">
        <v>292</v>
      </c>
      <c r="AP162" s="135"/>
      <c r="AQ162" s="164"/>
      <c r="AR162" s="160"/>
      <c r="AS162" s="160"/>
      <c r="AT162" s="135"/>
      <c r="AU162" s="164"/>
      <c r="AV162" s="160"/>
      <c r="AW162" s="160"/>
      <c r="AX162" s="168"/>
      <c r="AY162" s="164"/>
      <c r="AZ162" s="160"/>
      <c r="BA162" s="160"/>
      <c r="BB162" s="168"/>
      <c r="BC162" s="1609" t="str">
        <f>AE162</f>
        <v>«Teillast-Bonus»</v>
      </c>
      <c r="BD162" s="1609"/>
      <c r="BE162" s="1609"/>
      <c r="BF162" s="1609"/>
      <c r="BG162" s="1609"/>
      <c r="BH162" s="1609"/>
      <c r="BI162" s="1609"/>
      <c r="BJ162" s="121"/>
      <c r="BQ162" s="531">
        <f>LEN(BV162)</f>
        <v>229</v>
      </c>
      <c r="BR162" s="531">
        <f>LEN(BW162)</f>
        <v>243</v>
      </c>
      <c r="BS162" s="531">
        <f>LEN(BX162)</f>
        <v>244</v>
      </c>
      <c r="BT162" s="531"/>
      <c r="BU162" s="28" t="s">
        <v>435</v>
      </c>
      <c r="BV162" s="28" t="str">
        <f>X!E423</f>
        <v>Kälteanlagen bei denen die Leistung eines Verdichters mit mit einem Frequenzumformer reguliert wird, sinm ? im können Teillastbetrieb effizienter. Dies wird in der Berechnung mit einem sogenannten «Teillast-Bonus» berücksichtigt.</v>
      </c>
      <c r="BW162" s="28" t="str">
        <f>X!F423</f>
        <v>Les installations frigorifiques sur lesquelles la puissance d'un compresseur est régulée par un convertisseur de fréquence sont plus efficaces en charge partielle. Cet état est pris en compte dans le calcul avec un «bonus de charge partielle».</v>
      </c>
      <c r="BX162" s="28" t="str">
        <f>X!G423</f>
        <v>Gli impianti di refrigerazione dove la potenza di un compressore è regolata con un inverter di frequenza possono essere più efficienti con funzionamento a carico parziale. Se ne tiene conto nel calcolo con il cosiddetto «bonus carico parziale».</v>
      </c>
    </row>
    <row r="163" spans="2:77" s="28" customFormat="1" ht="6" customHeight="1">
      <c r="B163" s="117"/>
      <c r="C163" s="507"/>
      <c r="D163" s="98"/>
      <c r="E163" s="98"/>
      <c r="F163" s="98"/>
      <c r="G163" s="98"/>
      <c r="H163" s="98"/>
      <c r="I163" s="98"/>
      <c r="J163" s="98"/>
      <c r="K163" s="98"/>
      <c r="L163" s="98"/>
      <c r="M163" s="98"/>
      <c r="N163" s="98"/>
      <c r="O163" s="98"/>
      <c r="P163" s="122"/>
      <c r="Q163" s="98"/>
      <c r="R163" s="98"/>
      <c r="S163" s="98"/>
      <c r="T163" s="98"/>
      <c r="U163" s="98"/>
      <c r="V163" s="98"/>
      <c r="W163" s="98"/>
      <c r="X163" s="98"/>
      <c r="Y163" s="98"/>
      <c r="Z163" s="98"/>
      <c r="AA163" s="98"/>
      <c r="AB163" s="98"/>
      <c r="AC163" s="98"/>
      <c r="AD163" s="98"/>
      <c r="AE163" s="98"/>
      <c r="AF163" s="98"/>
      <c r="AG163" s="98"/>
      <c r="AH163" s="98"/>
      <c r="AI163" s="98"/>
      <c r="AJ163" s="98"/>
      <c r="AK163" s="98"/>
      <c r="AL163" s="98"/>
      <c r="AM163" s="98"/>
      <c r="AN163" s="98"/>
      <c r="AO163" s="98"/>
      <c r="AP163" s="98"/>
      <c r="AQ163" s="98"/>
      <c r="AR163" s="98"/>
      <c r="AS163" s="98"/>
      <c r="AT163" s="98"/>
      <c r="AU163" s="98"/>
      <c r="AV163" s="98"/>
      <c r="AW163" s="98"/>
      <c r="AX163" s="98"/>
      <c r="AY163" s="98"/>
      <c r="AZ163" s="98"/>
      <c r="BA163" s="98"/>
      <c r="BB163" s="98"/>
      <c r="BC163" s="98"/>
      <c r="BD163" s="98"/>
      <c r="BE163" s="98"/>
      <c r="BF163" s="98"/>
      <c r="BG163" s="98"/>
      <c r="BH163" s="98"/>
      <c r="BI163" s="98"/>
      <c r="BJ163" s="121"/>
      <c r="BP163" s="31"/>
      <c r="BQ163" s="31"/>
      <c r="BR163" s="31"/>
      <c r="BS163" s="31"/>
      <c r="BT163" s="31"/>
      <c r="BU163" s="31"/>
      <c r="BV163" s="31"/>
      <c r="BW163" s="31"/>
      <c r="BX163" s="31"/>
    </row>
    <row r="164" spans="2:77" s="28" customFormat="1" ht="15" customHeight="1">
      <c r="B164" s="117"/>
      <c r="C164" s="474"/>
      <c r="D164" s="98" t="str">
        <f>D152</f>
        <v>Verdichter 1</v>
      </c>
      <c r="E164" s="98"/>
      <c r="F164" s="98"/>
      <c r="G164" s="98"/>
      <c r="H164" s="98"/>
      <c r="I164" s="98"/>
      <c r="J164" s="98"/>
      <c r="K164" s="98"/>
      <c r="L164" s="98"/>
      <c r="M164" s="98"/>
      <c r="N164" s="98"/>
      <c r="O164" s="98"/>
      <c r="P164" s="122" t="s">
        <v>95</v>
      </c>
      <c r="Q164" s="55"/>
      <c r="R164" s="98"/>
      <c r="S164" s="1452">
        <f>IF(S140=0,0,IF($AI164="-",S152/S140,S152/S140*(1+$AI164)))</f>
        <v>0</v>
      </c>
      <c r="T164" s="1452"/>
      <c r="U164" s="1452"/>
      <c r="V164" s="158"/>
      <c r="W164" s="1452">
        <f>IF(W140=0,0,IF($AI164="-",W152/W140,W152/W140*(1+$AI164)))</f>
        <v>0</v>
      </c>
      <c r="X164" s="1452"/>
      <c r="Y164" s="1452"/>
      <c r="Z164" s="193"/>
      <c r="AA164" s="1452">
        <f>IF(AA140=0,0,IF($AI164="-",AA152/AA140,AA152/AA140*(1+$AI164)))</f>
        <v>0</v>
      </c>
      <c r="AB164" s="1452"/>
      <c r="AC164" s="1452"/>
      <c r="AD164" s="193"/>
      <c r="AE164" s="1452">
        <f>IF(AE140=0,0,IF($AI164="-",AE152/AE140,AE152/AE140*(1+$AI164)))</f>
        <v>0</v>
      </c>
      <c r="AF164" s="1452"/>
      <c r="AG164" s="1452"/>
      <c r="AH164" s="158"/>
      <c r="AI164" s="1494" t="str">
        <f>IF(S651=0,"-",S651)</f>
        <v>-</v>
      </c>
      <c r="AJ164" s="1494"/>
      <c r="AK164" s="1494"/>
      <c r="AL164" s="656"/>
      <c r="AM164" s="422"/>
      <c r="AN164" s="176"/>
      <c r="AO164" s="176"/>
      <c r="AP164" s="176"/>
      <c r="AQ164" s="1452">
        <f>IF(AQ140=0,0,IF($BG164="-",AQ152/AQ140,AQ152/AQ140*(1+$BG164)))</f>
        <v>0</v>
      </c>
      <c r="AR164" s="1452"/>
      <c r="AS164" s="1452"/>
      <c r="AT164" s="158"/>
      <c r="AU164" s="1452">
        <f>IF(AU140=0,0,IF($BG164="-",AU152/AU140,AU152/AU140*(1+$BG164)))</f>
        <v>0</v>
      </c>
      <c r="AV164" s="1452"/>
      <c r="AW164" s="1452"/>
      <c r="AX164" s="193"/>
      <c r="AY164" s="1452">
        <f>IF(AY140=0,0,IF($BG164="-",AY152/AY140,AY152/AY140*(1+$BG164)))</f>
        <v>0</v>
      </c>
      <c r="AZ164" s="1452"/>
      <c r="BA164" s="1452"/>
      <c r="BB164" s="193"/>
      <c r="BC164" s="1452">
        <f>IF(BC140=0,0,IF($BG164="-",BC152/BC140,BC152/BC140*(1+$BG164)))</f>
        <v>0</v>
      </c>
      <c r="BD164" s="1452"/>
      <c r="BE164" s="1452"/>
      <c r="BF164" s="135"/>
      <c r="BG164" s="1494" t="str">
        <f>IF(AQ651=0,"-",AQ651)</f>
        <v>-</v>
      </c>
      <c r="BH164" s="1494"/>
      <c r="BI164" s="1494"/>
      <c r="BJ164" s="121"/>
    </row>
    <row r="165" spans="2:77" s="28" customFormat="1" ht="15" customHeight="1">
      <c r="B165" s="117"/>
      <c r="C165" s="474"/>
      <c r="D165" s="98" t="str">
        <f>D154</f>
        <v>Verdichter 2</v>
      </c>
      <c r="E165" s="98"/>
      <c r="F165" s="98"/>
      <c r="G165" s="98"/>
      <c r="H165" s="98"/>
      <c r="I165" s="98"/>
      <c r="J165" s="98"/>
      <c r="K165" s="98"/>
      <c r="L165" s="98"/>
      <c r="M165" s="98"/>
      <c r="N165" s="98"/>
      <c r="O165" s="98"/>
      <c r="P165" s="122" t="s">
        <v>95</v>
      </c>
      <c r="Q165" s="55"/>
      <c r="R165" s="98"/>
      <c r="S165" s="1452">
        <f>IF($S$50&gt;1,IF(S142=0,0,IF($AI165="-",S154/S142,S154/S142*(1+$AI165))),0)</f>
        <v>0</v>
      </c>
      <c r="T165" s="1452"/>
      <c r="U165" s="1452"/>
      <c r="V165" s="158"/>
      <c r="W165" s="1452">
        <f>IF($S$50&gt;1,IF(W142=0,0,IF($AI165="-",W154/W142,W154/W142*(1+$AI165))),0)</f>
        <v>0</v>
      </c>
      <c r="X165" s="1452"/>
      <c r="Y165" s="1452"/>
      <c r="Z165" s="193"/>
      <c r="AA165" s="1452">
        <f>IF($S$50&gt;1,IF(AA142=0,0,IF($AI165="-",AA154/AA142,AA154/AA142*(1+$AI165))),0)</f>
        <v>0</v>
      </c>
      <c r="AB165" s="1452"/>
      <c r="AC165" s="1452"/>
      <c r="AD165" s="193"/>
      <c r="AE165" s="1452">
        <f>IF($S$50&gt;1,IF(AE142=0,0,IF($AI165="-",AE154/AE142,AE154/AE142*(1+$AI165))),0)</f>
        <v>0</v>
      </c>
      <c r="AF165" s="1452"/>
      <c r="AG165" s="1452"/>
      <c r="AH165" s="158"/>
      <c r="AI165" s="1494" t="str">
        <f>IF(W651=0,"-",W651)</f>
        <v>-</v>
      </c>
      <c r="AJ165" s="1494"/>
      <c r="AK165" s="1494"/>
      <c r="AL165" s="656"/>
      <c r="AM165" s="422"/>
      <c r="AN165" s="176"/>
      <c r="AO165" s="176"/>
      <c r="AP165" s="176"/>
      <c r="AQ165" s="1458">
        <f>IF($AQ$50&gt;1,IF(AQ142=0,0,IF($BG165="-",AQ154/AQ142,AQ154/AQ142*(1+$BG165))),0)</f>
        <v>0</v>
      </c>
      <c r="AR165" s="1458"/>
      <c r="AS165" s="1458"/>
      <c r="AT165" s="1215"/>
      <c r="AU165" s="1458">
        <f>IF($AQ$50&gt;1,IF(AU142=0,0,IF($BG165="-",AU154/AU142,AU154/AU142*(1+$BG165))),0)</f>
        <v>0</v>
      </c>
      <c r="AV165" s="1458"/>
      <c r="AW165" s="1458"/>
      <c r="AX165" s="175"/>
      <c r="AY165" s="1458">
        <f>IF($AQ$50&gt;1,IF(AY142=0,0,IF($BG165="-",AY154/AY142,AY154/AY142*(1+$BG165))),0)</f>
        <v>0</v>
      </c>
      <c r="AZ165" s="1458"/>
      <c r="BA165" s="1458"/>
      <c r="BB165" s="175"/>
      <c r="BC165" s="1458">
        <f>IF($AQ$50&gt;1,IF(BC142=0,0,IF($BG165="-",BC154/BC142,BC154/BC142*(1+$BG165))),0)</f>
        <v>0</v>
      </c>
      <c r="BD165" s="1458"/>
      <c r="BE165" s="1458"/>
      <c r="BF165" s="135"/>
      <c r="BG165" s="1494" t="str">
        <f>IF(AU651=0,"-",AU651)</f>
        <v>-</v>
      </c>
      <c r="BH165" s="1494"/>
      <c r="BI165" s="1494"/>
      <c r="BJ165" s="121"/>
      <c r="BP165" s="31"/>
      <c r="BQ165" s="31"/>
      <c r="BR165" s="31"/>
      <c r="BS165" s="31"/>
      <c r="BT165" s="31"/>
      <c r="BU165" s="31"/>
      <c r="BV165" s="31"/>
      <c r="BW165" s="31"/>
      <c r="BX165" s="31"/>
    </row>
    <row r="166" spans="2:77" s="28" customFormat="1" ht="15" customHeight="1">
      <c r="B166" s="117"/>
      <c r="C166" s="474"/>
      <c r="D166" s="98" t="str">
        <f>D156</f>
        <v>Verdichter 3</v>
      </c>
      <c r="E166" s="98"/>
      <c r="F166" s="98"/>
      <c r="G166" s="98"/>
      <c r="H166" s="98"/>
      <c r="I166" s="98"/>
      <c r="J166" s="98"/>
      <c r="K166" s="98"/>
      <c r="L166" s="98"/>
      <c r="M166" s="98"/>
      <c r="N166" s="98"/>
      <c r="O166" s="98"/>
      <c r="P166" s="122" t="s">
        <v>95</v>
      </c>
      <c r="Q166" s="55"/>
      <c r="R166" s="98"/>
      <c r="S166" s="1452">
        <f>IF($S$50&gt;2,IF(S144=0,0,IF($AI166="-",S156/S144,S156/S144*(1+$AI166))),0)</f>
        <v>0</v>
      </c>
      <c r="T166" s="1452"/>
      <c r="U166" s="1452"/>
      <c r="V166" s="158"/>
      <c r="W166" s="1452">
        <f>IF($S$50&gt;2,IF(W144=0,0,IF($AI166="-",W156/W144,W156/W144*(1+$AI166))),0)</f>
        <v>0</v>
      </c>
      <c r="X166" s="1452"/>
      <c r="Y166" s="1452"/>
      <c r="Z166" s="193"/>
      <c r="AA166" s="1452">
        <f>IF($S$50&gt;2,IF(AA144=0,0,IF($AI166="-",AA156/AA144,AA156/AA144*(1+$AI166))),0)</f>
        <v>0</v>
      </c>
      <c r="AB166" s="1452"/>
      <c r="AC166" s="1452"/>
      <c r="AD166" s="193"/>
      <c r="AE166" s="1452">
        <f>IF($S$50&gt;2,IF(AE144=0,0,IF($AI166="-",AE156/AE144,AE156/AE144*(1+$AI166))),0)</f>
        <v>0</v>
      </c>
      <c r="AF166" s="1452"/>
      <c r="AG166" s="1452"/>
      <c r="AH166" s="158"/>
      <c r="AI166" s="1494" t="str">
        <f>IF(AA651=0,"-",AA651)</f>
        <v>-</v>
      </c>
      <c r="AJ166" s="1494"/>
      <c r="AK166" s="1494"/>
      <c r="AL166" s="656"/>
      <c r="AM166" s="422"/>
      <c r="AN166" s="176"/>
      <c r="AO166" s="176"/>
      <c r="AP166" s="176"/>
      <c r="AQ166" s="1458">
        <f>IF($AQ$50&gt;2,IF(AQ144=0,0,IF($BG166="-",AQ156/AQ144,AQ156/AQ20*(1+$BG166))),0)</f>
        <v>0</v>
      </c>
      <c r="AR166" s="1458"/>
      <c r="AS166" s="1458"/>
      <c r="AT166" s="1215"/>
      <c r="AU166" s="1458">
        <f>IF($AQ$50&gt;2,IF(AU144=0,0,IF($BG166="-",AU156/AU144,AU156/AU20*(1+$BG166))),0)</f>
        <v>0</v>
      </c>
      <c r="AV166" s="1458"/>
      <c r="AW166" s="1458"/>
      <c r="AX166" s="175"/>
      <c r="AY166" s="1458">
        <f>IF($AQ$50&gt;2,IF(AY144=0,0,IF($BG166="-",AY156/AY144,AY156/AY20*(1+$BG166))),0)</f>
        <v>0</v>
      </c>
      <c r="AZ166" s="1458"/>
      <c r="BA166" s="1458"/>
      <c r="BB166" s="175"/>
      <c r="BC166" s="1458">
        <f>IF($AQ$50&gt;2,IF(BC144=0,0,IF($BG166="-",BC156/BC144,BC156/BC20*(1+$BG166))),0)</f>
        <v>0</v>
      </c>
      <c r="BD166" s="1458"/>
      <c r="BE166" s="1458"/>
      <c r="BF166" s="135"/>
      <c r="BG166" s="1494" t="str">
        <f>IF(AY651=0,"-",AY651)</f>
        <v>-</v>
      </c>
      <c r="BH166" s="1494"/>
      <c r="BI166" s="1494"/>
      <c r="BJ166" s="121"/>
    </row>
    <row r="167" spans="2:77" s="28" customFormat="1" ht="15" customHeight="1">
      <c r="B167" s="117"/>
      <c r="C167" s="474"/>
      <c r="D167" s="98" t="str">
        <f>D158</f>
        <v>Verdichter 4</v>
      </c>
      <c r="E167" s="98"/>
      <c r="F167" s="98"/>
      <c r="G167" s="98"/>
      <c r="H167" s="98"/>
      <c r="I167" s="98"/>
      <c r="J167" s="98"/>
      <c r="K167" s="98"/>
      <c r="L167" s="98"/>
      <c r="M167" s="98"/>
      <c r="N167" s="98"/>
      <c r="O167" s="98"/>
      <c r="P167" s="122" t="s">
        <v>95</v>
      </c>
      <c r="Q167" s="55"/>
      <c r="R167" s="98"/>
      <c r="S167" s="1452">
        <f>IF($S$50&gt;3,IF(S146=0,0,IF($AI167="-",S158/S146,S158/S146*(1+$AI167))),0)</f>
        <v>0</v>
      </c>
      <c r="T167" s="1452"/>
      <c r="U167" s="1452"/>
      <c r="V167" s="158"/>
      <c r="W167" s="1452">
        <f>IF($S$50&gt;3,IF(W146=0,0,IF($AI167="-",W158/W146,W158/W146*(1+$AI167))),0)</f>
        <v>0</v>
      </c>
      <c r="X167" s="1452"/>
      <c r="Y167" s="1452"/>
      <c r="Z167" s="193"/>
      <c r="AA167" s="1452">
        <f>IF($S$50&gt;3,IF(AA146=0,0,IF($AI167="-",AA158/AA146,AA158/AA146*(1+$AI167))),0)</f>
        <v>0</v>
      </c>
      <c r="AB167" s="1452"/>
      <c r="AC167" s="1452"/>
      <c r="AD167" s="193"/>
      <c r="AE167" s="1452">
        <f>IF($S$50&gt;3,IF(AE146=0,0,IF($AI167="-",AE158/AE146,AE158/AE146*(1+$AI167))),0)</f>
        <v>0</v>
      </c>
      <c r="AF167" s="1452"/>
      <c r="AG167" s="1452"/>
      <c r="AH167" s="158"/>
      <c r="AI167" s="1494" t="str">
        <f>IF(AE651=0,"-",AE651)</f>
        <v>-</v>
      </c>
      <c r="AJ167" s="1494"/>
      <c r="AK167" s="1494"/>
      <c r="AL167" s="656"/>
      <c r="AM167" s="422"/>
      <c r="AN167" s="176"/>
      <c r="AO167" s="176"/>
      <c r="AP167" s="176"/>
      <c r="AQ167" s="1458">
        <f>IF($AQ$50&gt;3,IF(AQ146=0,0,IF($BG167="-",AQ158/AQ146,AQ158/AQ146*(1+$BG167))),0)</f>
        <v>0</v>
      </c>
      <c r="AR167" s="1458"/>
      <c r="AS167" s="1458"/>
      <c r="AT167" s="1215"/>
      <c r="AU167" s="1458">
        <f>IF($AQ$50&gt;3,IF(AU146=0,0,IF($BG167="-",AU158/AU146,AU158/AU146*(1+$BG167))),0)</f>
        <v>0</v>
      </c>
      <c r="AV167" s="1458"/>
      <c r="AW167" s="1458"/>
      <c r="AX167" s="175"/>
      <c r="AY167" s="1458">
        <f>IF($AQ$50&gt;3,IF(AY146=0,0,IF($BG167="-",AY158/AY146,AY158/AY146*(1+$BG167))),0)</f>
        <v>0</v>
      </c>
      <c r="AZ167" s="1458"/>
      <c r="BA167" s="1458"/>
      <c r="BB167" s="175"/>
      <c r="BC167" s="1458">
        <f>IF($AQ$50&gt;3,IF(BC146=0,0,IF($BG167="-",BC158/BC146,BC158/BC146*(1+$BG167))),0)</f>
        <v>0</v>
      </c>
      <c r="BD167" s="1458"/>
      <c r="BE167" s="1458"/>
      <c r="BF167" s="135"/>
      <c r="BG167" s="1494" t="str">
        <f>IF(BC651=0,"-",BC651)</f>
        <v>-</v>
      </c>
      <c r="BH167" s="1494"/>
      <c r="BI167" s="1494"/>
      <c r="BJ167" s="121"/>
      <c r="BP167" s="31"/>
      <c r="BQ167" s="31"/>
      <c r="BR167" s="31"/>
      <c r="BS167" s="31"/>
      <c r="BT167" s="31"/>
      <c r="BU167" s="31"/>
      <c r="BV167" s="31"/>
      <c r="BW167" s="31"/>
      <c r="BX167" s="31"/>
    </row>
    <row r="168" spans="2:77" s="155" customFormat="1" ht="15" customHeight="1">
      <c r="B168" s="154"/>
      <c r="C168" s="475"/>
      <c r="D168" s="194" t="str">
        <f>D160</f>
        <v>Total</v>
      </c>
      <c r="E168" s="194"/>
      <c r="F168" s="194"/>
      <c r="G168" s="194"/>
      <c r="H168" s="194"/>
      <c r="I168" s="194"/>
      <c r="J168" s="194"/>
      <c r="K168" s="194"/>
      <c r="L168" s="194"/>
      <c r="M168" s="194"/>
      <c r="N168" s="194"/>
      <c r="O168" s="194"/>
      <c r="P168" s="195" t="s">
        <v>95</v>
      </c>
      <c r="Q168" s="196"/>
      <c r="R168" s="98"/>
      <c r="S168" s="1612">
        <f>IF(S148=0,0,(S140*S164+S142*S165+S144*S166+S146*S167)/S148)</f>
        <v>0</v>
      </c>
      <c r="T168" s="1612"/>
      <c r="U168" s="1612"/>
      <c r="V168" s="197"/>
      <c r="W168" s="1612">
        <f>IF(W148=0,0,(W140*W164+W142*W165+W144*W166+W146*W167)/W148)</f>
        <v>0</v>
      </c>
      <c r="X168" s="1612"/>
      <c r="Y168" s="1612"/>
      <c r="Z168" s="198"/>
      <c r="AA168" s="1612">
        <f>IF(AA148=0,0,(AA140*AA164+AA142*AA165+AA144*AA166+AA146*AA167)/AA148)</f>
        <v>0</v>
      </c>
      <c r="AB168" s="1612"/>
      <c r="AC168" s="1612"/>
      <c r="AD168" s="198"/>
      <c r="AE168" s="1612">
        <f>IF(AE148=0,0,(AE140*AE164+AE142*AE165+AE144*AE166+AE146*AE167)/AE148)</f>
        <v>0</v>
      </c>
      <c r="AF168" s="1612"/>
      <c r="AG168" s="1612"/>
      <c r="AH168" s="199"/>
      <c r="AI168" s="1612"/>
      <c r="AJ168" s="1612"/>
      <c r="AK168" s="1612"/>
      <c r="AL168" s="660"/>
      <c r="AM168" s="419"/>
      <c r="AN168" s="200"/>
      <c r="AO168" s="200"/>
      <c r="AP168" s="200"/>
      <c r="AQ168" s="1572">
        <f>IF(AQ148=0,0,(AQ140*AQ164+AQ142*AQ165+AQ144*AQ166+AQ146*AQ167)/AQ148)</f>
        <v>0</v>
      </c>
      <c r="AR168" s="1572"/>
      <c r="AS168" s="1572"/>
      <c r="AT168" s="628"/>
      <c r="AU168" s="1572">
        <f>IF(AU148=0,0,(AU140*AU164+AU142*AU165+AU144*AU166+AU146*AU167)/AU148)</f>
        <v>0</v>
      </c>
      <c r="AV168" s="1572"/>
      <c r="AW168" s="1572"/>
      <c r="AX168" s="629"/>
      <c r="AY168" s="1572">
        <f>IF(AY148=0,0,(AY140*AY164+AY142*AY165+AY144*AY166+AY146*AY167)/AY148)</f>
        <v>0</v>
      </c>
      <c r="AZ168" s="1572"/>
      <c r="BA168" s="1572"/>
      <c r="BB168" s="629"/>
      <c r="BC168" s="1572">
        <f>IF(BC148=0,0,(BC140*BC164+BC142*BC165+BC144*BC166+BC146*BC167)/BC148)</f>
        <v>0</v>
      </c>
      <c r="BD168" s="1572"/>
      <c r="BE168" s="1572"/>
      <c r="BF168" s="630"/>
      <c r="BG168" s="1573"/>
      <c r="BH168" s="1573"/>
      <c r="BI168" s="1573"/>
      <c r="BJ168" s="157"/>
      <c r="BP168" s="28"/>
      <c r="BQ168" s="28"/>
      <c r="BR168" s="28"/>
      <c r="BS168" s="28"/>
      <c r="BT168" s="28"/>
      <c r="BU168" s="28"/>
      <c r="BV168" s="28"/>
      <c r="BW168" s="28"/>
      <c r="BX168" s="28"/>
    </row>
    <row r="169" spans="2:77" s="28" customFormat="1" ht="14.1" customHeight="1">
      <c r="B169" s="117"/>
      <c r="C169" s="474"/>
      <c r="D169" s="98"/>
      <c r="E169" s="98"/>
      <c r="F169" s="98"/>
      <c r="G169" s="98"/>
      <c r="H169" s="98"/>
      <c r="I169" s="98"/>
      <c r="J169" s="98"/>
      <c r="K169" s="98"/>
      <c r="L169" s="98"/>
      <c r="M169" s="98"/>
      <c r="N169" s="98"/>
      <c r="O169" s="98"/>
      <c r="P169" s="122"/>
      <c r="Q169" s="98"/>
      <c r="R169" s="98"/>
      <c r="S169" s="135"/>
      <c r="T169" s="135"/>
      <c r="U169" s="135"/>
      <c r="V169" s="135"/>
      <c r="W169" s="135"/>
      <c r="X169" s="135"/>
      <c r="Y169" s="135"/>
      <c r="Z169" s="135"/>
      <c r="AA169" s="135"/>
      <c r="AB169" s="135"/>
      <c r="AC169" s="135"/>
      <c r="AD169" s="135"/>
      <c r="AE169" s="135"/>
      <c r="AF169" s="135"/>
      <c r="AG169" s="135"/>
      <c r="AH169" s="135"/>
      <c r="AI169" s="135"/>
      <c r="AJ169" s="135"/>
      <c r="AK169" s="135"/>
      <c r="AL169" s="644"/>
      <c r="AM169" s="405"/>
      <c r="AN169" s="176"/>
      <c r="AO169" s="176"/>
      <c r="AP169" s="176"/>
      <c r="AQ169" s="135"/>
      <c r="AR169" s="135"/>
      <c r="AS169" s="135"/>
      <c r="AT169" s="98"/>
      <c r="AU169" s="98"/>
      <c r="AV169" s="55"/>
      <c r="AW169" s="55"/>
      <c r="AX169" s="55"/>
      <c r="AY169" s="55"/>
      <c r="AZ169" s="55"/>
      <c r="BA169" s="55"/>
      <c r="BB169" s="55"/>
      <c r="BC169" s="55"/>
      <c r="BD169" s="55"/>
      <c r="BE169" s="55"/>
      <c r="BF169" s="55"/>
      <c r="BG169" s="55"/>
      <c r="BH169" s="55"/>
      <c r="BI169" s="55"/>
      <c r="BJ169" s="121"/>
    </row>
    <row r="170" spans="2:77" s="28" customFormat="1" ht="17.100000000000001" customHeight="1">
      <c r="B170" s="117"/>
      <c r="C170" s="495">
        <v>3.6</v>
      </c>
      <c r="D170" s="536" t="str">
        <f>X!$C$60</f>
        <v>Betriebszeiten</v>
      </c>
      <c r="E170" s="98"/>
      <c r="F170" s="98"/>
      <c r="G170" s="98"/>
      <c r="H170" s="98"/>
      <c r="I170" s="98"/>
      <c r="J170" s="98"/>
      <c r="K170" s="98"/>
      <c r="L170" s="98"/>
      <c r="M170" s="98"/>
      <c r="N170" s="98"/>
      <c r="O170" s="98"/>
      <c r="P170" s="122"/>
      <c r="Q170" s="98"/>
      <c r="R170" s="98"/>
      <c r="S170" s="1598"/>
      <c r="T170" s="1598"/>
      <c r="U170" s="1598"/>
      <c r="V170" s="165"/>
      <c r="W170" s="1598"/>
      <c r="X170" s="1598"/>
      <c r="Y170" s="1598"/>
      <c r="Z170" s="166"/>
      <c r="AA170" s="1598"/>
      <c r="AB170" s="1598"/>
      <c r="AC170" s="1598"/>
      <c r="AD170" s="166"/>
      <c r="AE170" s="1598"/>
      <c r="AF170" s="1598"/>
      <c r="AG170" s="1598"/>
      <c r="AH170" s="135"/>
      <c r="AI170" s="1462"/>
      <c r="AJ170" s="1462"/>
      <c r="AK170" s="1462"/>
      <c r="AL170" s="646"/>
      <c r="AM170" s="412"/>
      <c r="AN170" s="91"/>
      <c r="AO170" s="91"/>
      <c r="AP170" s="91"/>
      <c r="AQ170" s="1463"/>
      <c r="AR170" s="1463"/>
      <c r="AS170" s="1463"/>
      <c r="AT170" s="135"/>
      <c r="AU170" s="1463"/>
      <c r="AV170" s="1463"/>
      <c r="AW170" s="1463"/>
      <c r="AX170" s="168"/>
      <c r="AY170" s="1463"/>
      <c r="AZ170" s="1463"/>
      <c r="BA170" s="1463"/>
      <c r="BB170" s="168"/>
      <c r="BC170" s="1463"/>
      <c r="BD170" s="1463"/>
      <c r="BE170" s="1463"/>
      <c r="BF170" s="135"/>
      <c r="BG170" s="1537"/>
      <c r="BH170" s="1537"/>
      <c r="BI170" s="1537"/>
      <c r="BJ170" s="121"/>
    </row>
    <row r="171" spans="2:77">
      <c r="B171" s="147"/>
      <c r="C171" s="477"/>
      <c r="D171" s="52"/>
      <c r="E171" s="52"/>
      <c r="F171" s="52"/>
      <c r="G171" s="52"/>
      <c r="H171" s="52"/>
      <c r="I171" s="52"/>
      <c r="J171" s="52"/>
      <c r="K171" s="52"/>
      <c r="L171" s="52"/>
      <c r="M171" s="52"/>
      <c r="N171" s="52"/>
      <c r="O171" s="52"/>
      <c r="P171" s="55"/>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152"/>
      <c r="BP171" s="28"/>
      <c r="BQ171" s="28"/>
      <c r="BR171" s="28"/>
      <c r="BS171" s="28"/>
      <c r="BT171" s="28"/>
      <c r="BU171" s="28"/>
      <c r="BV171" s="28"/>
      <c r="BW171" s="28"/>
      <c r="BX171" s="28"/>
    </row>
    <row r="172" spans="2:77" ht="15.95" customHeight="1">
      <c r="B172" s="147"/>
      <c r="D172" s="541" t="str">
        <f>X!$C$165</f>
        <v>Laufzeit Maschine (pro Tag)</v>
      </c>
      <c r="E172" s="52"/>
      <c r="F172" s="52"/>
      <c r="G172" s="52"/>
      <c r="H172" s="52"/>
      <c r="I172" s="52"/>
      <c r="J172" s="52"/>
      <c r="K172" s="52"/>
      <c r="L172" s="52"/>
      <c r="M172" s="52"/>
      <c r="N172" s="52"/>
      <c r="O172" s="52"/>
      <c r="P172" s="55"/>
      <c r="Q172" s="52"/>
      <c r="R172" s="1449" t="str">
        <f>R122</f>
        <v>Frühling</v>
      </c>
      <c r="S172" s="1449"/>
      <c r="T172" s="1449"/>
      <c r="U172" s="1449"/>
      <c r="V172" s="1463" t="str">
        <f>V122</f>
        <v>Sommer</v>
      </c>
      <c r="W172" s="1463"/>
      <c r="X172" s="1463"/>
      <c r="Y172" s="1463"/>
      <c r="Z172" s="1449" t="str">
        <f>Z122</f>
        <v>Herbst</v>
      </c>
      <c r="AA172" s="1449"/>
      <c r="AB172" s="1449"/>
      <c r="AC172" s="1449"/>
      <c r="AD172" s="1449" t="str">
        <f>AD122</f>
        <v>Winter</v>
      </c>
      <c r="AE172" s="1449"/>
      <c r="AF172" s="1449"/>
      <c r="AG172" s="1449"/>
      <c r="AH172" s="52"/>
      <c r="AI172" s="1449" t="str">
        <f>AI122</f>
        <v>Jahr</v>
      </c>
      <c r="AJ172" s="1449"/>
      <c r="AK172" s="1449"/>
      <c r="AL172" s="652"/>
      <c r="AM172" s="406"/>
      <c r="AN172" s="52"/>
      <c r="AO172" s="52"/>
      <c r="AP172" s="52"/>
      <c r="AQ172" s="1482" t="str">
        <f>AQ122</f>
        <v>Frühling</v>
      </c>
      <c r="AR172" s="1483"/>
      <c r="AS172" s="1483"/>
      <c r="AT172" s="595"/>
      <c r="AU172" s="1480" t="str">
        <f>AU122</f>
        <v>Sommer</v>
      </c>
      <c r="AV172" s="1481"/>
      <c r="AW172" s="1481"/>
      <c r="AX172" s="595"/>
      <c r="AY172" s="1482" t="str">
        <f>AY122</f>
        <v>Herbst</v>
      </c>
      <c r="AZ172" s="1483"/>
      <c r="BA172" s="1483"/>
      <c r="BB172" s="595"/>
      <c r="BC172" s="1482" t="str">
        <f>BC122</f>
        <v>Winter</v>
      </c>
      <c r="BD172" s="1483"/>
      <c r="BE172" s="1483"/>
      <c r="BF172" s="595"/>
      <c r="BG172" s="1482" t="str">
        <f>BG122</f>
        <v>Jahr</v>
      </c>
      <c r="BH172" s="1483"/>
      <c r="BI172" s="1483"/>
      <c r="BJ172" s="152"/>
      <c r="BP172" s="28"/>
      <c r="BQ172" s="28"/>
      <c r="BR172" s="28"/>
      <c r="BS172" s="28"/>
      <c r="BT172" s="28"/>
      <c r="BU172" s="28"/>
      <c r="BV172" s="28"/>
      <c r="BW172" s="28"/>
      <c r="BX172" s="28"/>
    </row>
    <row r="173" spans="2:77" s="28" customFormat="1" ht="6" hidden="1" customHeight="1" outlineLevel="1">
      <c r="B173" s="117"/>
      <c r="C173" s="474"/>
      <c r="D173" s="98"/>
      <c r="E173" s="98"/>
      <c r="F173" s="98"/>
      <c r="G173" s="98"/>
      <c r="H173" s="98"/>
      <c r="I173" s="98"/>
      <c r="J173" s="98"/>
      <c r="K173" s="98"/>
      <c r="L173" s="98"/>
      <c r="M173" s="98"/>
      <c r="N173" s="98"/>
      <c r="O173" s="98"/>
      <c r="P173" s="122"/>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c r="AO173" s="98"/>
      <c r="AP173" s="98"/>
      <c r="AQ173" s="98"/>
      <c r="AR173" s="98"/>
      <c r="AS173" s="98"/>
      <c r="AT173" s="98"/>
      <c r="AU173" s="98"/>
      <c r="AV173" s="98"/>
      <c r="AW173" s="98"/>
      <c r="AX173" s="98"/>
      <c r="AY173" s="98"/>
      <c r="AZ173" s="98"/>
      <c r="BA173" s="98"/>
      <c r="BB173" s="98"/>
      <c r="BC173" s="98"/>
      <c r="BD173" s="98"/>
      <c r="BE173" s="98"/>
      <c r="BF173" s="98"/>
      <c r="BG173" s="98"/>
      <c r="BH173" s="98"/>
      <c r="BI173" s="98"/>
      <c r="BJ173" s="121"/>
    </row>
    <row r="174" spans="2:77" s="28" customFormat="1" ht="11.1" hidden="1" customHeight="1" outlineLevel="1">
      <c r="B174" s="117"/>
      <c r="C174" s="474"/>
      <c r="E174" s="541" t="str">
        <f>X!$C$214</f>
        <v>Standard-Profil</v>
      </c>
      <c r="F174" s="98"/>
      <c r="G174" s="98"/>
      <c r="H174" s="98"/>
      <c r="I174" s="98"/>
      <c r="J174" s="98"/>
      <c r="K174" s="98"/>
      <c r="L174" s="98" t="str">
        <f>CONCATENATE("(",S25," kW)")</f>
        <v>( kW)</v>
      </c>
      <c r="M174" s="98"/>
      <c r="N174" s="98"/>
      <c r="O174" s="98"/>
      <c r="P174" s="122" t="s">
        <v>118</v>
      </c>
      <c r="Q174" s="98"/>
      <c r="R174" s="98"/>
      <c r="S174" s="1598">
        <f>S612</f>
        <v>0</v>
      </c>
      <c r="T174" s="1598"/>
      <c r="U174" s="1598"/>
      <c r="V174" s="165"/>
      <c r="W174" s="1598">
        <f>W612</f>
        <v>0</v>
      </c>
      <c r="X174" s="1598"/>
      <c r="Y174" s="1598"/>
      <c r="Z174" s="166"/>
      <c r="AA174" s="1598">
        <f>AA612</f>
        <v>0</v>
      </c>
      <c r="AB174" s="1598"/>
      <c r="AC174" s="1598"/>
      <c r="AD174" s="166"/>
      <c r="AE174" s="1598">
        <f>AE612</f>
        <v>0</v>
      </c>
      <c r="AF174" s="1598"/>
      <c r="AG174" s="1598"/>
      <c r="AH174" s="135"/>
      <c r="AI174" s="1462">
        <f>AVERAGE(S174:AG174)</f>
        <v>0</v>
      </c>
      <c r="AJ174" s="1462"/>
      <c r="AK174" s="1462"/>
      <c r="AL174" s="646"/>
      <c r="AM174" s="608" t="s">
        <v>292</v>
      </c>
      <c r="AN174" s="608" t="s">
        <v>292</v>
      </c>
      <c r="AO174" s="608" t="s">
        <v>292</v>
      </c>
      <c r="AP174" s="135"/>
      <c r="AQ174" s="1598">
        <f>AQ612</f>
        <v>0</v>
      </c>
      <c r="AR174" s="1598"/>
      <c r="AS174" s="1598"/>
      <c r="AT174" s="135"/>
      <c r="AU174" s="1598">
        <f>AU612</f>
        <v>0</v>
      </c>
      <c r="AV174" s="1598"/>
      <c r="AW174" s="1598"/>
      <c r="AX174" s="168"/>
      <c r="AY174" s="1598">
        <f>AY612</f>
        <v>0</v>
      </c>
      <c r="AZ174" s="1598"/>
      <c r="BA174" s="1598"/>
      <c r="BB174" s="168"/>
      <c r="BC174" s="1598">
        <f>BC612</f>
        <v>0</v>
      </c>
      <c r="BD174" s="1598"/>
      <c r="BE174" s="1598"/>
      <c r="BF174" s="135"/>
      <c r="BG174" s="1462">
        <f>AVERAGE(AQ174:BE174)</f>
        <v>0</v>
      </c>
      <c r="BH174" s="1462"/>
      <c r="BI174" s="1462"/>
      <c r="BJ174" s="121"/>
      <c r="BV174" s="28" t="str">
        <f>CONCATENATE("bei theoretischer Kälteleistung mit ",S25," kW")</f>
        <v>bei theoretischer Kälteleistung mit  kW</v>
      </c>
    </row>
    <row r="175" spans="2:77" s="28" customFormat="1" ht="6" customHeight="1" collapsed="1">
      <c r="B175" s="117"/>
      <c r="C175" s="1252"/>
      <c r="D175" s="98"/>
      <c r="E175" s="98"/>
      <c r="F175" s="98"/>
      <c r="G175" s="98"/>
      <c r="H175" s="98"/>
      <c r="I175" s="98"/>
      <c r="J175" s="98"/>
      <c r="K175" s="98"/>
      <c r="L175" s="98"/>
      <c r="M175" s="98"/>
      <c r="N175" s="98"/>
      <c r="O175" s="98"/>
      <c r="P175" s="122"/>
      <c r="Q175" s="98"/>
      <c r="R175" s="98"/>
      <c r="S175" s="98"/>
      <c r="T175" s="98"/>
      <c r="U175" s="98"/>
      <c r="V175" s="98"/>
      <c r="W175" s="98"/>
      <c r="X175" s="98"/>
      <c r="Y175" s="98"/>
      <c r="Z175" s="98"/>
      <c r="AA175" s="98"/>
      <c r="AB175" s="98"/>
      <c r="AC175" s="98"/>
      <c r="AD175" s="98"/>
      <c r="AE175" s="98"/>
      <c r="AF175" s="98"/>
      <c r="AG175" s="98"/>
      <c r="AH175" s="98"/>
      <c r="AI175" s="98"/>
      <c r="AJ175" s="98"/>
      <c r="AK175" s="98"/>
      <c r="AL175" s="98"/>
      <c r="AM175" s="98"/>
      <c r="AN175" s="98"/>
      <c r="AO175" s="98"/>
      <c r="AP175" s="98"/>
      <c r="AQ175" s="98"/>
      <c r="AR175" s="98"/>
      <c r="AS175" s="98"/>
      <c r="AT175" s="98"/>
      <c r="AU175" s="98"/>
      <c r="AV175" s="98"/>
      <c r="AW175" s="98"/>
      <c r="AX175" s="98"/>
      <c r="AY175" s="98"/>
      <c r="AZ175" s="98"/>
      <c r="BA175" s="98"/>
      <c r="BB175" s="98"/>
      <c r="BC175" s="98"/>
      <c r="BD175" s="98"/>
      <c r="BE175" s="98"/>
      <c r="BF175" s="98"/>
      <c r="BG175" s="98"/>
      <c r="BH175" s="98"/>
      <c r="BI175" s="98"/>
      <c r="BJ175" s="121"/>
    </row>
    <row r="176" spans="2:77" s="28" customFormat="1" ht="11.1" customHeight="1">
      <c r="B176" s="117"/>
      <c r="C176" s="1252"/>
      <c r="E176" s="541" t="str">
        <f>X!$C$214</f>
        <v>Standard-Profil</v>
      </c>
      <c r="F176" s="98"/>
      <c r="G176" s="98"/>
      <c r="H176" s="98"/>
      <c r="I176" s="98"/>
      <c r="J176" s="98"/>
      <c r="K176" s="98"/>
      <c r="L176" s="1271" t="s">
        <v>1087</v>
      </c>
      <c r="M176" s="98"/>
      <c r="N176" s="98"/>
      <c r="O176" s="98"/>
      <c r="P176" s="122" t="s">
        <v>118</v>
      </c>
      <c r="Q176" s="98"/>
      <c r="R176" s="98"/>
      <c r="S176" s="1598">
        <f>IF(S160=0,S174,IF((S174/S160*$S25)&gt;24,24,(S174/S160*$S25)))</f>
        <v>0</v>
      </c>
      <c r="T176" s="1598"/>
      <c r="U176" s="1598"/>
      <c r="V176" s="1251"/>
      <c r="W176" s="1598">
        <f>IF(W160=0,W174,IF((W174/W160*$S25)&gt;24,24,(W174/W160*$S25)))</f>
        <v>0</v>
      </c>
      <c r="X176" s="1598"/>
      <c r="Y176" s="1598"/>
      <c r="Z176" s="166"/>
      <c r="AA176" s="1598">
        <f>IF(AA160=0,AA174,IF((AA174/AA160*$S25)&gt;24,24,(AA174/AA160*$S25)))</f>
        <v>0</v>
      </c>
      <c r="AB176" s="1598"/>
      <c r="AC176" s="1598"/>
      <c r="AD176" s="166"/>
      <c r="AE176" s="1598">
        <f>IF(AE160=0,AE174,IF((AE174/AE160*$S25)&gt;24,24,(AE174/AE160*$S25)))</f>
        <v>0</v>
      </c>
      <c r="AF176" s="1598"/>
      <c r="AG176" s="1598"/>
      <c r="AH176" s="1248"/>
      <c r="AI176" s="1462">
        <f>AVERAGE(S176:AG176)</f>
        <v>0</v>
      </c>
      <c r="AJ176" s="1462"/>
      <c r="AK176" s="1462"/>
      <c r="AL176" s="1247"/>
      <c r="AM176" s="608" t="s">
        <v>292</v>
      </c>
      <c r="AN176" s="608" t="s">
        <v>292</v>
      </c>
      <c r="AO176" s="608" t="s">
        <v>292</v>
      </c>
      <c r="AP176" s="1248"/>
      <c r="AQ176" s="1452">
        <f>IF(AQ160=0,AQ174,IF((AQ174/AQ160*$S25)&gt;24,24,(AQ174/AQ160*$S25)))</f>
        <v>0</v>
      </c>
      <c r="AR176" s="1452"/>
      <c r="AS176" s="1452"/>
      <c r="AT176" s="98"/>
      <c r="AU176" s="1452">
        <f>IF(AU160=0,AU174,IF((AU174/AU160*$S25)&gt;24,24,(AU174/AU160*$S25)))</f>
        <v>0</v>
      </c>
      <c r="AV176" s="1452"/>
      <c r="AW176" s="1452"/>
      <c r="AX176" s="98"/>
      <c r="AY176" s="1452">
        <f>IF(AY160=0,AY174,IF((AY174/AY160*$S25)&gt;24,24,(AY174/AY160*$S25)))</f>
        <v>0</v>
      </c>
      <c r="AZ176" s="1452"/>
      <c r="BA176" s="1452"/>
      <c r="BB176" s="98"/>
      <c r="BC176" s="1452">
        <f>IF(BC160=0,BC174,IF((BC174/BC160*$S25)&gt;24,24,(BC174/BC160*$S25)))</f>
        <v>0</v>
      </c>
      <c r="BD176" s="1452"/>
      <c r="BE176" s="1452"/>
      <c r="BF176" s="1248"/>
      <c r="BG176" s="1462">
        <f>AVERAGE(AQ176:BE176)</f>
        <v>0</v>
      </c>
      <c r="BH176" s="1462"/>
      <c r="BI176" s="1462"/>
      <c r="BJ176" s="121"/>
      <c r="BM176" s="760"/>
      <c r="BN176" s="760"/>
      <c r="BO176" s="760"/>
      <c r="BP176" s="760"/>
      <c r="BQ176" s="760"/>
      <c r="BR176" s="760"/>
      <c r="BS176" s="760"/>
      <c r="BT176" s="760"/>
      <c r="BU176" s="760"/>
      <c r="BV176" s="760" t="s">
        <v>1085</v>
      </c>
      <c r="BW176" s="760"/>
      <c r="BX176" s="760"/>
      <c r="BY176" s="220"/>
    </row>
    <row r="177" spans="2:76" s="28" customFormat="1" ht="6" customHeight="1">
      <c r="B177" s="117"/>
      <c r="C177" s="474"/>
      <c r="E177" s="98"/>
      <c r="F177" s="98"/>
      <c r="G177" s="98"/>
      <c r="H177" s="98"/>
      <c r="I177" s="98"/>
      <c r="J177" s="98"/>
      <c r="K177" s="98"/>
      <c r="L177" s="98"/>
      <c r="M177" s="98"/>
      <c r="N177" s="98"/>
      <c r="O177" s="98"/>
      <c r="P177" s="122"/>
      <c r="Q177" s="98"/>
      <c r="R177" s="98"/>
      <c r="S177" s="165"/>
      <c r="T177" s="165"/>
      <c r="U177" s="165"/>
      <c r="V177" s="165"/>
      <c r="W177" s="165"/>
      <c r="X177" s="165"/>
      <c r="Y177" s="165"/>
      <c r="Z177" s="165"/>
      <c r="AA177" s="165"/>
      <c r="AB177" s="165"/>
      <c r="AC177" s="165"/>
      <c r="AD177" s="165"/>
      <c r="AE177" s="165"/>
      <c r="AF177" s="165"/>
      <c r="AG177" s="165"/>
      <c r="AH177" s="135"/>
      <c r="AI177" s="135"/>
      <c r="AJ177" s="135"/>
      <c r="AK177" s="135"/>
      <c r="AL177" s="644"/>
      <c r="AM177" s="405"/>
      <c r="AN177" s="135"/>
      <c r="AO177" s="135"/>
      <c r="AP177" s="135"/>
      <c r="AQ177" s="135"/>
      <c r="AR177" s="135"/>
      <c r="AS177" s="135"/>
      <c r="AT177" s="135"/>
      <c r="AU177" s="135"/>
      <c r="AV177" s="135"/>
      <c r="AW177" s="135"/>
      <c r="AX177" s="135"/>
      <c r="AY177" s="135"/>
      <c r="AZ177" s="135"/>
      <c r="BA177" s="135"/>
      <c r="BB177" s="135"/>
      <c r="BC177" s="135"/>
      <c r="BD177" s="135"/>
      <c r="BE177" s="135"/>
      <c r="BF177" s="135"/>
      <c r="BG177" s="135"/>
      <c r="BH177" s="135"/>
      <c r="BI177" s="135"/>
      <c r="BJ177" s="121"/>
    </row>
    <row r="178" spans="2:76" ht="11.1" customHeight="1">
      <c r="B178" s="147"/>
      <c r="C178" s="477"/>
      <c r="E178" s="542" t="str">
        <f>X!$C$28</f>
        <v>Annahmen Planer</v>
      </c>
      <c r="F178" s="52"/>
      <c r="G178" s="52"/>
      <c r="H178" s="52"/>
      <c r="I178" s="52"/>
      <c r="J178" s="52"/>
      <c r="K178" s="52"/>
      <c r="L178" s="52"/>
      <c r="M178" s="52"/>
      <c r="N178" s="52"/>
      <c r="O178" s="52"/>
      <c r="P178" s="55" t="s">
        <v>118</v>
      </c>
      <c r="Q178" s="52"/>
      <c r="R178" s="52"/>
      <c r="S178" s="1594"/>
      <c r="T178" s="1594"/>
      <c r="U178" s="1595"/>
      <c r="V178" s="165"/>
      <c r="W178" s="1594"/>
      <c r="X178" s="1594"/>
      <c r="Y178" s="1595"/>
      <c r="Z178" s="166"/>
      <c r="AA178" s="1594"/>
      <c r="AB178" s="1594"/>
      <c r="AC178" s="1595"/>
      <c r="AD178" s="166"/>
      <c r="AE178" s="1594"/>
      <c r="AF178" s="1594"/>
      <c r="AG178" s="1595"/>
      <c r="AH178" s="135"/>
      <c r="AI178" s="1484">
        <f>AI180</f>
        <v>0</v>
      </c>
      <c r="AJ178" s="1484"/>
      <c r="AK178" s="1484"/>
      <c r="AL178" s="646"/>
      <c r="AM178" s="608" t="s">
        <v>292</v>
      </c>
      <c r="AN178" s="608" t="s">
        <v>292</v>
      </c>
      <c r="AO178" s="608" t="s">
        <v>292</v>
      </c>
      <c r="AP178" s="91"/>
      <c r="AQ178" s="1594"/>
      <c r="AR178" s="1594"/>
      <c r="AS178" s="1595"/>
      <c r="AT178" s="948"/>
      <c r="AU178" s="1594"/>
      <c r="AV178" s="1594"/>
      <c r="AW178" s="1595"/>
      <c r="AX178" s="166"/>
      <c r="AY178" s="1594"/>
      <c r="AZ178" s="1594"/>
      <c r="BA178" s="1595"/>
      <c r="BB178" s="166"/>
      <c r="BC178" s="1594"/>
      <c r="BD178" s="1594"/>
      <c r="BE178" s="1595"/>
      <c r="BF178" s="950"/>
      <c r="BG178" s="1484">
        <f>BG180</f>
        <v>0</v>
      </c>
      <c r="BH178" s="1484"/>
      <c r="BI178" s="1484"/>
      <c r="BJ178" s="152"/>
      <c r="BP178" s="28"/>
      <c r="BQ178" s="531">
        <f>LEN(BV178)</f>
        <v>139</v>
      </c>
      <c r="BR178" s="531"/>
      <c r="BS178" s="28"/>
      <c r="BT178" s="531"/>
      <c r="BU178" s="28" t="s">
        <v>436</v>
      </c>
      <c r="BV178" s="28" t="str">
        <f>X!E424</f>
        <v>Eingabe der vom Planer berecheten Betriebszeit der Maschine.  (Möglichkeit die Erfahrungen oder situative Situation einfliessen zu lassen).</v>
      </c>
      <c r="BW178" s="28" t="str">
        <f>X!F424</f>
        <v>Saisie du temps de marche de la machine calculé par le projeteur.  (possibilité d'intégrer l'expérience ou la situation effective).</v>
      </c>
      <c r="BX178" s="28" t="str">
        <f>X!G424</f>
        <v>Inserimento del tempo d'esercizio della macchina calcolato dal progettista.  (Si possono far confluire le esperienze o la situazione effettiva).</v>
      </c>
    </row>
    <row r="179" spans="2:76" s="28" customFormat="1" ht="6" hidden="1" customHeight="1" outlineLevel="1">
      <c r="B179" s="117"/>
      <c r="C179" s="474"/>
      <c r="E179" s="98"/>
      <c r="F179" s="98"/>
      <c r="G179" s="98"/>
      <c r="H179" s="98"/>
      <c r="I179" s="98"/>
      <c r="J179" s="98"/>
      <c r="K179" s="98"/>
      <c r="L179" s="98"/>
      <c r="M179" s="98"/>
      <c r="N179" s="98"/>
      <c r="O179" s="98"/>
      <c r="P179" s="122"/>
      <c r="Q179" s="98"/>
      <c r="R179" s="98"/>
      <c r="S179" s="135"/>
      <c r="T179" s="135"/>
      <c r="U179" s="135"/>
      <c r="V179" s="135"/>
      <c r="W179" s="135"/>
      <c r="X179" s="135"/>
      <c r="Y179" s="135"/>
      <c r="Z179" s="135"/>
      <c r="AA179" s="135"/>
      <c r="AB179" s="135"/>
      <c r="AC179" s="135"/>
      <c r="AD179" s="135"/>
      <c r="AE179" s="135"/>
      <c r="AF179" s="135"/>
      <c r="AG179" s="135"/>
      <c r="AH179" s="135"/>
      <c r="AI179" s="135"/>
      <c r="AJ179" s="135"/>
      <c r="AK179" s="135"/>
      <c r="AL179" s="644"/>
      <c r="AM179" s="594"/>
      <c r="AN179" s="594"/>
      <c r="AO179" s="594"/>
      <c r="AP179" s="135"/>
      <c r="AQ179" s="950"/>
      <c r="AR179" s="950"/>
      <c r="AS179" s="950"/>
      <c r="AT179" s="950"/>
      <c r="AU179" s="950"/>
      <c r="AV179" s="950"/>
      <c r="AW179" s="950"/>
      <c r="AX179" s="950"/>
      <c r="AY179" s="950"/>
      <c r="AZ179" s="950"/>
      <c r="BA179" s="950"/>
      <c r="BB179" s="950"/>
      <c r="BC179" s="950"/>
      <c r="BD179" s="950"/>
      <c r="BE179" s="950"/>
      <c r="BF179" s="950"/>
      <c r="BG179" s="950"/>
      <c r="BH179" s="950"/>
      <c r="BI179" s="950"/>
      <c r="BJ179" s="121"/>
    </row>
    <row r="180" spans="2:76" s="990" customFormat="1" ht="11.1" hidden="1" customHeight="1" outlineLevel="1">
      <c r="B180" s="988"/>
      <c r="C180" s="989"/>
      <c r="E180" s="543" t="s">
        <v>977</v>
      </c>
      <c r="F180" s="148"/>
      <c r="G180" s="148"/>
      <c r="H180" s="148"/>
      <c r="I180" s="148"/>
      <c r="J180" s="148"/>
      <c r="K180" s="148"/>
      <c r="L180" s="148"/>
      <c r="M180" s="148"/>
      <c r="N180" s="148"/>
      <c r="O180" s="148"/>
      <c r="P180" s="150" t="s">
        <v>118</v>
      </c>
      <c r="Q180" s="148"/>
      <c r="R180" s="148"/>
      <c r="S180" s="1592">
        <f>IF(S178="",IF(S176=0,S174,S176),S178)</f>
        <v>0</v>
      </c>
      <c r="T180" s="1592"/>
      <c r="U180" s="1592"/>
      <c r="V180" s="991"/>
      <c r="W180" s="1592">
        <f>IF(W178="",IF(W176=0,W174,W176),W178)</f>
        <v>0</v>
      </c>
      <c r="X180" s="1592"/>
      <c r="Y180" s="1592"/>
      <c r="Z180" s="992"/>
      <c r="AA180" s="1592">
        <f>IF(AA178="",IF(AA176=0,AA174,AA176),AA178)</f>
        <v>0</v>
      </c>
      <c r="AB180" s="1592"/>
      <c r="AC180" s="1592"/>
      <c r="AD180" s="992"/>
      <c r="AE180" s="1592">
        <f>IF(AE178="",IF(AE176=0,AE174,AE176),AE178)</f>
        <v>0</v>
      </c>
      <c r="AF180" s="1592"/>
      <c r="AG180" s="1592"/>
      <c r="AH180" s="149"/>
      <c r="AI180" s="1593">
        <f>AVERAGE(S180:AG180)</f>
        <v>0</v>
      </c>
      <c r="AJ180" s="1593"/>
      <c r="AK180" s="1593"/>
      <c r="AL180" s="993"/>
      <c r="AM180" s="994" t="s">
        <v>292</v>
      </c>
      <c r="AN180" s="994" t="s">
        <v>292</v>
      </c>
      <c r="AO180" s="994" t="s">
        <v>292</v>
      </c>
      <c r="AP180" s="149"/>
      <c r="AQ180" s="1592">
        <f>IF(AQ178="",IF(AQ176=0,AQ174,AQ176),AQ178)</f>
        <v>0</v>
      </c>
      <c r="AR180" s="1592"/>
      <c r="AS180" s="1592"/>
      <c r="AT180" s="991"/>
      <c r="AU180" s="1592">
        <f>IF(AU178="",IF(AU176=0,AU174,AU176),AU178)</f>
        <v>0</v>
      </c>
      <c r="AV180" s="1592"/>
      <c r="AW180" s="1592"/>
      <c r="AX180" s="992"/>
      <c r="AY180" s="1592">
        <f>IF(AY178="",IF(AY176=0,AY174,AY176),AY178)</f>
        <v>0</v>
      </c>
      <c r="AZ180" s="1592"/>
      <c r="BA180" s="1592"/>
      <c r="BB180" s="992"/>
      <c r="BC180" s="1592">
        <f>IF(BC178="",IF(BC176=0,BC174,BC176),BC178)</f>
        <v>0</v>
      </c>
      <c r="BD180" s="1592"/>
      <c r="BE180" s="1592"/>
      <c r="BF180" s="149"/>
      <c r="BG180" s="1593">
        <f>AVERAGE(AQ180:BE180)</f>
        <v>0</v>
      </c>
      <c r="BH180" s="1593"/>
      <c r="BI180" s="1593"/>
      <c r="BJ180" s="995"/>
    </row>
    <row r="181" spans="2:76" s="28" customFormat="1" ht="6" customHeight="1" collapsed="1">
      <c r="B181" s="117"/>
      <c r="C181" s="956"/>
      <c r="D181" s="98"/>
      <c r="E181" s="98"/>
      <c r="F181" s="98"/>
      <c r="G181" s="98"/>
      <c r="H181" s="98"/>
      <c r="I181" s="98"/>
      <c r="J181" s="98"/>
      <c r="K181" s="98"/>
      <c r="L181" s="98"/>
      <c r="M181" s="98"/>
      <c r="N181" s="98"/>
      <c r="O181" s="98"/>
      <c r="P181" s="122"/>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98"/>
      <c r="BH181" s="98"/>
      <c r="BI181" s="98"/>
      <c r="BJ181" s="121"/>
    </row>
    <row r="182" spans="2:76" ht="11.1" customHeight="1">
      <c r="B182" s="147"/>
      <c r="C182" s="477"/>
      <c r="E182" s="543" t="str">
        <f>X!$C$22</f>
        <v>Abweichung Planer-Wert</v>
      </c>
      <c r="F182" s="52"/>
      <c r="G182" s="52"/>
      <c r="H182" s="52"/>
      <c r="I182" s="52"/>
      <c r="J182" s="52"/>
      <c r="K182" s="52"/>
      <c r="L182" s="52"/>
      <c r="M182" s="52"/>
      <c r="N182" s="52"/>
      <c r="O182" s="52"/>
      <c r="P182" s="55" t="s">
        <v>30</v>
      </c>
      <c r="Q182" s="52"/>
      <c r="R182" s="52"/>
      <c r="S182" s="1597">
        <f>IF(S178="",0,IF(S176=0,"--",S178/S176-1))</f>
        <v>0</v>
      </c>
      <c r="T182" s="1597"/>
      <c r="U182" s="1597"/>
      <c r="V182" s="203"/>
      <c r="W182" s="1597">
        <f>IF(W178="",0,IF(W176=0,"--",W178/W176-1))</f>
        <v>0</v>
      </c>
      <c r="X182" s="1597"/>
      <c r="Y182" s="1597"/>
      <c r="Z182" s="204"/>
      <c r="AA182" s="1597">
        <f>IF(AA178="",0,IF(AA176=0,"--",AA178/AA176-1))</f>
        <v>0</v>
      </c>
      <c r="AB182" s="1597"/>
      <c r="AC182" s="1597"/>
      <c r="AD182" s="204"/>
      <c r="AE182" s="1597">
        <f>IF(AE178="",0,IF(AE176=0,"--",AE178/AE176-1))</f>
        <v>0</v>
      </c>
      <c r="AF182" s="1597"/>
      <c r="AG182" s="1597"/>
      <c r="AH182" s="203"/>
      <c r="AI182" s="1597" t="str">
        <f>IF(AI178="",0,IF(AI176=0,"--",AI178/AI176-1))</f>
        <v>--</v>
      </c>
      <c r="AJ182" s="1597"/>
      <c r="AK182" s="1597"/>
      <c r="AL182" s="655"/>
      <c r="AM182" s="608" t="s">
        <v>292</v>
      </c>
      <c r="AN182" s="608" t="s">
        <v>292</v>
      </c>
      <c r="AO182" s="608" t="s">
        <v>292</v>
      </c>
      <c r="AP182" s="203"/>
      <c r="AQ182" s="1597">
        <f>IF(AQ178="",0,IF(AQ176=0,"--",AQ178/AQ176-1))</f>
        <v>0</v>
      </c>
      <c r="AR182" s="1597"/>
      <c r="AS182" s="1597"/>
      <c r="AT182" s="203"/>
      <c r="AU182" s="1597">
        <f>IF(AU178="",0,IF(AU176=0,"--",AU178/AU176-1))</f>
        <v>0</v>
      </c>
      <c r="AV182" s="1597"/>
      <c r="AW182" s="1597"/>
      <c r="AX182" s="204"/>
      <c r="AY182" s="1597">
        <f>IF(AY178="",0,IF(AY176=0,"--",AY178/AY176-1))</f>
        <v>0</v>
      </c>
      <c r="AZ182" s="1597"/>
      <c r="BA182" s="1597"/>
      <c r="BB182" s="204"/>
      <c r="BC182" s="1597">
        <f>IF(BC178="",0,IF(BC176=0,"--",BC178/BC176-1))</f>
        <v>0</v>
      </c>
      <c r="BD182" s="1597"/>
      <c r="BE182" s="1597"/>
      <c r="BF182" s="203"/>
      <c r="BG182" s="1597" t="str">
        <f>IF(BG178="",0,IF(BG176=0,"--",BG178/BG176-1))</f>
        <v>--</v>
      </c>
      <c r="BH182" s="1597"/>
      <c r="BI182" s="1597"/>
      <c r="BJ182" s="152"/>
      <c r="BP182" s="28"/>
      <c r="BQ182" s="531">
        <f>LEN(BV182)</f>
        <v>106</v>
      </c>
      <c r="BR182" s="531"/>
      <c r="BS182" s="28"/>
      <c r="BT182" s="531"/>
      <c r="BU182" s="28" t="s">
        <v>437</v>
      </c>
      <c r="BV182" s="28" t="str">
        <f>X!E425</f>
        <v xml:space="preserve">Hier wird die prozentuale Abweichung der «Laufzeiten des Planer» von den «Standard-Laufzeiten» angezeigt. </v>
      </c>
      <c r="BW182" s="28" t="str">
        <f>X!F425</f>
        <v xml:space="preserve">L'écart en % des «durées de marche du projeteur» des «durées de marche standard» est affiché à cet endroit. </v>
      </c>
      <c r="BX182" s="28" t="str">
        <f>X!G425</f>
        <v xml:space="preserve">Qui viene indicata la differenza percentuale tra i «tempi del progettista» e i «tempi standard». </v>
      </c>
    </row>
    <row r="183" spans="2:76" s="28" customFormat="1" ht="17.100000000000001" customHeight="1">
      <c r="B183" s="117"/>
      <c r="C183" s="474"/>
      <c r="D183" s="98"/>
      <c r="E183" s="98"/>
      <c r="F183" s="98"/>
      <c r="G183" s="98"/>
      <c r="H183" s="98"/>
      <c r="I183" s="98"/>
      <c r="J183" s="98"/>
      <c r="K183" s="98"/>
      <c r="L183" s="98"/>
      <c r="M183" s="98"/>
      <c r="N183" s="98"/>
      <c r="O183" s="98"/>
      <c r="P183" s="122"/>
      <c r="Q183" s="98"/>
      <c r="R183" s="98"/>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50"/>
      <c r="BB183" s="150"/>
      <c r="BC183" s="150"/>
      <c r="BD183" s="150"/>
      <c r="BE183" s="150"/>
      <c r="BF183" s="150"/>
      <c r="BG183" s="150"/>
      <c r="BH183" s="150"/>
      <c r="BI183" s="150"/>
      <c r="BJ183" s="121"/>
    </row>
    <row r="184" spans="2:76" s="209" customFormat="1" ht="42" customHeight="1">
      <c r="B184" s="205"/>
      <c r="C184" s="511"/>
      <c r="D184" s="1610" t="str">
        <f>X!$C$123</f>
        <v>Hinweis</v>
      </c>
      <c r="E184" s="1611"/>
      <c r="F184" s="1611"/>
      <c r="G184" s="1611"/>
      <c r="H184" s="1611"/>
      <c r="I184" s="1611"/>
      <c r="J184" s="1611"/>
      <c r="K184" s="1611"/>
      <c r="L184" s="1611"/>
      <c r="M184" s="1611"/>
      <c r="N184" s="1611"/>
      <c r="O184" s="206"/>
      <c r="P184" s="206"/>
      <c r="Q184" s="206"/>
      <c r="R184" s="206"/>
      <c r="S184" s="1544" t="str">
        <f>IF(AI182&lt;D660,S660,"")</f>
        <v/>
      </c>
      <c r="T184" s="1544"/>
      <c r="U184" s="1544"/>
      <c r="V184" s="1544"/>
      <c r="W184" s="1544"/>
      <c r="X184" s="1544"/>
      <c r="Y184" s="1544"/>
      <c r="Z184" s="1544"/>
      <c r="AA184" s="1544"/>
      <c r="AB184" s="1544"/>
      <c r="AC184" s="1544"/>
      <c r="AD184" s="1544"/>
      <c r="AE184" s="1544"/>
      <c r="AF184" s="1544"/>
      <c r="AG184" s="1544"/>
      <c r="AH184" s="1544"/>
      <c r="AI184" s="1544"/>
      <c r="AJ184" s="1544"/>
      <c r="AK184" s="1544"/>
      <c r="AL184" s="648"/>
      <c r="AM184" s="426"/>
      <c r="AN184" s="207"/>
      <c r="AO184" s="207"/>
      <c r="AP184" s="207"/>
      <c r="AQ184" s="1544" t="str">
        <f>IF(BG182&lt;D660,S660,"")</f>
        <v/>
      </c>
      <c r="AR184" s="1544"/>
      <c r="AS184" s="1544"/>
      <c r="AT184" s="1544"/>
      <c r="AU184" s="1544"/>
      <c r="AV184" s="1544"/>
      <c r="AW184" s="1544"/>
      <c r="AX184" s="1544"/>
      <c r="AY184" s="1544"/>
      <c r="AZ184" s="1544"/>
      <c r="BA184" s="1544"/>
      <c r="BB184" s="1544"/>
      <c r="BC184" s="1544"/>
      <c r="BD184" s="1544"/>
      <c r="BE184" s="1544"/>
      <c r="BF184" s="1544"/>
      <c r="BG184" s="1544"/>
      <c r="BH184" s="1544"/>
      <c r="BI184" s="1544"/>
      <c r="BJ184" s="208"/>
      <c r="BP184" s="28"/>
      <c r="BQ184" s="28"/>
      <c r="BR184" s="28"/>
      <c r="BS184" s="28"/>
      <c r="BT184" s="28"/>
      <c r="BU184" s="28"/>
      <c r="BV184" s="28"/>
      <c r="BW184" s="28"/>
      <c r="BX184" s="28"/>
    </row>
    <row r="185" spans="2:76" s="28" customFormat="1" ht="6" customHeight="1">
      <c r="B185" s="117"/>
      <c r="C185" s="474"/>
      <c r="D185" s="98"/>
      <c r="E185" s="98"/>
      <c r="F185" s="98"/>
      <c r="G185" s="98"/>
      <c r="H185" s="98"/>
      <c r="I185" s="98"/>
      <c r="J185" s="98"/>
      <c r="K185" s="98"/>
      <c r="L185" s="98"/>
      <c r="M185" s="98"/>
      <c r="N185" s="98"/>
      <c r="O185" s="98"/>
      <c r="P185" s="122"/>
      <c r="Q185" s="98"/>
      <c r="R185" s="98"/>
      <c r="S185" s="135"/>
      <c r="T185" s="135"/>
      <c r="U185" s="135"/>
      <c r="V185" s="135"/>
      <c r="W185" s="135"/>
      <c r="X185" s="135"/>
      <c r="Y185" s="135"/>
      <c r="Z185" s="135"/>
      <c r="AA185" s="135"/>
      <c r="AB185" s="135"/>
      <c r="AC185" s="135"/>
      <c r="AD185" s="135"/>
      <c r="AE185" s="135"/>
      <c r="AF185" s="135"/>
      <c r="AG185" s="135"/>
      <c r="AH185" s="135"/>
      <c r="AI185" s="135"/>
      <c r="AJ185" s="135"/>
      <c r="AK185" s="135"/>
      <c r="AL185" s="405"/>
      <c r="AM185" s="405"/>
      <c r="AN185" s="135"/>
      <c r="AO185" s="135"/>
      <c r="AP185" s="135"/>
      <c r="AQ185" s="135"/>
      <c r="AR185" s="135"/>
      <c r="AS185" s="135"/>
      <c r="AT185" s="135"/>
      <c r="AU185" s="135"/>
      <c r="AV185" s="135"/>
      <c r="AW185" s="135"/>
      <c r="AX185" s="135"/>
      <c r="AY185" s="135"/>
      <c r="AZ185" s="135"/>
      <c r="BA185" s="55"/>
      <c r="BB185" s="55"/>
      <c r="BC185" s="55"/>
      <c r="BD185" s="55"/>
      <c r="BE185" s="55"/>
      <c r="BF185" s="55"/>
      <c r="BG185" s="55"/>
      <c r="BH185" s="55"/>
      <c r="BI185" s="55"/>
      <c r="BJ185" s="121"/>
    </row>
    <row r="186" spans="2:76" s="28" customFormat="1" ht="32.1" customHeight="1">
      <c r="B186" s="117"/>
      <c r="C186" s="474"/>
      <c r="D186" s="98"/>
      <c r="E186" s="98"/>
      <c r="F186" s="98"/>
      <c r="G186" s="98"/>
      <c r="H186" s="98"/>
      <c r="I186" s="98"/>
      <c r="J186" s="98"/>
      <c r="K186" s="98"/>
      <c r="L186" s="98"/>
      <c r="M186" s="98"/>
      <c r="N186" s="98"/>
      <c r="O186" s="98"/>
      <c r="P186" s="122"/>
      <c r="Q186" s="98"/>
      <c r="R186" s="98"/>
      <c r="S186" s="1545" t="str">
        <f>IF(AI182&lt;D660,AQ660,"")</f>
        <v/>
      </c>
      <c r="T186" s="1545"/>
      <c r="U186" s="1545"/>
      <c r="V186" s="1545"/>
      <c r="W186" s="1545"/>
      <c r="X186" s="1545"/>
      <c r="Y186" s="1545"/>
      <c r="Z186" s="1545"/>
      <c r="AA186" s="1545"/>
      <c r="AB186" s="1545"/>
      <c r="AC186" s="1545"/>
      <c r="AD186" s="1545"/>
      <c r="AE186" s="1545"/>
      <c r="AF186" s="1545"/>
      <c r="AG186" s="1545"/>
      <c r="AH186" s="1545"/>
      <c r="AI186" s="1545"/>
      <c r="AJ186" s="1545"/>
      <c r="AK186" s="1545"/>
      <c r="AL186" s="427"/>
      <c r="AM186" s="427"/>
      <c r="AN186" s="149"/>
      <c r="AO186" s="149"/>
      <c r="AP186" s="149"/>
      <c r="AQ186" s="1545" t="str">
        <f>IF(BG182&lt;D660,AQ660,"")</f>
        <v/>
      </c>
      <c r="AR186" s="1545"/>
      <c r="AS186" s="1545"/>
      <c r="AT186" s="1545"/>
      <c r="AU186" s="1545"/>
      <c r="AV186" s="1545"/>
      <c r="AW186" s="1545"/>
      <c r="AX186" s="1545"/>
      <c r="AY186" s="1545"/>
      <c r="AZ186" s="1545"/>
      <c r="BA186" s="1545"/>
      <c r="BB186" s="1545"/>
      <c r="BC186" s="1545"/>
      <c r="BD186" s="1545"/>
      <c r="BE186" s="1545"/>
      <c r="BF186" s="1545"/>
      <c r="BG186" s="1545"/>
      <c r="BH186" s="1545"/>
      <c r="BI186" s="1545"/>
      <c r="BJ186" s="121"/>
      <c r="BP186" s="31"/>
      <c r="BQ186" s="31"/>
      <c r="BR186" s="31"/>
      <c r="BS186" s="31"/>
      <c r="BT186" s="31"/>
      <c r="BU186" s="31"/>
      <c r="BV186" s="31"/>
      <c r="BW186" s="31"/>
      <c r="BX186" s="31"/>
    </row>
    <row r="187" spans="2:76" s="28" customFormat="1" ht="14.1" customHeight="1">
      <c r="B187" s="117"/>
      <c r="C187" s="713"/>
      <c r="D187" s="98"/>
      <c r="E187" s="98"/>
      <c r="F187" s="98"/>
      <c r="G187" s="98"/>
      <c r="H187" s="98"/>
      <c r="I187" s="98"/>
      <c r="J187" s="98"/>
      <c r="K187" s="98"/>
      <c r="L187" s="98"/>
      <c r="M187" s="98"/>
      <c r="N187" s="98"/>
      <c r="O187" s="98"/>
      <c r="P187" s="122"/>
      <c r="Q187" s="98"/>
      <c r="R187" s="98"/>
      <c r="S187" s="711"/>
      <c r="T187" s="711"/>
      <c r="U187" s="711"/>
      <c r="V187" s="711"/>
      <c r="W187" s="711"/>
      <c r="X187" s="711"/>
      <c r="Y187" s="711"/>
      <c r="Z187" s="711"/>
      <c r="AA187" s="711"/>
      <c r="AB187" s="711"/>
      <c r="AC187" s="711"/>
      <c r="AD187" s="711"/>
      <c r="AE187" s="711"/>
      <c r="AF187" s="711"/>
      <c r="AG187" s="711"/>
      <c r="AH187" s="711"/>
      <c r="AI187" s="711"/>
      <c r="AJ187" s="711"/>
      <c r="AK187" s="711"/>
      <c r="AL187" s="711"/>
      <c r="AM187" s="711"/>
      <c r="AN187" s="714"/>
      <c r="AO187" s="714"/>
      <c r="AP187" s="714"/>
      <c r="AQ187" s="711"/>
      <c r="AR187" s="711"/>
      <c r="AS187" s="711"/>
      <c r="AT187" s="98"/>
      <c r="AU187" s="98"/>
      <c r="AV187" s="640"/>
      <c r="AW187" s="640"/>
      <c r="AX187" s="640"/>
      <c r="AY187" s="640"/>
      <c r="AZ187" s="640"/>
      <c r="BA187" s="640"/>
      <c r="BB187" s="640"/>
      <c r="BC187" s="640"/>
      <c r="BD187" s="640"/>
      <c r="BE187" s="640"/>
      <c r="BF187" s="640"/>
      <c r="BG187" s="640"/>
      <c r="BH187" s="640"/>
      <c r="BI187" s="640"/>
      <c r="BJ187" s="121"/>
    </row>
    <row r="188" spans="2:76" s="28" customFormat="1" ht="17.100000000000001" customHeight="1">
      <c r="B188" s="117"/>
      <c r="C188" s="495">
        <v>3.7</v>
      </c>
      <c r="D188" s="985" t="str">
        <f>X!C312</f>
        <v>Wärmenutzung</v>
      </c>
      <c r="E188" s="98"/>
      <c r="F188" s="98"/>
      <c r="G188" s="98"/>
      <c r="H188" s="98"/>
      <c r="I188" s="98"/>
      <c r="J188" s="98"/>
      <c r="K188" s="98"/>
      <c r="L188" s="98"/>
      <c r="M188" s="98"/>
      <c r="N188" s="98"/>
      <c r="O188" s="98"/>
      <c r="P188" s="122"/>
      <c r="Q188" s="98"/>
      <c r="R188" s="98"/>
      <c r="S188" s="164"/>
      <c r="T188" s="164"/>
      <c r="U188" s="164"/>
      <c r="V188" s="907"/>
      <c r="W188" s="164"/>
      <c r="X188" s="164"/>
      <c r="Y188" s="164"/>
      <c r="Z188" s="166"/>
      <c r="AA188" s="164"/>
      <c r="AB188" s="164"/>
      <c r="AC188" s="164"/>
      <c r="AD188" s="166"/>
      <c r="AE188" s="164"/>
      <c r="AF188" s="164"/>
      <c r="AG188" s="164"/>
      <c r="AH188" s="897"/>
      <c r="AI188" s="847"/>
      <c r="AJ188" s="847"/>
      <c r="AK188" s="847"/>
      <c r="AL188" s="896"/>
      <c r="AM188" s="896"/>
      <c r="AN188" s="905"/>
      <c r="AO188" s="905"/>
      <c r="AP188" s="905"/>
      <c r="AQ188" s="160"/>
      <c r="AR188" s="160"/>
      <c r="AS188" s="160"/>
      <c r="AT188" s="897"/>
      <c r="AU188" s="160"/>
      <c r="AV188" s="160"/>
      <c r="AW188" s="160"/>
      <c r="AX188" s="918"/>
      <c r="AY188" s="160"/>
      <c r="AZ188" s="160"/>
      <c r="BA188" s="160"/>
      <c r="BB188" s="918"/>
      <c r="BC188" s="160"/>
      <c r="BD188" s="160"/>
      <c r="BE188" s="160"/>
      <c r="BF188" s="897"/>
      <c r="BG188" s="169"/>
      <c r="BH188" s="169"/>
      <c r="BI188" s="169"/>
      <c r="BJ188" s="121"/>
    </row>
    <row r="189" spans="2:76" s="28" customFormat="1" ht="6.95" customHeight="1">
      <c r="B189" s="117"/>
      <c r="C189" s="495"/>
      <c r="D189" s="985"/>
      <c r="E189" s="98"/>
      <c r="F189" s="98"/>
      <c r="G189" s="98"/>
      <c r="H189" s="98"/>
      <c r="I189" s="98"/>
      <c r="J189" s="98"/>
      <c r="K189" s="98"/>
      <c r="L189" s="98"/>
      <c r="M189" s="98"/>
      <c r="N189" s="98"/>
      <c r="O189" s="98"/>
      <c r="P189" s="122"/>
      <c r="Q189" s="98"/>
      <c r="R189" s="98"/>
      <c r="S189" s="786"/>
      <c r="T189" s="786"/>
      <c r="U189" s="786"/>
      <c r="V189" s="786"/>
      <c r="W189" s="786"/>
      <c r="X189" s="786"/>
      <c r="Y189" s="786"/>
      <c r="Z189" s="166"/>
      <c r="AA189" s="786"/>
      <c r="AB189" s="786"/>
      <c r="AC189" s="786"/>
      <c r="AD189" s="166"/>
      <c r="AE189" s="786"/>
      <c r="AF189" s="786"/>
      <c r="AG189" s="786"/>
      <c r="AH189" s="781"/>
      <c r="AI189" s="782"/>
      <c r="AJ189" s="782"/>
      <c r="AK189" s="782"/>
      <c r="AL189" s="782"/>
      <c r="AM189" s="782"/>
      <c r="AN189" s="779"/>
      <c r="AO189" s="779"/>
      <c r="AP189" s="98"/>
      <c r="AQ189" s="786"/>
      <c r="AR189" s="786"/>
      <c r="AS189" s="786"/>
      <c r="AT189" s="786"/>
      <c r="AU189" s="786"/>
      <c r="AV189" s="786"/>
      <c r="AW189" s="786"/>
      <c r="AX189" s="166"/>
      <c r="AY189" s="786"/>
      <c r="AZ189" s="786"/>
      <c r="BA189" s="786"/>
      <c r="BB189" s="166"/>
      <c r="BC189" s="786"/>
      <c r="BD189" s="786"/>
      <c r="BE189" s="786"/>
      <c r="BF189" s="781"/>
      <c r="BG189" s="782"/>
      <c r="BH189" s="782"/>
      <c r="BI189" s="782"/>
      <c r="BJ189" s="121"/>
    </row>
    <row r="190" spans="2:76" ht="12.95" customHeight="1">
      <c r="B190" s="147"/>
      <c r="C190" s="31"/>
      <c r="D190" s="851" t="str">
        <f>X!C313</f>
        <v>Abschätzung des Wärmebedarfs</v>
      </c>
      <c r="E190" s="52"/>
      <c r="F190" s="52"/>
      <c r="G190" s="52"/>
      <c r="H190" s="52"/>
      <c r="I190" s="52"/>
      <c r="J190" s="52"/>
      <c r="K190" s="52"/>
      <c r="L190" s="52"/>
      <c r="M190" s="52"/>
      <c r="N190" s="52"/>
      <c r="O190" s="52"/>
      <c r="P190" s="640"/>
      <c r="Q190" s="52"/>
      <c r="R190" s="1449" t="str">
        <f>R172</f>
        <v>Frühling</v>
      </c>
      <c r="S190" s="1449"/>
      <c r="T190" s="1449"/>
      <c r="U190" s="1449"/>
      <c r="V190" s="1449" t="str">
        <f>V172</f>
        <v>Sommer</v>
      </c>
      <c r="W190" s="1449"/>
      <c r="X190" s="1449"/>
      <c r="Y190" s="1449"/>
      <c r="Z190" s="1449" t="str">
        <f>Z172</f>
        <v>Herbst</v>
      </c>
      <c r="AA190" s="1449"/>
      <c r="AB190" s="1449"/>
      <c r="AC190" s="1449"/>
      <c r="AD190" s="1449" t="str">
        <f>AD172</f>
        <v>Winter</v>
      </c>
      <c r="AE190" s="1449"/>
      <c r="AF190" s="1449"/>
      <c r="AG190" s="1449"/>
      <c r="AH190" s="52"/>
      <c r="AI190" s="1449"/>
      <c r="AJ190" s="1449"/>
      <c r="AK190" s="1449"/>
      <c r="AL190" s="52"/>
      <c r="AM190" s="52"/>
      <c r="AN190" s="52"/>
      <c r="AO190" s="52"/>
      <c r="AP190" s="1449" t="str">
        <f>R190</f>
        <v>Frühling</v>
      </c>
      <c r="AQ190" s="1449"/>
      <c r="AR190" s="1449"/>
      <c r="AS190" s="1449"/>
      <c r="AT190" s="1449" t="str">
        <f t="shared" ref="AT190" si="0">V190</f>
        <v>Sommer</v>
      </c>
      <c r="AU190" s="1449"/>
      <c r="AV190" s="1449"/>
      <c r="AW190" s="1449"/>
      <c r="AX190" s="1449" t="str">
        <f t="shared" ref="AX190" si="1">Z190</f>
        <v>Herbst</v>
      </c>
      <c r="AY190" s="1449"/>
      <c r="AZ190" s="1449"/>
      <c r="BA190" s="1449"/>
      <c r="BB190" s="1449" t="str">
        <f t="shared" ref="BB190" si="2">AD190</f>
        <v>Winter</v>
      </c>
      <c r="BC190" s="1449"/>
      <c r="BD190" s="1449"/>
      <c r="BE190" s="1449"/>
      <c r="BF190" s="52"/>
      <c r="BG190" s="52"/>
      <c r="BH190" s="52"/>
      <c r="BI190" s="52"/>
      <c r="BJ190" s="121"/>
      <c r="BK190" s="28"/>
      <c r="BP190" s="28"/>
      <c r="BQ190" s="28"/>
      <c r="BR190" s="28"/>
      <c r="BS190" s="28"/>
      <c r="BT190" s="28"/>
      <c r="BU190" s="28"/>
      <c r="BV190" s="28"/>
      <c r="BW190" s="28"/>
      <c r="BX190" s="28"/>
    </row>
    <row r="191" spans="2:76" s="28" customFormat="1" ht="6" customHeight="1">
      <c r="B191" s="117"/>
      <c r="C191" s="789"/>
      <c r="D191" s="98"/>
      <c r="E191" s="98"/>
      <c r="F191" s="98"/>
      <c r="G191" s="98"/>
      <c r="H191" s="98"/>
      <c r="I191" s="98"/>
      <c r="J191" s="98"/>
      <c r="K191" s="98"/>
      <c r="L191" s="98"/>
      <c r="M191" s="98"/>
      <c r="N191" s="98"/>
      <c r="O191" s="98"/>
      <c r="P191" s="122"/>
      <c r="Q191" s="98"/>
      <c r="R191" s="98"/>
      <c r="S191" s="98"/>
      <c r="T191" s="98"/>
      <c r="U191" s="98"/>
      <c r="V191" s="98"/>
      <c r="W191" s="98"/>
      <c r="X191" s="98"/>
      <c r="Y191" s="98"/>
      <c r="Z191" s="98"/>
      <c r="AA191" s="98"/>
      <c r="AB191" s="98"/>
      <c r="AC191" s="98"/>
      <c r="AD191" s="98"/>
      <c r="AE191" s="98"/>
      <c r="AF191" s="98"/>
      <c r="AG191" s="98"/>
      <c r="AH191" s="98"/>
      <c r="AI191" s="98"/>
      <c r="AJ191" s="98"/>
      <c r="AK191" s="98"/>
      <c r="AL191" s="98"/>
      <c r="AM191" s="98"/>
      <c r="AN191" s="98"/>
      <c r="AO191" s="98"/>
      <c r="AP191" s="98"/>
      <c r="AQ191" s="98"/>
      <c r="AR191" s="98"/>
      <c r="AS191" s="98"/>
      <c r="AT191" s="98"/>
      <c r="AU191" s="98"/>
      <c r="AV191" s="98"/>
      <c r="AW191" s="98"/>
      <c r="AX191" s="98"/>
      <c r="AY191" s="98"/>
      <c r="AZ191" s="98"/>
      <c r="BA191" s="98"/>
      <c r="BB191" s="98"/>
      <c r="BC191" s="98"/>
      <c r="BD191" s="98"/>
      <c r="BE191" s="98"/>
      <c r="BF191" s="98"/>
      <c r="BG191" s="98"/>
      <c r="BH191" s="98"/>
      <c r="BI191" s="98"/>
      <c r="BJ191" s="121"/>
      <c r="BL191" s="31"/>
      <c r="BM191" s="31"/>
      <c r="BN191" s="31"/>
      <c r="BO191" s="31"/>
    </row>
    <row r="192" spans="2:76" ht="15.95" customHeight="1">
      <c r="B192" s="147"/>
      <c r="C192" s="31"/>
      <c r="D192" s="904" t="s">
        <v>95</v>
      </c>
      <c r="E192" s="88" t="str">
        <f>X!C314</f>
        <v>benötigte Trinkwarmwasser-Menge</v>
      </c>
      <c r="F192" s="1297"/>
      <c r="G192" s="1297"/>
      <c r="H192" s="1297"/>
      <c r="I192" s="1297"/>
      <c r="J192" s="1297"/>
      <c r="K192" s="1297"/>
      <c r="L192" s="1297"/>
      <c r="M192" s="1297"/>
      <c r="N192" s="1297"/>
      <c r="O192" s="1297"/>
      <c r="P192" s="1297" t="str">
        <f>X!C397</f>
        <v>Liter/Tag</v>
      </c>
      <c r="Q192" s="52"/>
      <c r="R192" s="52"/>
      <c r="S192" s="1581"/>
      <c r="T192" s="1581"/>
      <c r="U192" s="1582"/>
      <c r="V192" s="757"/>
      <c r="W192" s="1581"/>
      <c r="X192" s="1581"/>
      <c r="Y192" s="1582"/>
      <c r="Z192" s="757"/>
      <c r="AA192" s="1581"/>
      <c r="AB192" s="1581"/>
      <c r="AC192" s="1582"/>
      <c r="AD192" s="757"/>
      <c r="AE192" s="1581"/>
      <c r="AF192" s="1581"/>
      <c r="AG192" s="1582"/>
      <c r="AH192" s="757"/>
      <c r="AI192" s="1462"/>
      <c r="AJ192" s="1462"/>
      <c r="AK192" s="1462"/>
      <c r="AL192" s="779"/>
      <c r="AM192" s="779"/>
      <c r="AN192" s="52"/>
      <c r="AO192" s="52"/>
      <c r="AP192" s="52"/>
      <c r="AQ192" s="1581"/>
      <c r="AR192" s="1581"/>
      <c r="AS192" s="1582"/>
      <c r="AT192" s="757"/>
      <c r="AU192" s="1581"/>
      <c r="AV192" s="1581"/>
      <c r="AW192" s="1582"/>
      <c r="AX192" s="757"/>
      <c r="AY192" s="1581"/>
      <c r="AZ192" s="1581"/>
      <c r="BA192" s="1582"/>
      <c r="BB192" s="757"/>
      <c r="BC192" s="1581"/>
      <c r="BD192" s="1581"/>
      <c r="BE192" s="1582"/>
      <c r="BF192" s="52"/>
      <c r="BG192" s="52"/>
      <c r="BH192" s="52"/>
      <c r="BI192" s="52"/>
      <c r="BJ192" s="121"/>
      <c r="BK192" s="28"/>
      <c r="BP192" s="28"/>
      <c r="BQ192" s="28"/>
      <c r="BR192" s="28"/>
      <c r="BS192" s="28"/>
      <c r="BT192" s="28"/>
      <c r="BU192" s="28"/>
      <c r="BV192" s="28"/>
      <c r="BW192" s="28"/>
      <c r="BX192" s="28"/>
    </row>
    <row r="193" spans="2:76" s="28" customFormat="1" ht="6" customHeight="1">
      <c r="B193" s="117"/>
      <c r="C193" s="830"/>
      <c r="E193" s="160"/>
      <c r="F193" s="160"/>
      <c r="G193" s="160"/>
      <c r="H193" s="160"/>
      <c r="I193" s="160"/>
      <c r="J193" s="160"/>
      <c r="K193" s="160"/>
      <c r="L193" s="160"/>
      <c r="M193" s="160"/>
      <c r="N193" s="160"/>
      <c r="O193" s="160"/>
      <c r="P193" s="160"/>
      <c r="Q193" s="98"/>
      <c r="R193" s="98"/>
      <c r="S193" s="98"/>
      <c r="T193" s="98"/>
      <c r="U193" s="98"/>
      <c r="V193" s="98"/>
      <c r="W193" s="98"/>
      <c r="X193" s="98"/>
      <c r="Y193" s="98"/>
      <c r="Z193" s="98"/>
      <c r="AA193" s="98"/>
      <c r="AB193" s="98"/>
      <c r="AC193" s="98"/>
      <c r="AD193" s="98"/>
      <c r="AE193" s="98"/>
      <c r="AF193" s="98"/>
      <c r="AG193" s="98"/>
      <c r="AH193" s="98"/>
      <c r="AI193" s="98"/>
      <c r="AJ193" s="98"/>
      <c r="AK193" s="98"/>
      <c r="AL193" s="98"/>
      <c r="AM193" s="98"/>
      <c r="AN193" s="98"/>
      <c r="AO193" s="98"/>
      <c r="AP193" s="98"/>
      <c r="AQ193" s="98"/>
      <c r="AR193" s="98"/>
      <c r="AS193" s="98"/>
      <c r="AT193" s="98"/>
      <c r="AU193" s="98"/>
      <c r="AV193" s="98"/>
      <c r="AW193" s="98"/>
      <c r="AX193" s="98"/>
      <c r="AY193" s="98"/>
      <c r="AZ193" s="98"/>
      <c r="BA193" s="98"/>
      <c r="BB193" s="98"/>
      <c r="BC193" s="98"/>
      <c r="BD193" s="98"/>
      <c r="BE193" s="98"/>
      <c r="BF193" s="98"/>
      <c r="BG193" s="98"/>
      <c r="BH193" s="98"/>
      <c r="BI193" s="98"/>
      <c r="BJ193" s="121"/>
      <c r="BL193" s="31"/>
      <c r="BM193" s="31"/>
      <c r="BN193" s="31"/>
      <c r="BO193" s="31"/>
    </row>
    <row r="194" spans="2:76" ht="15.95" customHeight="1">
      <c r="B194" s="147"/>
      <c r="C194" s="31"/>
      <c r="D194" s="904" t="s">
        <v>85</v>
      </c>
      <c r="E194" s="88" t="str">
        <f>X!C315</f>
        <v>andere (z.B. für Prozesse)</v>
      </c>
      <c r="F194" s="1297"/>
      <c r="G194" s="1297"/>
      <c r="H194" s="1297"/>
      <c r="I194" s="1297"/>
      <c r="J194" s="1297"/>
      <c r="K194" s="1297"/>
      <c r="L194" s="1297"/>
      <c r="M194" s="1297"/>
      <c r="N194" s="1297"/>
      <c r="O194" s="1297"/>
      <c r="P194" s="1297" t="s">
        <v>844</v>
      </c>
      <c r="Q194" s="52"/>
      <c r="R194" s="52"/>
      <c r="S194" s="1581"/>
      <c r="T194" s="1581"/>
      <c r="U194" s="1582"/>
      <c r="V194" s="757"/>
      <c r="W194" s="1581"/>
      <c r="X194" s="1581"/>
      <c r="Y194" s="1582"/>
      <c r="Z194" s="757"/>
      <c r="AA194" s="1581"/>
      <c r="AB194" s="1581"/>
      <c r="AC194" s="1582"/>
      <c r="AD194" s="757"/>
      <c r="AE194" s="1581"/>
      <c r="AF194" s="1581"/>
      <c r="AG194" s="1582"/>
      <c r="AH194" s="757"/>
      <c r="AI194" s="1462"/>
      <c r="AJ194" s="1462"/>
      <c r="AK194" s="1462"/>
      <c r="AL194" s="828"/>
      <c r="AM194" s="828"/>
      <c r="AN194" s="52"/>
      <c r="AO194" s="52"/>
      <c r="AP194" s="52"/>
      <c r="AQ194" s="1581"/>
      <c r="AR194" s="1581"/>
      <c r="AS194" s="1582"/>
      <c r="AT194" s="757"/>
      <c r="AU194" s="1581"/>
      <c r="AV194" s="1581"/>
      <c r="AW194" s="1582"/>
      <c r="AX194" s="757"/>
      <c r="AY194" s="1581"/>
      <c r="AZ194" s="1581"/>
      <c r="BA194" s="1582"/>
      <c r="BB194" s="757"/>
      <c r="BC194" s="1581"/>
      <c r="BD194" s="1581"/>
      <c r="BE194" s="1582"/>
      <c r="BF194" s="52"/>
      <c r="BG194" s="52"/>
      <c r="BH194" s="52"/>
      <c r="BI194" s="52"/>
      <c r="BJ194" s="121"/>
      <c r="BK194" s="28"/>
      <c r="BP194" s="28"/>
      <c r="BQ194" s="28"/>
      <c r="BR194" s="28"/>
      <c r="BS194" s="28"/>
      <c r="BT194" s="28"/>
      <c r="BU194" s="28"/>
      <c r="BV194" s="28"/>
      <c r="BW194" s="28"/>
      <c r="BX194" s="28"/>
    </row>
    <row r="195" spans="2:76" s="28" customFormat="1" ht="6" customHeight="1">
      <c r="B195" s="117"/>
      <c r="C195" s="789"/>
      <c r="E195" s="160"/>
      <c r="F195" s="160"/>
      <c r="G195" s="160"/>
      <c r="H195" s="160"/>
      <c r="I195" s="160"/>
      <c r="J195" s="160"/>
      <c r="K195" s="160"/>
      <c r="L195" s="160"/>
      <c r="M195" s="160"/>
      <c r="N195" s="160"/>
      <c r="O195" s="160"/>
      <c r="P195" s="160"/>
      <c r="Q195" s="98"/>
      <c r="R195" s="98"/>
      <c r="S195" s="98"/>
      <c r="T195" s="98"/>
      <c r="U195" s="98"/>
      <c r="V195" s="98"/>
      <c r="W195" s="98"/>
      <c r="X195" s="98"/>
      <c r="Y195" s="98"/>
      <c r="Z195" s="98"/>
      <c r="AA195" s="98"/>
      <c r="AB195" s="98"/>
      <c r="AC195" s="98"/>
      <c r="AD195" s="98"/>
      <c r="AE195" s="98"/>
      <c r="AF195" s="98"/>
      <c r="AG195" s="98"/>
      <c r="AH195" s="98"/>
      <c r="AI195" s="98"/>
      <c r="AJ195" s="98"/>
      <c r="AK195" s="98"/>
      <c r="AL195" s="98"/>
      <c r="AM195" s="98"/>
      <c r="AN195" s="98"/>
      <c r="AO195" s="98"/>
      <c r="AP195" s="98"/>
      <c r="AQ195" s="98"/>
      <c r="AR195" s="98"/>
      <c r="AS195" s="98"/>
      <c r="AT195" s="98"/>
      <c r="AU195" s="98"/>
      <c r="AV195" s="98"/>
      <c r="AW195" s="98"/>
      <c r="AX195" s="98"/>
      <c r="AY195" s="98"/>
      <c r="AZ195" s="98"/>
      <c r="BA195" s="98"/>
      <c r="BB195" s="98"/>
      <c r="BC195" s="98"/>
      <c r="BD195" s="98"/>
      <c r="BE195" s="98"/>
      <c r="BF195" s="98"/>
      <c r="BG195" s="98"/>
      <c r="BH195" s="98"/>
      <c r="BI195" s="98"/>
      <c r="BJ195" s="121"/>
      <c r="BL195" s="31"/>
      <c r="BM195" s="31"/>
      <c r="BN195" s="31"/>
      <c r="BO195" s="31"/>
    </row>
    <row r="196" spans="2:76" ht="15.95" customHeight="1">
      <c r="B196" s="147"/>
      <c r="C196" s="31"/>
      <c r="D196" s="904" t="s">
        <v>85</v>
      </c>
      <c r="E196" s="88" t="str">
        <f>X!C316</f>
        <v>für Heizung: beheizte Gebäudefläche</v>
      </c>
      <c r="F196" s="1297"/>
      <c r="G196" s="1297"/>
      <c r="H196" s="1297"/>
      <c r="I196" s="1297"/>
      <c r="J196" s="1297"/>
      <c r="K196" s="1297"/>
      <c r="L196" s="1297"/>
      <c r="M196" s="1297"/>
      <c r="N196" s="1297"/>
      <c r="O196" s="1297"/>
      <c r="P196" s="1297" t="s">
        <v>913</v>
      </c>
      <c r="Q196" s="52"/>
      <c r="R196" s="52"/>
      <c r="AI196" s="1581"/>
      <c r="AJ196" s="1581"/>
      <c r="AK196" s="1582"/>
      <c r="AL196" s="828"/>
      <c r="AM196" s="608" t="s">
        <v>292</v>
      </c>
      <c r="AN196" s="608" t="s">
        <v>292</v>
      </c>
      <c r="AO196" s="608" t="s">
        <v>292</v>
      </c>
      <c r="AP196" s="52"/>
      <c r="AQ196" s="52"/>
      <c r="AR196" s="52"/>
      <c r="AS196" s="52"/>
      <c r="AT196" s="52"/>
      <c r="AU196" s="52"/>
      <c r="AV196" s="52"/>
      <c r="AW196" s="52"/>
      <c r="AX196" s="52"/>
      <c r="AY196" s="52"/>
      <c r="AZ196" s="52"/>
      <c r="BA196" s="52"/>
      <c r="BB196" s="52"/>
      <c r="BC196" s="52"/>
      <c r="BD196" s="52"/>
      <c r="BE196" s="52"/>
      <c r="BF196" s="52"/>
      <c r="BG196" s="1581"/>
      <c r="BH196" s="1581"/>
      <c r="BI196" s="1582"/>
      <c r="BJ196" s="121"/>
      <c r="BK196" s="28"/>
      <c r="BP196" s="28"/>
      <c r="BQ196" s="28"/>
      <c r="BR196" s="28"/>
      <c r="BS196" s="28"/>
      <c r="BT196" s="28"/>
      <c r="BU196" s="28"/>
      <c r="BV196" s="28"/>
      <c r="BW196" s="28"/>
      <c r="BX196" s="28"/>
    </row>
    <row r="197" spans="2:76" ht="5.0999999999999996" customHeight="1">
      <c r="B197" s="147"/>
      <c r="C197" s="31"/>
      <c r="E197" s="273"/>
      <c r="F197" s="273"/>
      <c r="G197" s="1297"/>
      <c r="H197" s="1297"/>
      <c r="I197" s="1297"/>
      <c r="J197" s="1297"/>
      <c r="K197" s="1297"/>
      <c r="L197" s="1297"/>
      <c r="M197" s="1297"/>
      <c r="N197" s="1297"/>
      <c r="O197" s="1297"/>
      <c r="P197" s="1297"/>
      <c r="Q197" s="52"/>
      <c r="R197" s="52"/>
      <c r="S197" s="902"/>
      <c r="T197" s="902"/>
      <c r="U197" s="902"/>
      <c r="V197" s="757"/>
      <c r="W197" s="902"/>
      <c r="X197" s="902"/>
      <c r="Y197" s="902"/>
      <c r="Z197" s="757"/>
      <c r="AA197" s="902"/>
      <c r="AB197" s="902"/>
      <c r="AC197" s="902"/>
      <c r="AD197" s="757"/>
      <c r="AE197" s="902"/>
      <c r="AF197" s="902"/>
      <c r="AG197" s="902"/>
      <c r="AH197" s="757"/>
      <c r="AI197" s="829"/>
      <c r="AJ197" s="829"/>
      <c r="AK197" s="829"/>
      <c r="AL197" s="828"/>
      <c r="AM197" s="828"/>
      <c r="AN197" s="52"/>
      <c r="AO197" s="52"/>
      <c r="AP197" s="52"/>
      <c r="AQ197" s="52"/>
      <c r="AR197" s="52"/>
      <c r="AS197" s="52"/>
      <c r="AT197" s="52"/>
      <c r="AU197" s="52"/>
      <c r="AV197" s="52"/>
      <c r="AW197" s="52"/>
      <c r="AX197" s="52"/>
      <c r="AY197" s="52"/>
      <c r="AZ197" s="52"/>
      <c r="BA197" s="52"/>
      <c r="BB197" s="52"/>
      <c r="BC197" s="52"/>
      <c r="BD197" s="52"/>
      <c r="BE197" s="52"/>
      <c r="BF197" s="52"/>
      <c r="BG197" s="896"/>
      <c r="BH197" s="896"/>
      <c r="BI197" s="896"/>
      <c r="BJ197" s="121"/>
      <c r="BK197" s="28"/>
      <c r="BP197" s="28"/>
      <c r="BQ197" s="28"/>
      <c r="BR197" s="28"/>
      <c r="BS197" s="28"/>
      <c r="BT197" s="28"/>
      <c r="BU197" s="28"/>
      <c r="BV197" s="28"/>
      <c r="BW197" s="28"/>
      <c r="BX197" s="28"/>
    </row>
    <row r="198" spans="2:76" ht="15.95" customHeight="1">
      <c r="B198" s="147"/>
      <c r="C198" s="31"/>
      <c r="E198" s="1296" t="s">
        <v>85</v>
      </c>
      <c r="F198" s="88" t="str">
        <f>X!C317</f>
        <v>Heizenergiebedarf (Vorschlag)</v>
      </c>
      <c r="G198" s="1297"/>
      <c r="H198" s="1297"/>
      <c r="I198" s="1297"/>
      <c r="J198" s="1297"/>
      <c r="K198" s="1297"/>
      <c r="L198" s="1297"/>
      <c r="M198" s="1297"/>
      <c r="N198" s="1297"/>
      <c r="O198" s="1297"/>
      <c r="P198" s="1297" t="s">
        <v>917</v>
      </c>
      <c r="Q198" s="52"/>
      <c r="R198" s="52"/>
      <c r="S198" s="1584" t="str">
        <f>X!C391</f>
        <v>keine Wärmenutzung!</v>
      </c>
      <c r="T198" s="1584"/>
      <c r="U198" s="1584"/>
      <c r="V198" s="1584"/>
      <c r="W198" s="1584"/>
      <c r="X198" s="1584"/>
      <c r="Y198" s="1584"/>
      <c r="Z198" s="1584"/>
      <c r="AA198" s="1584"/>
      <c r="AB198" s="1584"/>
      <c r="AC198" s="1584"/>
      <c r="AD198" s="1584"/>
      <c r="AE198" s="1584"/>
      <c r="AF198" s="1584"/>
      <c r="AG198" s="1584"/>
      <c r="AH198" s="757"/>
      <c r="AI198" s="1583">
        <f>W805</f>
        <v>0</v>
      </c>
      <c r="AJ198" s="1583"/>
      <c r="AK198" s="1583"/>
      <c r="AL198" s="828"/>
      <c r="AM198" s="828"/>
      <c r="AN198" s="52"/>
      <c r="AO198" s="52"/>
      <c r="AP198" s="52"/>
      <c r="AQ198" s="1584" t="str">
        <f>S198</f>
        <v>keine Wärmenutzung!</v>
      </c>
      <c r="AR198" s="1584"/>
      <c r="AS198" s="1584"/>
      <c r="AT198" s="1584"/>
      <c r="AU198" s="1584"/>
      <c r="AV198" s="1584"/>
      <c r="AW198" s="1584"/>
      <c r="AX198" s="1584"/>
      <c r="AY198" s="1584"/>
      <c r="AZ198" s="1584"/>
      <c r="BA198" s="1584"/>
      <c r="BB198" s="1584"/>
      <c r="BC198" s="1584"/>
      <c r="BD198" s="1584"/>
      <c r="BE198" s="1584"/>
      <c r="BF198" s="52"/>
      <c r="BG198" s="1583">
        <f>AU805</f>
        <v>0</v>
      </c>
      <c r="BH198" s="1583"/>
      <c r="BI198" s="1583"/>
      <c r="BJ198" s="121"/>
      <c r="BK198" s="28"/>
      <c r="BP198" s="28"/>
      <c r="BQ198" s="28"/>
      <c r="BR198" s="28"/>
      <c r="BS198" s="28"/>
      <c r="BT198" s="28"/>
      <c r="BU198" s="28"/>
      <c r="BV198" s="28"/>
      <c r="BW198" s="28"/>
      <c r="BX198" s="28"/>
    </row>
    <row r="199" spans="2:76" s="28" customFormat="1" ht="6" customHeight="1">
      <c r="B199" s="117"/>
      <c r="C199" s="830"/>
      <c r="E199" s="160"/>
      <c r="F199" s="1032"/>
      <c r="G199" s="160"/>
      <c r="H199" s="160"/>
      <c r="I199" s="160"/>
      <c r="J199" s="160"/>
      <c r="K199" s="160"/>
      <c r="L199" s="160"/>
      <c r="M199" s="160"/>
      <c r="N199" s="160"/>
      <c r="O199" s="160"/>
      <c r="P199" s="160"/>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98"/>
      <c r="BH199" s="98"/>
      <c r="BI199" s="98"/>
      <c r="BJ199" s="121"/>
      <c r="BL199" s="31"/>
      <c r="BM199" s="31"/>
      <c r="BN199" s="31"/>
      <c r="BO199" s="31"/>
    </row>
    <row r="200" spans="2:76" ht="15.95" customHeight="1">
      <c r="B200" s="147"/>
      <c r="C200" s="31"/>
      <c r="E200" s="1296" t="s">
        <v>85</v>
      </c>
      <c r="F200" s="88" t="str">
        <f>X!C318</f>
        <v>Heizenergiebedarf Planer (fakultativ)</v>
      </c>
      <c r="G200" s="1297"/>
      <c r="H200" s="1297"/>
      <c r="I200" s="1297"/>
      <c r="J200" s="1297"/>
      <c r="K200" s="1297"/>
      <c r="L200" s="1297"/>
      <c r="M200" s="1297"/>
      <c r="N200" s="1297"/>
      <c r="O200" s="1297"/>
      <c r="P200" s="1297" t="s">
        <v>917</v>
      </c>
      <c r="Q200" s="52"/>
      <c r="R200" s="52"/>
      <c r="S200" s="844"/>
      <c r="T200" s="844"/>
      <c r="U200" s="844"/>
      <c r="V200" s="757"/>
      <c r="W200" s="844"/>
      <c r="X200" s="844"/>
      <c r="Y200" s="844"/>
      <c r="Z200" s="757"/>
      <c r="AA200" s="844"/>
      <c r="AB200" s="844"/>
      <c r="AC200" s="844"/>
      <c r="AD200" s="757"/>
      <c r="AE200" s="844"/>
      <c r="AF200" s="844"/>
      <c r="AG200" s="844"/>
      <c r="AH200" s="757"/>
      <c r="AI200" s="1581"/>
      <c r="AJ200" s="1581"/>
      <c r="AK200" s="1582"/>
      <c r="AL200" s="828"/>
      <c r="AM200" s="828"/>
      <c r="AN200" s="52"/>
      <c r="AO200" s="52"/>
      <c r="AP200" s="52"/>
      <c r="AQ200" s="52"/>
      <c r="AR200" s="52"/>
      <c r="AS200" s="52"/>
      <c r="AT200" s="52"/>
      <c r="AU200" s="52"/>
      <c r="AV200" s="52"/>
      <c r="AW200" s="52"/>
      <c r="AX200" s="52"/>
      <c r="AY200" s="52"/>
      <c r="AZ200" s="52"/>
      <c r="BA200" s="52"/>
      <c r="BB200" s="52"/>
      <c r="BC200" s="52"/>
      <c r="BD200" s="52"/>
      <c r="BE200" s="52"/>
      <c r="BF200" s="52"/>
      <c r="BG200" s="1581"/>
      <c r="BH200" s="1581"/>
      <c r="BI200" s="1582"/>
      <c r="BJ200" s="121"/>
      <c r="BK200" s="28"/>
      <c r="BP200" s="28"/>
      <c r="BQ200" s="28"/>
      <c r="BR200" s="28"/>
      <c r="BS200" s="28"/>
      <c r="BT200" s="28"/>
      <c r="BU200" s="28"/>
      <c r="BV200" s="28"/>
      <c r="BW200" s="28"/>
      <c r="BX200" s="28"/>
    </row>
    <row r="201" spans="2:76" s="28" customFormat="1" ht="9" customHeight="1">
      <c r="B201" s="117"/>
      <c r="C201" s="789"/>
      <c r="E201" s="98"/>
      <c r="F201" s="98"/>
      <c r="G201" s="98"/>
      <c r="H201" s="98"/>
      <c r="I201" s="98"/>
      <c r="J201" s="98"/>
      <c r="K201" s="98"/>
      <c r="L201" s="98"/>
      <c r="M201" s="98"/>
      <c r="N201" s="98"/>
      <c r="O201" s="98"/>
      <c r="P201" s="122"/>
      <c r="Q201" s="98"/>
      <c r="R201" s="98"/>
      <c r="S201" s="98"/>
      <c r="T201" s="98"/>
      <c r="U201" s="98"/>
      <c r="V201" s="98"/>
      <c r="W201" s="98"/>
      <c r="X201" s="98"/>
      <c r="Y201" s="98"/>
      <c r="Z201" s="98"/>
      <c r="AA201" s="98"/>
      <c r="AB201" s="98"/>
      <c r="AC201" s="98"/>
      <c r="AD201" s="98"/>
      <c r="AE201" s="98"/>
      <c r="AF201" s="98"/>
      <c r="AG201" s="98"/>
      <c r="AH201" s="98"/>
      <c r="AI201" s="98"/>
      <c r="AJ201" s="98"/>
      <c r="AK201" s="98"/>
      <c r="AL201" s="98"/>
      <c r="AM201" s="98"/>
      <c r="AN201" s="98"/>
      <c r="AO201" s="98"/>
      <c r="AP201" s="98"/>
      <c r="AQ201" s="98"/>
      <c r="AR201" s="98"/>
      <c r="AS201" s="98"/>
      <c r="AT201" s="98"/>
      <c r="AU201" s="98"/>
      <c r="AV201" s="98"/>
      <c r="AW201" s="98"/>
      <c r="AX201" s="98"/>
      <c r="AY201" s="98"/>
      <c r="AZ201" s="98"/>
      <c r="BA201" s="98"/>
      <c r="BB201" s="98"/>
      <c r="BC201" s="98"/>
      <c r="BD201" s="98"/>
      <c r="BE201" s="98"/>
      <c r="BF201" s="98"/>
      <c r="BG201" s="98"/>
      <c r="BH201" s="98"/>
      <c r="BI201" s="98"/>
      <c r="BJ201" s="121"/>
      <c r="BL201" s="31"/>
      <c r="BM201" s="31"/>
      <c r="BN201" s="31"/>
      <c r="BO201" s="31"/>
    </row>
    <row r="202" spans="2:76">
      <c r="B202" s="147"/>
      <c r="C202" s="31"/>
      <c r="D202" s="851" t="str">
        <f>X!C319</f>
        <v>Welche Temperatur muss die Wärme aufweisen? (nur eine Temperatur möglich)</v>
      </c>
      <c r="E202" s="52"/>
      <c r="F202" s="52"/>
      <c r="G202" s="52"/>
      <c r="H202" s="52"/>
      <c r="I202" s="52"/>
      <c r="J202" s="52"/>
      <c r="K202" s="52"/>
      <c r="L202" s="52"/>
      <c r="M202" s="52"/>
      <c r="N202" s="52"/>
      <c r="O202" s="52"/>
      <c r="P202" s="640"/>
      <c r="Q202" s="52"/>
      <c r="R202" s="855"/>
      <c r="S202" s="855"/>
      <c r="T202" s="855"/>
      <c r="U202" s="855"/>
      <c r="V202" s="855"/>
      <c r="W202" s="855"/>
      <c r="X202" s="855"/>
      <c r="Y202" s="855"/>
      <c r="Z202" s="855"/>
      <c r="AA202" s="855"/>
      <c r="AB202" s="855"/>
      <c r="AC202" s="855"/>
      <c r="AD202" s="855"/>
      <c r="AE202" s="855"/>
      <c r="AF202" s="855"/>
      <c r="AG202" s="855"/>
      <c r="AH202" s="52"/>
      <c r="AI202" s="855"/>
      <c r="AJ202" s="855"/>
      <c r="AK202" s="855"/>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910"/>
      <c r="BH202" s="910"/>
      <c r="BI202" s="910"/>
      <c r="BJ202" s="121"/>
      <c r="BK202" s="28"/>
      <c r="BP202" s="28"/>
      <c r="BQ202" s="28"/>
      <c r="BR202" s="28"/>
      <c r="BS202" s="28"/>
      <c r="BT202" s="28"/>
      <c r="BU202" s="28"/>
      <c r="BV202" s="28"/>
      <c r="BW202" s="28"/>
      <c r="BX202" s="28"/>
    </row>
    <row r="203" spans="2:76" s="28" customFormat="1" ht="6" customHeight="1">
      <c r="B203" s="117"/>
      <c r="C203" s="789"/>
      <c r="D203" s="98"/>
      <c r="E203" s="98"/>
      <c r="F203" s="98"/>
      <c r="G203" s="98"/>
      <c r="H203" s="98"/>
      <c r="I203" s="98"/>
      <c r="J203" s="98"/>
      <c r="K203" s="98"/>
      <c r="L203" s="98"/>
      <c r="M203" s="98"/>
      <c r="N203" s="98"/>
      <c r="O203" s="98"/>
      <c r="P203" s="122"/>
      <c r="Q203" s="98"/>
      <c r="R203" s="98"/>
      <c r="S203" s="98"/>
      <c r="T203" s="98"/>
      <c r="U203" s="98"/>
      <c r="V203" s="98"/>
      <c r="W203" s="98"/>
      <c r="X203" s="98"/>
      <c r="Y203" s="98"/>
      <c r="Z203" s="98"/>
      <c r="AA203" s="98"/>
      <c r="AB203" s="98"/>
      <c r="AC203" s="98"/>
      <c r="AD203" s="98"/>
      <c r="AE203" s="98"/>
      <c r="AF203" s="98"/>
      <c r="AG203" s="98"/>
      <c r="AH203" s="98"/>
      <c r="AI203" s="98"/>
      <c r="AJ203" s="98"/>
      <c r="AK203" s="98"/>
      <c r="AL203" s="98"/>
      <c r="AM203" s="98"/>
      <c r="AN203" s="98"/>
      <c r="AO203" s="98"/>
      <c r="AP203" s="98"/>
      <c r="AQ203" s="98"/>
      <c r="AR203" s="98"/>
      <c r="AS203" s="98"/>
      <c r="AT203" s="98"/>
      <c r="AU203" s="98"/>
      <c r="AV203" s="98"/>
      <c r="AW203" s="98"/>
      <c r="AX203" s="98"/>
      <c r="AY203" s="98"/>
      <c r="AZ203" s="98"/>
      <c r="BA203" s="98"/>
      <c r="BB203" s="98"/>
      <c r="BC203" s="98"/>
      <c r="BD203" s="98"/>
      <c r="BE203" s="98"/>
      <c r="BF203" s="98"/>
      <c r="BG203" s="98"/>
      <c r="BH203" s="98"/>
      <c r="BI203" s="98"/>
      <c r="BJ203" s="121"/>
      <c r="BM203" s="31"/>
    </row>
    <row r="204" spans="2:76" s="273" customFormat="1" ht="15.95" customHeight="1">
      <c r="B204" s="960"/>
      <c r="D204" s="88"/>
      <c r="E204" s="88" t="str">
        <f>X!C320</f>
        <v>Temperatur</v>
      </c>
      <c r="F204" s="88"/>
      <c r="G204" s="910"/>
      <c r="H204" s="910"/>
      <c r="I204" s="910"/>
      <c r="J204" s="910"/>
      <c r="K204" s="910"/>
      <c r="O204" s="910"/>
      <c r="P204" s="910" t="s">
        <v>108</v>
      </c>
      <c r="R204" s="910"/>
      <c r="V204" s="907"/>
      <c r="X204" s="160"/>
      <c r="Y204" s="160"/>
      <c r="Z204" s="160"/>
      <c r="AA204" s="160"/>
      <c r="AB204" s="160"/>
      <c r="AC204" s="160"/>
      <c r="AE204" s="160" t="s">
        <v>910</v>
      </c>
      <c r="AF204" s="160"/>
      <c r="AG204" s="160"/>
      <c r="AH204" s="160"/>
      <c r="AI204" s="1581"/>
      <c r="AJ204" s="1581"/>
      <c r="AK204" s="1582"/>
      <c r="AL204" s="905"/>
      <c r="AM204" s="905"/>
      <c r="AN204" s="910"/>
      <c r="AO204" s="910"/>
      <c r="AP204" s="910"/>
      <c r="AQ204" s="910"/>
      <c r="AR204" s="910"/>
      <c r="AS204" s="910"/>
      <c r="AT204" s="910"/>
      <c r="AU204" s="910"/>
      <c r="AV204" s="910"/>
      <c r="AW204" s="910"/>
      <c r="AX204" s="910"/>
      <c r="AY204" s="910"/>
      <c r="AZ204" s="160"/>
      <c r="BA204" s="160"/>
      <c r="BB204" s="160"/>
      <c r="BC204" s="160" t="s">
        <v>910</v>
      </c>
      <c r="BD204" s="160"/>
      <c r="BE204" s="160"/>
      <c r="BF204" s="160"/>
      <c r="BG204" s="1581"/>
      <c r="BH204" s="1581"/>
      <c r="BI204" s="1582"/>
      <c r="BJ204" s="121"/>
      <c r="BK204" s="28"/>
    </row>
    <row r="205" spans="2:76" ht="8.1" customHeight="1">
      <c r="B205" s="147"/>
      <c r="C205" s="31"/>
      <c r="G205" s="52"/>
      <c r="H205" s="52"/>
      <c r="I205" s="52"/>
      <c r="J205" s="52"/>
      <c r="K205" s="52"/>
      <c r="L205" s="52"/>
      <c r="M205" s="52"/>
      <c r="N205" s="52"/>
      <c r="O205" s="52"/>
      <c r="P205" s="640"/>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780"/>
      <c r="AR205" s="780"/>
      <c r="AS205" s="780"/>
      <c r="AT205" s="786"/>
      <c r="AU205" s="98"/>
      <c r="AV205" s="98"/>
      <c r="AW205" s="98"/>
      <c r="AX205" s="98"/>
      <c r="AY205" s="98"/>
      <c r="AZ205" s="98"/>
      <c r="BA205" s="98"/>
      <c r="BB205" s="98"/>
      <c r="BC205" s="98"/>
      <c r="BD205" s="98"/>
      <c r="BE205" s="98"/>
      <c r="BF205" s="98"/>
      <c r="BG205" s="98"/>
      <c r="BH205" s="98"/>
      <c r="BI205" s="98"/>
      <c r="BJ205" s="121"/>
      <c r="BK205" s="28"/>
      <c r="BP205" s="28"/>
      <c r="BQ205" s="28"/>
      <c r="BR205" s="28"/>
      <c r="BS205" s="28"/>
      <c r="BT205" s="28"/>
      <c r="BU205" s="28"/>
      <c r="BV205" s="28"/>
      <c r="BW205" s="28"/>
      <c r="BX205" s="28"/>
    </row>
    <row r="206" spans="2:76" s="209" customFormat="1" ht="30.95" customHeight="1">
      <c r="B206" s="205"/>
      <c r="C206" s="783"/>
      <c r="D206" s="1610" t="str">
        <f>X!$C$123</f>
        <v>Hinweis</v>
      </c>
      <c r="E206" s="1611"/>
      <c r="F206" s="1611"/>
      <c r="G206" s="1611"/>
      <c r="H206" s="1611"/>
      <c r="I206" s="1611"/>
      <c r="J206" s="1611"/>
      <c r="K206" s="1611"/>
      <c r="L206" s="1611"/>
      <c r="M206" s="1611"/>
      <c r="N206" s="1611"/>
      <c r="O206" s="206"/>
      <c r="P206" s="206"/>
      <c r="Q206" s="206"/>
      <c r="R206" s="206"/>
      <c r="S206" s="1585" t="str">
        <f>IF(W101=1,IF(AI852&gt;0,BV206,""),"")</f>
        <v/>
      </c>
      <c r="T206" s="1585"/>
      <c r="U206" s="1585"/>
      <c r="V206" s="1585"/>
      <c r="W206" s="1585"/>
      <c r="X206" s="1585"/>
      <c r="Y206" s="1585"/>
      <c r="Z206" s="1585"/>
      <c r="AA206" s="1585"/>
      <c r="AB206" s="1585"/>
      <c r="AC206" s="1585"/>
      <c r="AD206" s="1585"/>
      <c r="AE206" s="1585"/>
      <c r="AF206" s="1585"/>
      <c r="AG206" s="1585"/>
      <c r="AH206" s="1585"/>
      <c r="AI206" s="1585"/>
      <c r="AJ206" s="1585"/>
      <c r="AK206" s="1585"/>
      <c r="AL206" s="787"/>
      <c r="AM206" s="787"/>
      <c r="AN206" s="207"/>
      <c r="AO206" s="207"/>
      <c r="AP206" s="207"/>
      <c r="AQ206" s="1585" t="str">
        <f>IF(AU101=1,IF(BG852&gt;0,BV206,""),"")</f>
        <v/>
      </c>
      <c r="AR206" s="1585"/>
      <c r="AS206" s="1585"/>
      <c r="AT206" s="1585"/>
      <c r="AU206" s="1585"/>
      <c r="AV206" s="1585"/>
      <c r="AW206" s="1585"/>
      <c r="AX206" s="1585"/>
      <c r="AY206" s="1585"/>
      <c r="AZ206" s="1585"/>
      <c r="BA206" s="1585"/>
      <c r="BB206" s="1585"/>
      <c r="BC206" s="1585"/>
      <c r="BD206" s="1585"/>
      <c r="BE206" s="1585"/>
      <c r="BF206" s="1585"/>
      <c r="BG206" s="1585"/>
      <c r="BH206" s="1585"/>
      <c r="BI206" s="1585"/>
      <c r="BJ206" s="121"/>
      <c r="BK206" s="28"/>
      <c r="BP206" s="28"/>
      <c r="BQ206" s="28"/>
      <c r="BR206" s="28"/>
      <c r="BS206" s="28"/>
      <c r="BT206" s="28"/>
      <c r="BU206" s="28"/>
      <c r="BV206" s="749" t="str">
        <f>X!C321</f>
        <v xml:space="preserve">Für die Wärmenutzung muss die Verflüssigungstemperatur angehoben werden. </v>
      </c>
      <c r="BW206" s="28"/>
      <c r="BX206" s="28"/>
    </row>
    <row r="207" spans="2:76" s="28" customFormat="1" ht="6" customHeight="1">
      <c r="B207" s="117"/>
      <c r="C207" s="789"/>
      <c r="D207" s="98"/>
      <c r="E207" s="98"/>
      <c r="F207" s="98"/>
      <c r="G207" s="98"/>
      <c r="H207" s="98"/>
      <c r="I207" s="98"/>
      <c r="J207" s="98"/>
      <c r="K207" s="98"/>
      <c r="L207" s="98"/>
      <c r="M207" s="98"/>
      <c r="N207" s="98"/>
      <c r="O207" s="98"/>
      <c r="P207" s="122"/>
      <c r="Q207" s="98"/>
      <c r="R207" s="98"/>
      <c r="S207" s="781"/>
      <c r="T207" s="781"/>
      <c r="U207" s="781"/>
      <c r="V207" s="781"/>
      <c r="W207" s="781"/>
      <c r="X207" s="781"/>
      <c r="Y207" s="781"/>
      <c r="Z207" s="781"/>
      <c r="AA207" s="781"/>
      <c r="AB207" s="781"/>
      <c r="AC207" s="781"/>
      <c r="AD207" s="781"/>
      <c r="AE207" s="781"/>
      <c r="AF207" s="781"/>
      <c r="AG207" s="781"/>
      <c r="AH207" s="781"/>
      <c r="AI207" s="781"/>
      <c r="AJ207" s="781"/>
      <c r="AK207" s="781"/>
      <c r="AL207" s="781"/>
      <c r="AM207" s="781"/>
      <c r="AN207" s="781"/>
      <c r="AO207" s="781"/>
      <c r="AP207" s="781"/>
      <c r="AQ207" s="781"/>
      <c r="AR207" s="781"/>
      <c r="AS207" s="781"/>
      <c r="AT207" s="781"/>
      <c r="AU207" s="781"/>
      <c r="AV207" s="781"/>
      <c r="AW207" s="781"/>
      <c r="AX207" s="781"/>
      <c r="AY207" s="781"/>
      <c r="AZ207" s="781"/>
      <c r="BA207" s="640"/>
      <c r="BB207" s="640"/>
      <c r="BC207" s="640"/>
      <c r="BD207" s="640"/>
      <c r="BE207" s="640"/>
      <c r="BF207" s="640"/>
      <c r="BG207" s="640"/>
      <c r="BH207" s="640"/>
      <c r="BI207" s="640"/>
      <c r="BJ207" s="121"/>
    </row>
    <row r="208" spans="2:76" s="28" customFormat="1" ht="72.95" customHeight="1">
      <c r="B208" s="117"/>
      <c r="C208" s="789"/>
      <c r="D208" s="98"/>
      <c r="E208" s="98"/>
      <c r="F208" s="98"/>
      <c r="G208" s="98"/>
      <c r="H208" s="98"/>
      <c r="I208" s="98"/>
      <c r="J208" s="98"/>
      <c r="K208" s="98"/>
      <c r="L208" s="98"/>
      <c r="M208" s="98"/>
      <c r="N208" s="98"/>
      <c r="O208" s="98"/>
      <c r="P208" s="122"/>
      <c r="Q208" s="98"/>
      <c r="R208" s="98"/>
      <c r="S208" s="1596" t="str">
        <f>IF(W101=1,IF(AI850&gt;S46,BV208,""),"")</f>
        <v/>
      </c>
      <c r="T208" s="1596"/>
      <c r="U208" s="1596"/>
      <c r="V208" s="1596"/>
      <c r="W208" s="1596"/>
      <c r="X208" s="1596"/>
      <c r="Y208" s="1596"/>
      <c r="Z208" s="1596"/>
      <c r="AA208" s="1596"/>
      <c r="AB208" s="1596"/>
      <c r="AC208" s="1596"/>
      <c r="AD208" s="1596"/>
      <c r="AE208" s="1596"/>
      <c r="AF208" s="1596"/>
      <c r="AG208" s="1596"/>
      <c r="AH208" s="1596"/>
      <c r="AI208" s="1596"/>
      <c r="AJ208" s="1596"/>
      <c r="AK208" s="1596"/>
      <c r="AL208" s="788"/>
      <c r="AM208" s="788"/>
      <c r="AN208" s="149"/>
      <c r="AO208" s="149"/>
      <c r="AP208" s="149"/>
      <c r="AQ208" s="1596" t="str">
        <f>IF(AU101=1,IF(BG850&gt;AQ46,BV208,""),"")</f>
        <v/>
      </c>
      <c r="AR208" s="1596"/>
      <c r="AS208" s="1596"/>
      <c r="AT208" s="1596"/>
      <c r="AU208" s="1596"/>
      <c r="AV208" s="1596"/>
      <c r="AW208" s="1596"/>
      <c r="AX208" s="1596"/>
      <c r="AY208" s="1596"/>
      <c r="AZ208" s="1596"/>
      <c r="BA208" s="1596"/>
      <c r="BB208" s="1596"/>
      <c r="BC208" s="1596"/>
      <c r="BD208" s="1596"/>
      <c r="BE208" s="1596"/>
      <c r="BF208" s="1596"/>
      <c r="BG208" s="1596"/>
      <c r="BH208" s="1596"/>
      <c r="BI208" s="1596"/>
      <c r="BJ208" s="121"/>
      <c r="BP208" s="31"/>
      <c r="BQ208" s="31"/>
      <c r="BR208" s="31"/>
      <c r="BS208" s="31"/>
      <c r="BT208" s="31"/>
      <c r="BU208" s="31"/>
      <c r="BV208" s="749" t="str">
        <f>X!C322</f>
        <v>Klären Sie, ob die hohe Verflüssigungstemperatur mit dem eingesetzten Kältemittel technisch möglich ist (Einsatzgrenze). Überprüfen Sie weiter, ob in den Zeiten mit angehobener Verflüssigungstemperatur ihre Kälteanwendungen mit einer reduzierten Kälteleistung funktionieren.</v>
      </c>
      <c r="BW208" s="31"/>
      <c r="BX208" s="31"/>
    </row>
    <row r="209" spans="2:76">
      <c r="B209" s="161"/>
      <c r="C209" s="506"/>
      <c r="D209" s="127"/>
      <c r="E209" s="127"/>
      <c r="F209" s="127"/>
      <c r="G209" s="127"/>
      <c r="H209" s="127"/>
      <c r="I209" s="127"/>
      <c r="J209" s="127"/>
      <c r="K209" s="127"/>
      <c r="L209" s="127"/>
      <c r="M209" s="127"/>
      <c r="N209" s="127"/>
      <c r="O209" s="127"/>
      <c r="P209" s="126"/>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62"/>
    </row>
    <row r="210" spans="2:76" ht="17.100000000000001" customHeight="1">
      <c r="B210" s="52"/>
      <c r="C210" s="691"/>
      <c r="D210" s="52"/>
      <c r="E210" s="52"/>
      <c r="F210" s="52"/>
      <c r="G210" s="52"/>
      <c r="H210" s="52"/>
      <c r="I210" s="52"/>
      <c r="J210" s="52"/>
      <c r="K210" s="52"/>
      <c r="L210" s="52"/>
      <c r="M210" s="52"/>
      <c r="N210" s="52"/>
      <c r="O210" s="52"/>
      <c r="P210" s="640"/>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row>
    <row r="211" spans="2:76" ht="17.100000000000001" customHeight="1">
      <c r="B211" s="127"/>
      <c r="C211" s="506"/>
      <c r="D211" s="127"/>
      <c r="E211" s="127"/>
      <c r="F211" s="127"/>
      <c r="G211" s="127"/>
      <c r="H211" s="127"/>
      <c r="I211" s="127"/>
      <c r="J211" s="127"/>
      <c r="K211" s="127"/>
      <c r="L211" s="127"/>
      <c r="M211" s="127"/>
      <c r="N211" s="127"/>
      <c r="O211" s="127"/>
      <c r="P211" s="126"/>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c r="BG211" s="127"/>
      <c r="BH211" s="127"/>
      <c r="BI211" s="127"/>
      <c r="BJ211" s="127"/>
    </row>
    <row r="212" spans="2:76">
      <c r="B212" s="147"/>
      <c r="C212" s="477"/>
      <c r="D212" s="52"/>
      <c r="E212" s="52"/>
      <c r="F212" s="52"/>
      <c r="G212" s="52"/>
      <c r="H212" s="52"/>
      <c r="I212" s="52"/>
      <c r="J212" s="52"/>
      <c r="K212" s="52"/>
      <c r="L212" s="52"/>
      <c r="M212" s="52"/>
      <c r="N212" s="52"/>
      <c r="O212" s="52"/>
      <c r="P212" s="55"/>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152"/>
    </row>
    <row r="213" spans="2:76">
      <c r="B213" s="147"/>
      <c r="C213" s="477"/>
      <c r="D213" s="52"/>
      <c r="E213" s="52"/>
      <c r="F213" s="52"/>
      <c r="G213" s="52"/>
      <c r="H213" s="52"/>
      <c r="I213" s="52"/>
      <c r="J213" s="52"/>
      <c r="K213" s="52"/>
      <c r="L213" s="52"/>
      <c r="M213" s="52"/>
      <c r="N213" s="52"/>
      <c r="O213" s="52"/>
      <c r="P213" s="55"/>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152"/>
    </row>
    <row r="214" spans="2:76" s="116" customFormat="1" ht="21" customHeight="1">
      <c r="B214" s="107"/>
      <c r="C214" s="486">
        <v>4</v>
      </c>
      <c r="D214" s="539" t="str">
        <f>X!$C$277</f>
        <v>Zusammenstellung Ergebnisse</v>
      </c>
      <c r="E214" s="109"/>
      <c r="F214" s="109"/>
      <c r="G214" s="110"/>
      <c r="H214" s="110"/>
      <c r="I214" s="111"/>
      <c r="J214" s="111"/>
      <c r="K214" s="111"/>
      <c r="L214" s="111"/>
      <c r="M214" s="111"/>
      <c r="N214" s="111"/>
      <c r="O214" s="111"/>
      <c r="P214" s="111"/>
      <c r="Q214" s="111"/>
      <c r="R214" s="111"/>
      <c r="S214" s="109"/>
      <c r="T214" s="109"/>
      <c r="U214" s="110"/>
      <c r="V214" s="110"/>
      <c r="W214" s="110"/>
      <c r="X214" s="110"/>
      <c r="Y214" s="110"/>
      <c r="Z214" s="110"/>
      <c r="AA214" s="110"/>
      <c r="AB214" s="110"/>
      <c r="AC214" s="110"/>
      <c r="AD214" s="110"/>
      <c r="AE214" s="110"/>
      <c r="AF214" s="110"/>
      <c r="AG214" s="110"/>
      <c r="AH214" s="110"/>
      <c r="AI214" s="110"/>
      <c r="AJ214" s="110"/>
      <c r="AK214" s="110"/>
      <c r="AL214" s="110"/>
      <c r="AM214" s="110"/>
      <c r="AN214" s="111"/>
      <c r="AO214" s="111"/>
      <c r="AP214" s="111"/>
      <c r="AQ214" s="109"/>
      <c r="AR214" s="109"/>
      <c r="AS214" s="110"/>
      <c r="AT214" s="110"/>
      <c r="AU214" s="110"/>
      <c r="AV214" s="110"/>
      <c r="AW214" s="110"/>
      <c r="AX214" s="110"/>
      <c r="AY214" s="110"/>
      <c r="AZ214" s="110"/>
      <c r="BA214" s="110"/>
      <c r="BB214" s="110"/>
      <c r="BC214" s="110"/>
      <c r="BD214" s="110"/>
      <c r="BE214" s="110"/>
      <c r="BF214" s="110"/>
      <c r="BG214" s="110"/>
      <c r="BH214" s="110"/>
      <c r="BI214" s="110"/>
      <c r="BJ214" s="115"/>
      <c r="BP214" s="31"/>
      <c r="BQ214" s="31"/>
      <c r="BR214" s="31"/>
      <c r="BS214" s="31"/>
      <c r="BT214" s="31"/>
      <c r="BU214" s="31"/>
      <c r="BV214" s="31"/>
      <c r="BW214" s="31"/>
      <c r="BX214" s="31"/>
    </row>
    <row r="215" spans="2:76" s="28" customFormat="1" ht="12" customHeight="1">
      <c r="B215" s="117"/>
      <c r="C215" s="489"/>
      <c r="D215" s="98"/>
      <c r="E215" s="98"/>
      <c r="F215" s="98"/>
      <c r="G215" s="98"/>
      <c r="H215" s="98"/>
      <c r="I215" s="98"/>
      <c r="J215" s="98"/>
      <c r="K215" s="98"/>
      <c r="L215" s="98"/>
      <c r="M215" s="98"/>
      <c r="N215" s="98"/>
      <c r="O215" s="98"/>
      <c r="P215" s="122"/>
      <c r="Q215" s="98"/>
      <c r="R215" s="98"/>
      <c r="S215" s="135"/>
      <c r="T215" s="135"/>
      <c r="U215" s="135"/>
      <c r="V215" s="98"/>
      <c r="W215" s="136"/>
      <c r="X215" s="136"/>
      <c r="Y215" s="136"/>
      <c r="Z215" s="136"/>
      <c r="AA215" s="136"/>
      <c r="AB215" s="136"/>
      <c r="AC215" s="136"/>
      <c r="AD215" s="136"/>
      <c r="AE215" s="136"/>
      <c r="AF215" s="98"/>
      <c r="AG215" s="98"/>
      <c r="AH215" s="98"/>
      <c r="AI215" s="98"/>
      <c r="AJ215" s="98"/>
      <c r="AK215" s="98"/>
      <c r="AL215" s="98"/>
      <c r="AM215" s="98"/>
      <c r="AN215" s="98"/>
      <c r="AO215" s="98"/>
      <c r="AP215" s="98"/>
      <c r="AQ215" s="135"/>
      <c r="AR215" s="135"/>
      <c r="AS215" s="135"/>
      <c r="AT215" s="98"/>
      <c r="AU215" s="136"/>
      <c r="AV215" s="136"/>
      <c r="AW215" s="136"/>
      <c r="AX215" s="136"/>
      <c r="AY215" s="136"/>
      <c r="AZ215" s="136"/>
      <c r="BA215" s="136"/>
      <c r="BB215" s="136"/>
      <c r="BC215" s="136"/>
      <c r="BD215" s="55"/>
      <c r="BE215" s="55"/>
      <c r="BF215" s="55"/>
      <c r="BG215" s="55"/>
      <c r="BH215" s="52"/>
      <c r="BI215" s="55"/>
      <c r="BJ215" s="121"/>
      <c r="BP215" s="31"/>
      <c r="BQ215" s="31"/>
      <c r="BR215" s="31"/>
      <c r="BS215" s="31"/>
      <c r="BT215" s="31"/>
      <c r="BU215" s="31"/>
      <c r="BV215" s="31"/>
      <c r="BW215" s="31"/>
      <c r="BX215" s="31"/>
    </row>
    <row r="216" spans="2:76" s="139" customFormat="1" ht="17.100000000000001" customHeight="1">
      <c r="B216" s="137"/>
      <c r="C216" s="488"/>
      <c r="D216" s="138"/>
      <c r="E216" s="138"/>
      <c r="F216" s="138"/>
      <c r="S216" s="140" t="str">
        <f>'1 System specification'!O132</f>
        <v>Variante A</v>
      </c>
      <c r="T216" s="140"/>
      <c r="U216" s="141"/>
      <c r="V216" s="141"/>
      <c r="W216" s="141"/>
      <c r="X216" s="141"/>
      <c r="Y216" s="141"/>
      <c r="Z216" s="141"/>
      <c r="AA216" s="141"/>
      <c r="AB216" s="141"/>
      <c r="AC216" s="141"/>
      <c r="AD216" s="141"/>
      <c r="AE216" s="141"/>
      <c r="AF216" s="141"/>
      <c r="AG216" s="141"/>
      <c r="AH216" s="141"/>
      <c r="AI216" s="141"/>
      <c r="AJ216" s="141"/>
      <c r="AK216" s="141"/>
      <c r="AL216" s="431"/>
      <c r="AM216" s="431"/>
      <c r="AQ216" s="140" t="str">
        <f>'1 System specification'!O133</f>
        <v/>
      </c>
      <c r="AR216" s="140"/>
      <c r="AS216" s="141"/>
      <c r="AT216" s="141"/>
      <c r="AU216" s="141"/>
      <c r="AV216" s="141"/>
      <c r="AW216" s="141"/>
      <c r="AX216" s="141"/>
      <c r="AY216" s="141"/>
      <c r="AZ216" s="141"/>
      <c r="BA216" s="141"/>
      <c r="BB216" s="141"/>
      <c r="BC216" s="141"/>
      <c r="BD216" s="141"/>
      <c r="BE216" s="141"/>
      <c r="BF216" s="141"/>
      <c r="BG216" s="141"/>
      <c r="BH216" s="141"/>
      <c r="BI216" s="141"/>
      <c r="BJ216" s="142"/>
      <c r="BP216" s="31"/>
      <c r="BQ216" s="31"/>
      <c r="BR216" s="31"/>
      <c r="BS216" s="31"/>
      <c r="BT216" s="31"/>
      <c r="BU216" s="31"/>
      <c r="BV216" s="31"/>
      <c r="BW216" s="31"/>
      <c r="BX216" s="31"/>
    </row>
    <row r="217" spans="2:76" s="139" customFormat="1" ht="17.100000000000001" customHeight="1">
      <c r="B217" s="137"/>
      <c r="C217" s="488"/>
      <c r="D217" s="138"/>
      <c r="E217" s="138"/>
      <c r="F217" s="138"/>
      <c r="S217" s="1688">
        <f>IF(W97=AV445,"",W97)</f>
        <v>0</v>
      </c>
      <c r="T217" s="1688"/>
      <c r="U217" s="1688"/>
      <c r="V217" s="1688"/>
      <c r="W217" s="1688"/>
      <c r="X217" s="1688"/>
      <c r="Y217" s="1688"/>
      <c r="Z217" s="1688"/>
      <c r="AA217" s="1688"/>
      <c r="AB217" s="1688"/>
      <c r="AC217" s="1688"/>
      <c r="AD217" s="1688"/>
      <c r="AE217" s="1688"/>
      <c r="AF217" s="1688"/>
      <c r="AG217" s="1688"/>
      <c r="AH217" s="1688"/>
      <c r="AI217" s="1688"/>
      <c r="AJ217" s="1688"/>
      <c r="AK217" s="1688"/>
      <c r="AL217" s="431"/>
      <c r="AM217" s="431"/>
      <c r="AQ217" s="1688">
        <f>IF(AU97=AV445,"",AU97)</f>
        <v>0</v>
      </c>
      <c r="AR217" s="1688"/>
      <c r="AS217" s="1688"/>
      <c r="AT217" s="1688"/>
      <c r="AU217" s="1688"/>
      <c r="AV217" s="1688"/>
      <c r="AW217" s="1688"/>
      <c r="AX217" s="1688"/>
      <c r="AY217" s="1688"/>
      <c r="AZ217" s="1688"/>
      <c r="BA217" s="1688"/>
      <c r="BB217" s="1688"/>
      <c r="BC217" s="1688"/>
      <c r="BD217" s="1688"/>
      <c r="BE217" s="1688"/>
      <c r="BF217" s="1688"/>
      <c r="BG217" s="1688"/>
      <c r="BH217" s="1688"/>
      <c r="BI217" s="1688"/>
      <c r="BJ217" s="142"/>
      <c r="BM217" s="139" t="s">
        <v>860</v>
      </c>
      <c r="BP217" s="31"/>
      <c r="BQ217" s="31"/>
      <c r="BR217" s="31"/>
      <c r="BS217" s="31"/>
      <c r="BT217" s="31"/>
      <c r="BU217" s="31"/>
      <c r="BV217" s="31"/>
      <c r="BW217" s="31"/>
      <c r="BX217" s="31"/>
    </row>
    <row r="218" spans="2:76" s="28" customFormat="1" ht="17.100000000000001" customHeight="1">
      <c r="B218" s="117"/>
      <c r="C218" s="474"/>
      <c r="D218" s="98"/>
      <c r="E218" s="98"/>
      <c r="F218" s="98"/>
      <c r="G218" s="98"/>
      <c r="H218" s="98"/>
      <c r="I218" s="98"/>
      <c r="J218" s="98"/>
      <c r="K218" s="98"/>
      <c r="L218" s="98"/>
      <c r="M218" s="98"/>
      <c r="N218" s="98"/>
      <c r="O218" s="98"/>
      <c r="P218" s="122"/>
      <c r="Q218" s="98"/>
      <c r="R218" s="98"/>
      <c r="S218" s="98"/>
      <c r="T218" s="98"/>
      <c r="U218" s="98"/>
      <c r="V218" s="98"/>
      <c r="W218" s="98"/>
      <c r="X218" s="98"/>
      <c r="Y218" s="98"/>
      <c r="Z218" s="98"/>
      <c r="AA218" s="55"/>
      <c r="AB218" s="55"/>
      <c r="AC218" s="55"/>
      <c r="AD218" s="55"/>
      <c r="AE218" s="55"/>
      <c r="AF218" s="55"/>
      <c r="AG218" s="55"/>
      <c r="AH218" s="55"/>
      <c r="AI218" s="55"/>
      <c r="AJ218" s="55"/>
      <c r="AK218" s="55"/>
      <c r="AL218" s="55"/>
      <c r="AM218" s="55"/>
      <c r="AN218" s="55"/>
      <c r="AO218" s="55"/>
      <c r="AP218" s="55"/>
      <c r="AQ218" s="55"/>
      <c r="AR218" s="55"/>
      <c r="AS218" s="55"/>
      <c r="AT218" s="120"/>
      <c r="AU218" s="55"/>
      <c r="AV218" s="55"/>
      <c r="AW218" s="55"/>
      <c r="AX218" s="55"/>
      <c r="AY218" s="55"/>
      <c r="AZ218" s="55"/>
      <c r="BA218" s="55"/>
      <c r="BB218" s="55"/>
      <c r="BC218" s="55"/>
      <c r="BD218" s="55"/>
      <c r="BE218" s="55"/>
      <c r="BF218" s="55"/>
      <c r="BG218" s="55"/>
      <c r="BH218" s="52"/>
      <c r="BI218" s="55"/>
      <c r="BJ218" s="121"/>
      <c r="BP218" s="116"/>
      <c r="BQ218" s="116"/>
      <c r="BR218" s="116"/>
      <c r="BS218" s="116"/>
      <c r="BT218" s="116"/>
      <c r="BU218" s="116"/>
      <c r="BV218" s="116"/>
      <c r="BW218" s="116"/>
      <c r="BX218" s="116"/>
    </row>
    <row r="219" spans="2:76">
      <c r="B219" s="147"/>
      <c r="C219" s="970">
        <v>4.0999999999999996</v>
      </c>
      <c r="D219" s="971" t="str">
        <f>X!$C$103</f>
        <v>Ergebnis der Abschätzung gemäss Standard- Profil</v>
      </c>
      <c r="E219" s="972"/>
      <c r="F219" s="972"/>
      <c r="G219" s="972"/>
      <c r="H219" s="972"/>
      <c r="I219" s="972"/>
      <c r="J219" s="972"/>
      <c r="K219" s="972"/>
      <c r="L219" s="972"/>
      <c r="M219" s="972"/>
      <c r="N219" s="972"/>
      <c r="O219" s="972"/>
      <c r="P219" s="973"/>
      <c r="Q219" s="972"/>
      <c r="R219" s="972"/>
      <c r="S219" s="972"/>
      <c r="T219" s="972"/>
      <c r="U219" s="972"/>
      <c r="V219" s="972"/>
      <c r="W219" s="974"/>
      <c r="X219" s="974"/>
      <c r="Y219" s="974"/>
      <c r="Z219" s="974"/>
      <c r="AA219" s="974"/>
      <c r="AB219" s="974"/>
      <c r="AC219" s="974"/>
      <c r="AD219" s="974"/>
      <c r="AE219" s="974"/>
      <c r="AF219" s="972"/>
      <c r="AG219" s="972"/>
      <c r="AH219" s="972"/>
      <c r="AI219" s="972"/>
      <c r="AJ219" s="972"/>
      <c r="AK219" s="972"/>
      <c r="AL219" s="640"/>
      <c r="AM219" s="640"/>
      <c r="AN219" s="973"/>
      <c r="AO219" s="973"/>
      <c r="AP219" s="972"/>
      <c r="AQ219" s="972"/>
      <c r="AR219" s="972"/>
      <c r="AS219" s="972"/>
      <c r="AT219" s="972"/>
      <c r="AU219" s="972"/>
      <c r="AV219" s="972"/>
      <c r="AW219" s="972"/>
      <c r="AX219" s="972"/>
      <c r="AY219" s="972"/>
      <c r="AZ219" s="972"/>
      <c r="BA219" s="972"/>
      <c r="BB219" s="972"/>
      <c r="BC219" s="972"/>
      <c r="BD219" s="972"/>
      <c r="BE219" s="972"/>
      <c r="BF219" s="972"/>
      <c r="BG219" s="972"/>
      <c r="BH219" s="972"/>
      <c r="BI219" s="972"/>
      <c r="BJ219" s="152"/>
      <c r="BP219" s="28"/>
      <c r="BQ219" s="28"/>
      <c r="BR219" s="28"/>
      <c r="BS219" s="28"/>
      <c r="BT219" s="28"/>
      <c r="BU219" s="28"/>
      <c r="BV219" s="28"/>
      <c r="BW219" s="28"/>
      <c r="BX219" s="28"/>
    </row>
    <row r="220" spans="2:76" s="28" customFormat="1" ht="6" customHeight="1">
      <c r="B220" s="117"/>
      <c r="C220" s="474"/>
      <c r="D220" s="98"/>
      <c r="E220" s="98"/>
      <c r="F220" s="98"/>
      <c r="G220" s="98"/>
      <c r="H220" s="98"/>
      <c r="I220" s="98"/>
      <c r="J220" s="98"/>
      <c r="K220" s="98"/>
      <c r="L220" s="98"/>
      <c r="M220" s="98"/>
      <c r="N220" s="98"/>
      <c r="O220" s="98"/>
      <c r="P220" s="122"/>
      <c r="Q220" s="98"/>
      <c r="R220" s="98"/>
      <c r="S220" s="165"/>
      <c r="T220" s="165"/>
      <c r="U220" s="165"/>
      <c r="V220" s="165"/>
      <c r="W220" s="165"/>
      <c r="X220" s="165"/>
      <c r="Y220" s="165"/>
      <c r="Z220" s="165"/>
      <c r="AA220" s="165"/>
      <c r="AB220" s="165"/>
      <c r="AC220" s="165"/>
      <c r="AD220" s="165"/>
      <c r="AE220" s="165"/>
      <c r="AF220" s="165"/>
      <c r="AG220" s="165"/>
      <c r="AH220" s="135"/>
      <c r="AI220" s="135"/>
      <c r="AJ220" s="135"/>
      <c r="AK220" s="135"/>
      <c r="AL220" s="640"/>
      <c r="AM220" s="640"/>
      <c r="AN220" s="640"/>
      <c r="AO220" s="640"/>
      <c r="AP220" s="135"/>
      <c r="AQ220" s="135"/>
      <c r="AR220" s="135"/>
      <c r="AS220" s="135"/>
      <c r="AT220" s="135"/>
      <c r="AU220" s="135"/>
      <c r="AV220" s="135"/>
      <c r="AW220" s="135"/>
      <c r="AX220" s="135"/>
      <c r="AY220" s="135"/>
      <c r="AZ220" s="135"/>
      <c r="BA220" s="135"/>
      <c r="BB220" s="135"/>
      <c r="BC220" s="135"/>
      <c r="BD220" s="135"/>
      <c r="BE220" s="135"/>
      <c r="BF220" s="135"/>
      <c r="BG220" s="135"/>
      <c r="BH220" s="135"/>
      <c r="BI220" s="135"/>
      <c r="BJ220" s="121"/>
      <c r="BP220" s="139"/>
      <c r="BQ220" s="139"/>
      <c r="BR220" s="139"/>
      <c r="BS220" s="139"/>
      <c r="BT220" s="139"/>
      <c r="BU220" s="139"/>
      <c r="BV220" s="139"/>
      <c r="BW220" s="139"/>
      <c r="BX220" s="139"/>
    </row>
    <row r="221" spans="2:76" s="28" customFormat="1" ht="17.100000000000001" customHeight="1">
      <c r="B221" s="117"/>
      <c r="C221" s="536" t="str">
        <f>X!$C$93</f>
        <v>Elektrizitätsverbrauch</v>
      </c>
      <c r="D221" s="98"/>
      <c r="E221" s="98"/>
      <c r="F221" s="98"/>
      <c r="G221" s="98"/>
      <c r="H221" s="98"/>
      <c r="I221" s="98"/>
      <c r="J221" s="98"/>
      <c r="K221" s="98"/>
      <c r="L221" s="98"/>
      <c r="M221" s="98"/>
      <c r="N221" s="98"/>
      <c r="O221" s="98"/>
      <c r="P221" s="122"/>
      <c r="Q221" s="98"/>
      <c r="R221" s="98"/>
      <c r="S221" s="1445"/>
      <c r="T221" s="1463"/>
      <c r="U221" s="1463"/>
      <c r="V221" s="135"/>
      <c r="W221" s="136"/>
      <c r="X221" s="136"/>
      <c r="Y221" s="136"/>
      <c r="Z221" s="136"/>
      <c r="AA221" s="136"/>
      <c r="AB221" s="136"/>
      <c r="AC221" s="136"/>
      <c r="AD221" s="136"/>
      <c r="AE221" s="136"/>
      <c r="AF221" s="135"/>
      <c r="AG221" s="135"/>
      <c r="AH221" s="135"/>
      <c r="AI221" s="135"/>
      <c r="AJ221" s="135"/>
      <c r="AK221" s="135"/>
      <c r="AL221" s="405"/>
      <c r="AM221" s="405"/>
      <c r="AN221" s="135"/>
      <c r="AO221" s="135"/>
      <c r="AP221" s="135"/>
      <c r="AQ221" s="160"/>
      <c r="AR221" s="160"/>
      <c r="AS221" s="160"/>
      <c r="AT221" s="98"/>
      <c r="AU221" s="136"/>
      <c r="AV221" s="136"/>
      <c r="AW221" s="136"/>
      <c r="AX221" s="136"/>
      <c r="AY221" s="136"/>
      <c r="AZ221" s="136"/>
      <c r="BA221" s="136"/>
      <c r="BB221" s="136"/>
      <c r="BC221" s="136"/>
      <c r="BD221" s="55"/>
      <c r="BE221" s="55"/>
      <c r="BF221" s="55"/>
      <c r="BG221" s="55"/>
      <c r="BH221" s="55"/>
      <c r="BI221" s="55"/>
      <c r="BJ221" s="121"/>
    </row>
    <row r="222" spans="2:76" s="28" customFormat="1" ht="17.100000000000001" customHeight="1">
      <c r="B222" s="117"/>
      <c r="C222" s="474"/>
      <c r="D222" s="535" t="str">
        <f>X!$C$247</f>
        <v>Verdichter</v>
      </c>
      <c r="E222" s="98"/>
      <c r="F222" s="98"/>
      <c r="G222" s="98"/>
      <c r="H222" s="98"/>
      <c r="I222" s="98"/>
      <c r="J222" s="98"/>
      <c r="K222" s="98"/>
      <c r="L222" s="98"/>
      <c r="M222" s="98"/>
      <c r="N222" s="98"/>
      <c r="O222" s="98"/>
      <c r="P222" s="122" t="s">
        <v>22</v>
      </c>
      <c r="Q222" s="98"/>
      <c r="R222" s="1445">
        <f>AH321</f>
        <v>0</v>
      </c>
      <c r="S222" s="1445"/>
      <c r="T222" s="1445"/>
      <c r="U222" s="1445"/>
      <c r="V222" s="781"/>
      <c r="W222" s="136"/>
      <c r="X222" s="136"/>
      <c r="Y222" s="136"/>
      <c r="Z222" s="136"/>
      <c r="AA222" s="136"/>
      <c r="AB222" s="136"/>
      <c r="AC222" s="136"/>
      <c r="AD222" s="136"/>
      <c r="AE222" s="136"/>
      <c r="AF222" s="135"/>
      <c r="AG222" s="135"/>
      <c r="AH222" s="135"/>
      <c r="AI222" s="135"/>
      <c r="AJ222" s="135"/>
      <c r="AK222" s="135"/>
      <c r="AL222" s="405"/>
      <c r="AM222" s="405"/>
      <c r="AN222" s="135"/>
      <c r="AO222" s="135"/>
      <c r="AP222" s="1445">
        <f>BF321</f>
        <v>0</v>
      </c>
      <c r="AQ222" s="1445"/>
      <c r="AR222" s="1445"/>
      <c r="AS222" s="1445"/>
      <c r="AT222" s="135"/>
      <c r="AU222" s="163"/>
      <c r="AV222" s="136"/>
      <c r="AW222" s="136"/>
      <c r="AX222" s="136"/>
      <c r="AY222" s="136"/>
      <c r="AZ222" s="136"/>
      <c r="BA222" s="136"/>
      <c r="BB222" s="136"/>
      <c r="BC222" s="136"/>
      <c r="BD222" s="55"/>
      <c r="BE222" s="55"/>
      <c r="BF222" s="55"/>
      <c r="BG222" s="55"/>
      <c r="BH222" s="55"/>
      <c r="BI222" s="55"/>
      <c r="BJ222" s="121"/>
      <c r="BP222" s="31"/>
      <c r="BQ222" s="31"/>
      <c r="BR222" s="31"/>
      <c r="BS222" s="31"/>
      <c r="BT222" s="31"/>
      <c r="BU222" s="31"/>
      <c r="BV222" s="31"/>
      <c r="BW222" s="31"/>
      <c r="BX222" s="31"/>
    </row>
    <row r="223" spans="2:76" s="28" customFormat="1" ht="17.100000000000001" customHeight="1">
      <c r="B223" s="117"/>
      <c r="C223" s="474"/>
      <c r="D223" s="535" t="str">
        <f>X!$C$122</f>
        <v>Hilfsbetriebe «warme Seite»</v>
      </c>
      <c r="E223" s="98"/>
      <c r="F223" s="98"/>
      <c r="G223" s="98"/>
      <c r="H223" s="98"/>
      <c r="I223" s="98"/>
      <c r="J223" s="98"/>
      <c r="K223" s="98"/>
      <c r="L223" s="98"/>
      <c r="M223" s="98"/>
      <c r="N223" s="98"/>
      <c r="O223" s="98"/>
      <c r="P223" s="122" t="s">
        <v>22</v>
      </c>
      <c r="Q223" s="98"/>
      <c r="R223" s="1445">
        <f>AI338</f>
        <v>0</v>
      </c>
      <c r="S223" s="1445"/>
      <c r="T223" s="1445"/>
      <c r="U223" s="1445"/>
      <c r="V223" s="781"/>
      <c r="W223" s="136"/>
      <c r="X223" s="136"/>
      <c r="Y223" s="136"/>
      <c r="Z223" s="136"/>
      <c r="AA223" s="136"/>
      <c r="AB223" s="136"/>
      <c r="AC223" s="136"/>
      <c r="AD223" s="136"/>
      <c r="AE223" s="136"/>
      <c r="AF223" s="135"/>
      <c r="AG223" s="135"/>
      <c r="AH223" s="135"/>
      <c r="AI223" s="135"/>
      <c r="AJ223" s="135"/>
      <c r="AK223" s="135"/>
      <c r="AL223" s="405"/>
      <c r="AM223" s="405"/>
      <c r="AN223" s="135"/>
      <c r="AO223" s="135"/>
      <c r="AP223" s="98"/>
      <c r="AQ223" s="1445">
        <f>BG338</f>
        <v>0</v>
      </c>
      <c r="AR223" s="1463"/>
      <c r="AS223" s="1463"/>
      <c r="AT223" s="135"/>
      <c r="AU223" s="163"/>
      <c r="AV223" s="136"/>
      <c r="AW223" s="136"/>
      <c r="AX223" s="136"/>
      <c r="AY223" s="136"/>
      <c r="AZ223" s="136"/>
      <c r="BA223" s="136"/>
      <c r="BB223" s="136"/>
      <c r="BC223" s="136"/>
      <c r="BD223" s="55"/>
      <c r="BE223" s="55"/>
      <c r="BF223" s="55"/>
      <c r="BG223" s="55"/>
      <c r="BH223" s="52"/>
      <c r="BI223" s="55"/>
      <c r="BJ223" s="121"/>
    </row>
    <row r="224" spans="2:76" s="28" customFormat="1" ht="17.100000000000001" customHeight="1">
      <c r="B224" s="117"/>
      <c r="C224" s="474"/>
      <c r="D224" s="535" t="str">
        <f>X!$C$121</f>
        <v>Hilfsbetriebe «kalte Seite»</v>
      </c>
      <c r="E224" s="98"/>
      <c r="F224" s="98"/>
      <c r="G224" s="98"/>
      <c r="H224" s="98"/>
      <c r="I224" s="98"/>
      <c r="J224" s="98"/>
      <c r="K224" s="98"/>
      <c r="L224" s="98"/>
      <c r="M224" s="98"/>
      <c r="N224" s="98"/>
      <c r="O224" s="98"/>
      <c r="P224" s="792" t="s">
        <v>22</v>
      </c>
      <c r="Q224" s="793"/>
      <c r="R224" s="1672">
        <f>AA349</f>
        <v>0</v>
      </c>
      <c r="S224" s="1672"/>
      <c r="T224" s="1672"/>
      <c r="U224" s="1672"/>
      <c r="V224" s="781"/>
      <c r="W224" s="168"/>
      <c r="X224" s="168"/>
      <c r="Y224" s="168"/>
      <c r="Z224" s="168"/>
      <c r="AA224" s="168"/>
      <c r="AB224" s="168"/>
      <c r="AC224" s="168"/>
      <c r="AD224" s="168"/>
      <c r="AE224" s="168"/>
      <c r="AF224" s="135"/>
      <c r="AG224" s="135"/>
      <c r="AH224" s="135"/>
      <c r="AI224" s="135"/>
      <c r="AJ224" s="135"/>
      <c r="AK224" s="135" t="s">
        <v>845</v>
      </c>
      <c r="AL224" s="405"/>
      <c r="AM224" s="405"/>
      <c r="AN224" s="135"/>
      <c r="AO224" s="135"/>
      <c r="AP224" s="793"/>
      <c r="AQ224" s="1672">
        <f>AY349</f>
        <v>0</v>
      </c>
      <c r="AR224" s="1687"/>
      <c r="AS224" s="1687"/>
      <c r="AT224" s="135"/>
      <c r="AU224" s="210"/>
      <c r="AV224" s="136"/>
      <c r="AW224" s="136"/>
      <c r="AX224" s="136"/>
      <c r="AY224" s="136"/>
      <c r="AZ224" s="136"/>
      <c r="BA224" s="136"/>
      <c r="BB224" s="136"/>
      <c r="BC224" s="136"/>
      <c r="BD224" s="55"/>
      <c r="BE224" s="55"/>
      <c r="BF224" s="55"/>
      <c r="BG224" s="55"/>
      <c r="BH224" s="55"/>
      <c r="BI224" s="55"/>
      <c r="BJ224" s="121"/>
    </row>
    <row r="225" spans="2:76" s="28" customFormat="1" ht="17.100000000000001" customHeight="1">
      <c r="B225" s="117"/>
      <c r="C225" s="474"/>
      <c r="D225" s="540" t="str">
        <f>X!$C$234</f>
        <v>Total Elektrizitätsverbrauch</v>
      </c>
      <c r="E225" s="144"/>
      <c r="F225" s="144"/>
      <c r="G225" s="144"/>
      <c r="H225" s="144"/>
      <c r="I225" s="144"/>
      <c r="J225" s="144"/>
      <c r="K225" s="144"/>
      <c r="L225" s="144"/>
      <c r="M225" s="144"/>
      <c r="N225" s="144"/>
      <c r="O225" s="144"/>
      <c r="P225" s="190" t="s">
        <v>22</v>
      </c>
      <c r="Q225" s="144"/>
      <c r="R225" s="1514">
        <f>SUM(R222:U224)</f>
        <v>0</v>
      </c>
      <c r="S225" s="1514"/>
      <c r="T225" s="1514"/>
      <c r="U225" s="1514"/>
      <c r="V225" s="173"/>
      <c r="W225" s="211"/>
      <c r="X225" s="211"/>
      <c r="Y225" s="211"/>
      <c r="Z225" s="211"/>
      <c r="AA225" s="211"/>
      <c r="AB225" s="211"/>
      <c r="AC225" s="211"/>
      <c r="AD225" s="211"/>
      <c r="AE225" s="211"/>
      <c r="AF225" s="173"/>
      <c r="AG225" s="173"/>
      <c r="AH225" s="173"/>
      <c r="AI225" s="173"/>
      <c r="AJ225" s="173"/>
      <c r="AK225" s="173"/>
      <c r="AL225" s="413"/>
      <c r="AM225" s="413"/>
      <c r="AN225" s="173"/>
      <c r="AO225" s="173"/>
      <c r="AP225" s="1514">
        <f>SUM(AP222:AS224)</f>
        <v>0</v>
      </c>
      <c r="AQ225" s="1514"/>
      <c r="AR225" s="1514"/>
      <c r="AS225" s="1514"/>
      <c r="AT225" s="135"/>
      <c r="AU225" s="210"/>
      <c r="AV225" s="136"/>
      <c r="AW225" s="136"/>
      <c r="AX225" s="136"/>
      <c r="AY225" s="136"/>
      <c r="AZ225" s="136"/>
      <c r="BA225" s="136"/>
      <c r="BB225" s="136"/>
      <c r="BC225" s="136"/>
      <c r="BD225" s="55"/>
      <c r="BE225" s="55"/>
      <c r="BF225" s="55"/>
      <c r="BG225" s="55"/>
      <c r="BH225" s="52"/>
      <c r="BI225" s="55"/>
      <c r="BJ225" s="121"/>
    </row>
    <row r="226" spans="2:76" s="28" customFormat="1" ht="6" customHeight="1">
      <c r="B226" s="117"/>
      <c r="C226" s="474"/>
      <c r="D226" s="98"/>
      <c r="E226" s="98"/>
      <c r="F226" s="98"/>
      <c r="G226" s="98"/>
      <c r="H226" s="98"/>
      <c r="I226" s="98"/>
      <c r="J226" s="98"/>
      <c r="K226" s="98"/>
      <c r="L226" s="98"/>
      <c r="M226" s="98"/>
      <c r="N226" s="98"/>
      <c r="O226" s="98"/>
      <c r="P226" s="122"/>
      <c r="Q226" s="98"/>
      <c r="R226" s="98"/>
      <c r="S226" s="135"/>
      <c r="T226" s="135"/>
      <c r="U226" s="135"/>
      <c r="V226" s="135"/>
      <c r="W226" s="135"/>
      <c r="X226" s="135"/>
      <c r="Y226" s="135"/>
      <c r="Z226" s="135"/>
      <c r="AA226" s="135"/>
      <c r="AB226" s="135"/>
      <c r="AC226" s="135"/>
      <c r="AD226" s="135"/>
      <c r="AE226" s="135"/>
      <c r="AF226" s="135"/>
      <c r="AG226" s="135"/>
      <c r="AH226" s="135"/>
      <c r="AI226" s="135"/>
      <c r="AJ226" s="135"/>
      <c r="AK226" s="135"/>
      <c r="AL226" s="405"/>
      <c r="AM226" s="405"/>
      <c r="AN226" s="135"/>
      <c r="AO226" s="135"/>
      <c r="AP226" s="98"/>
      <c r="AQ226" s="897"/>
      <c r="AR226" s="897"/>
      <c r="AS226" s="897"/>
      <c r="AT226" s="135"/>
      <c r="AU226" s="135"/>
      <c r="AV226" s="55"/>
      <c r="AW226" s="55"/>
      <c r="AX226" s="55"/>
      <c r="AY226" s="55"/>
      <c r="AZ226" s="55"/>
      <c r="BA226" s="55"/>
      <c r="BB226" s="55"/>
      <c r="BC226" s="55"/>
      <c r="BD226" s="55"/>
      <c r="BE226" s="55"/>
      <c r="BF226" s="55"/>
      <c r="BG226" s="55"/>
      <c r="BH226" s="55"/>
      <c r="BI226" s="55"/>
      <c r="BJ226" s="121"/>
    </row>
    <row r="227" spans="2:76" s="28" customFormat="1" ht="17.100000000000001" customHeight="1">
      <c r="B227" s="117"/>
      <c r="C227" s="985" t="str">
        <f>X!C323</f>
        <v>Kälte</v>
      </c>
      <c r="D227" s="98"/>
      <c r="E227" s="98"/>
      <c r="F227" s="170"/>
      <c r="G227" s="98"/>
      <c r="H227" s="98"/>
      <c r="I227" s="98"/>
      <c r="J227" s="98"/>
      <c r="K227" s="98"/>
      <c r="L227" s="98"/>
      <c r="M227" s="98"/>
      <c r="N227" s="98"/>
      <c r="O227" s="98"/>
      <c r="P227" s="122"/>
      <c r="Q227" s="98"/>
      <c r="R227" s="98"/>
      <c r="S227" s="1445"/>
      <c r="T227" s="1463"/>
      <c r="U227" s="1463"/>
      <c r="V227" s="135"/>
      <c r="W227" s="136"/>
      <c r="X227" s="136"/>
      <c r="Y227" s="136"/>
      <c r="Z227" s="136"/>
      <c r="AA227" s="136"/>
      <c r="AB227" s="136"/>
      <c r="AC227" s="136"/>
      <c r="AD227" s="136"/>
      <c r="AE227" s="136"/>
      <c r="AF227" s="135"/>
      <c r="AG227" s="135"/>
      <c r="AH227" s="135"/>
      <c r="AI227" s="135"/>
      <c r="AJ227" s="135"/>
      <c r="AK227" s="135"/>
      <c r="AL227" s="405"/>
      <c r="AM227" s="405"/>
      <c r="AN227" s="135"/>
      <c r="AO227" s="135"/>
      <c r="AP227" s="98"/>
      <c r="AQ227" s="1445"/>
      <c r="AR227" s="1463"/>
      <c r="AS227" s="1463"/>
      <c r="AT227" s="135"/>
      <c r="AU227" s="163"/>
      <c r="AV227" s="136"/>
      <c r="AW227" s="136"/>
      <c r="AX227" s="136"/>
      <c r="AY227" s="136"/>
      <c r="AZ227" s="136"/>
      <c r="BA227" s="136"/>
      <c r="BB227" s="136"/>
      <c r="BC227" s="136"/>
      <c r="BD227" s="55"/>
      <c r="BE227" s="55"/>
      <c r="BF227" s="55"/>
      <c r="BG227" s="55"/>
      <c r="BH227" s="55"/>
      <c r="BI227" s="55"/>
      <c r="BJ227" s="121"/>
    </row>
    <row r="228" spans="2:76" s="28" customFormat="1" ht="17.100000000000001" customHeight="1">
      <c r="B228" s="117"/>
      <c r="C228" s="956"/>
      <c r="D228" s="220" t="str">
        <f>X!C324</f>
        <v>Kühlung mit der Kältemaschine</v>
      </c>
      <c r="E228" s="98"/>
      <c r="F228" s="98"/>
      <c r="G228" s="98"/>
      <c r="H228" s="98"/>
      <c r="I228" s="98"/>
      <c r="J228" s="98"/>
      <c r="K228" s="98"/>
      <c r="L228" s="98"/>
      <c r="M228" s="98"/>
      <c r="N228" s="98"/>
      <c r="O228" s="98"/>
      <c r="P228" s="122" t="s">
        <v>22</v>
      </c>
      <c r="Q228" s="98"/>
      <c r="R228" s="1445">
        <f>AH307</f>
        <v>0</v>
      </c>
      <c r="S228" s="1445"/>
      <c r="T228" s="1445"/>
      <c r="U228" s="1445"/>
      <c r="V228" s="135"/>
      <c r="W228" s="136"/>
      <c r="Y228" s="136"/>
      <c r="Z228" s="136"/>
      <c r="AA228" s="136"/>
      <c r="AB228" s="136"/>
      <c r="AC228" s="136"/>
      <c r="AD228" s="136"/>
      <c r="AE228" s="136"/>
      <c r="AF228" s="135"/>
      <c r="AG228" s="135"/>
      <c r="AH228" s="135"/>
      <c r="AI228" s="135"/>
      <c r="AJ228" s="135"/>
      <c r="AK228" s="135"/>
      <c r="AL228" s="405"/>
      <c r="AM228" s="405"/>
      <c r="AN228" s="135"/>
      <c r="AO228" s="135"/>
      <c r="AP228" s="1445">
        <f>BF307</f>
        <v>0</v>
      </c>
      <c r="AQ228" s="1445"/>
      <c r="AR228" s="1445"/>
      <c r="AS228" s="1445"/>
      <c r="AT228" s="135"/>
      <c r="AU228" s="163"/>
      <c r="AV228" s="136"/>
      <c r="AW228" s="136"/>
      <c r="AX228" s="136"/>
      <c r="AY228" s="136"/>
      <c r="AZ228" s="136"/>
      <c r="BA228" s="136"/>
      <c r="BB228" s="136"/>
      <c r="BC228" s="136"/>
      <c r="BD228" s="55"/>
      <c r="BE228" s="55"/>
      <c r="BF228" s="55"/>
      <c r="BG228" s="55"/>
      <c r="BH228" s="55"/>
      <c r="BI228" s="55"/>
      <c r="BJ228" s="121"/>
      <c r="BL228" s="98"/>
    </row>
    <row r="229" spans="2:76" s="28" customFormat="1" ht="17.100000000000001" customHeight="1">
      <c r="B229" s="117"/>
      <c r="C229" s="956"/>
      <c r="D229" s="220" t="str">
        <f>X!C325</f>
        <v>Kühlung mit Free-Cooling</v>
      </c>
      <c r="E229" s="98"/>
      <c r="F229" s="98"/>
      <c r="G229" s="98"/>
      <c r="H229" s="98"/>
      <c r="I229" s="98"/>
      <c r="J229" s="98"/>
      <c r="K229" s="98"/>
      <c r="L229" s="98"/>
      <c r="M229" s="98"/>
      <c r="N229" s="98"/>
      <c r="O229" s="98"/>
      <c r="P229" s="792" t="s">
        <v>22</v>
      </c>
      <c r="Q229" s="793"/>
      <c r="R229" s="1672">
        <f>AH306</f>
        <v>0</v>
      </c>
      <c r="S229" s="1672"/>
      <c r="T229" s="1672"/>
      <c r="U229" s="1672"/>
      <c r="V229" s="740"/>
      <c r="W229" s="136"/>
      <c r="Y229" s="136"/>
      <c r="Z229" s="136"/>
      <c r="AA229" s="136"/>
      <c r="AB229" s="136"/>
      <c r="AC229" s="136"/>
      <c r="AD229" s="136"/>
      <c r="AE229" s="136"/>
      <c r="AF229" s="740"/>
      <c r="AG229" s="740"/>
      <c r="AH229" s="740"/>
      <c r="AI229" s="740"/>
      <c r="AJ229" s="740"/>
      <c r="AK229" s="740"/>
      <c r="AL229" s="740"/>
      <c r="AM229" s="740"/>
      <c r="AN229" s="740"/>
      <c r="AO229" s="740"/>
      <c r="AP229" s="1672">
        <f>BF306</f>
        <v>0</v>
      </c>
      <c r="AQ229" s="1672"/>
      <c r="AR229" s="1672"/>
      <c r="AS229" s="1672"/>
      <c r="AT229" s="740"/>
      <c r="AU229" s="163"/>
      <c r="AV229" s="136"/>
      <c r="AW229" s="136"/>
      <c r="AX229" s="136"/>
      <c r="AY229" s="136"/>
      <c r="AZ229" s="136"/>
      <c r="BA229" s="136"/>
      <c r="BB229" s="136"/>
      <c r="BC229" s="136"/>
      <c r="BD229" s="640"/>
      <c r="BE229" s="640"/>
      <c r="BF229" s="640"/>
      <c r="BG229" s="640"/>
      <c r="BH229" s="640"/>
      <c r="BI229" s="640"/>
      <c r="BJ229" s="121"/>
      <c r="BL229" s="98"/>
    </row>
    <row r="230" spans="2:76" s="799" customFormat="1" ht="17.100000000000001" customHeight="1">
      <c r="B230" s="797"/>
      <c r="C230" s="957"/>
      <c r="D230" s="987" t="str">
        <f>X!C326</f>
        <v>Genutzte Kälte</v>
      </c>
      <c r="E230" s="144"/>
      <c r="F230" s="144"/>
      <c r="G230" s="144"/>
      <c r="H230" s="144"/>
      <c r="I230" s="144"/>
      <c r="J230" s="144"/>
      <c r="K230" s="144"/>
      <c r="L230" s="144"/>
      <c r="M230" s="144"/>
      <c r="N230" s="144"/>
      <c r="O230" s="144"/>
      <c r="P230" s="190" t="s">
        <v>22</v>
      </c>
      <c r="Q230" s="144"/>
      <c r="R230" s="1514">
        <f>R228+R229</f>
        <v>0</v>
      </c>
      <c r="S230" s="1514"/>
      <c r="T230" s="1514"/>
      <c r="U230" s="1514"/>
      <c r="V230" s="778"/>
      <c r="W230" s="798"/>
      <c r="Y230" s="798"/>
      <c r="Z230" s="798"/>
      <c r="AA230" s="798"/>
      <c r="AB230" s="798"/>
      <c r="AC230" s="798"/>
      <c r="AD230" s="798"/>
      <c r="AE230" s="798"/>
      <c r="AF230" s="778"/>
      <c r="AG230" s="778"/>
      <c r="AH230" s="778"/>
      <c r="AI230" s="778"/>
      <c r="AJ230" s="778"/>
      <c r="AK230" s="778"/>
      <c r="AL230" s="778"/>
      <c r="AM230" s="778"/>
      <c r="AN230" s="778"/>
      <c r="AO230" s="778"/>
      <c r="AP230" s="1514">
        <f>AP228+AP229</f>
        <v>0</v>
      </c>
      <c r="AQ230" s="1514"/>
      <c r="AR230" s="1514"/>
      <c r="AS230" s="1514"/>
      <c r="AT230" s="778"/>
      <c r="AU230" s="800"/>
      <c r="AV230" s="798"/>
      <c r="AW230" s="798"/>
      <c r="AX230" s="798"/>
      <c r="AY230" s="798"/>
      <c r="AZ230" s="798"/>
      <c r="BA230" s="798"/>
      <c r="BB230" s="798"/>
      <c r="BC230" s="798"/>
      <c r="BD230" s="801"/>
      <c r="BE230" s="801"/>
      <c r="BF230" s="801"/>
      <c r="BG230" s="801"/>
      <c r="BH230" s="801"/>
      <c r="BI230" s="801"/>
      <c r="BJ230" s="802"/>
      <c r="BL230" s="144"/>
    </row>
    <row r="231" spans="2:76" s="28" customFormat="1" ht="6" customHeight="1">
      <c r="B231" s="117"/>
      <c r="C231" s="956"/>
      <c r="D231" s="98"/>
      <c r="E231" s="98"/>
      <c r="F231" s="98"/>
      <c r="G231" s="98"/>
      <c r="H231" s="98"/>
      <c r="I231" s="98"/>
      <c r="J231" s="98"/>
      <c r="K231" s="98"/>
      <c r="L231" s="98"/>
      <c r="M231" s="98"/>
      <c r="N231" s="98"/>
      <c r="O231" s="98"/>
      <c r="P231" s="122"/>
      <c r="Q231" s="98"/>
      <c r="R231" s="98"/>
      <c r="S231" s="777"/>
      <c r="T231" s="777"/>
      <c r="U231" s="777"/>
      <c r="V231" s="777"/>
      <c r="W231" s="777"/>
      <c r="X231" s="777"/>
      <c r="Y231" s="777"/>
      <c r="Z231" s="777"/>
      <c r="AA231" s="777"/>
      <c r="AB231" s="777"/>
      <c r="AC231" s="777"/>
      <c r="AD231" s="777"/>
      <c r="AE231" s="777"/>
      <c r="AF231" s="777"/>
      <c r="AG231" s="777"/>
      <c r="AH231" s="777"/>
      <c r="AI231" s="777"/>
      <c r="AJ231" s="777"/>
      <c r="AK231" s="777"/>
      <c r="AL231" s="777"/>
      <c r="AM231" s="777"/>
      <c r="AN231" s="777"/>
      <c r="AO231" s="777"/>
      <c r="AP231" s="98"/>
      <c r="AQ231" s="897"/>
      <c r="AR231" s="897"/>
      <c r="AS231" s="897"/>
      <c r="AT231" s="777"/>
      <c r="AU231" s="777"/>
      <c r="AV231" s="640"/>
      <c r="AW231" s="640"/>
      <c r="AX231" s="640"/>
      <c r="AY231" s="640"/>
      <c r="AZ231" s="640"/>
      <c r="BA231" s="640"/>
      <c r="BB231" s="640"/>
      <c r="BC231" s="640"/>
      <c r="BD231" s="640"/>
      <c r="BE231" s="640"/>
      <c r="BF231" s="640"/>
      <c r="BG231" s="640"/>
      <c r="BH231" s="640"/>
      <c r="BI231" s="640"/>
      <c r="BJ231" s="121"/>
      <c r="BL231" s="144"/>
      <c r="BP231" s="31"/>
      <c r="BQ231" s="31"/>
      <c r="BR231" s="31"/>
      <c r="BS231" s="31"/>
      <c r="BT231" s="31"/>
      <c r="BU231" s="31"/>
      <c r="BV231" s="31"/>
      <c r="BW231" s="31"/>
      <c r="BX231" s="31"/>
    </row>
    <row r="232" spans="2:76" s="28" customFormat="1" ht="17.100000000000001" customHeight="1">
      <c r="B232" s="117"/>
      <c r="C232" s="956"/>
      <c r="D232" s="170" t="str">
        <f>X!C327</f>
        <v>Elektrizitätsverbrauch Kälte</v>
      </c>
      <c r="E232" s="98"/>
      <c r="F232" s="98"/>
      <c r="G232" s="98"/>
      <c r="H232" s="98"/>
      <c r="I232" s="98"/>
      <c r="J232" s="98"/>
      <c r="K232" s="98"/>
      <c r="L232" s="98"/>
      <c r="M232" s="98"/>
      <c r="N232" s="98"/>
      <c r="O232" s="98"/>
      <c r="P232" s="122" t="s">
        <v>22</v>
      </c>
      <c r="Q232" s="98"/>
      <c r="R232" s="1445">
        <f>R225-R238</f>
        <v>0</v>
      </c>
      <c r="S232" s="1445"/>
      <c r="T232" s="1445"/>
      <c r="U232" s="1445"/>
      <c r="V232" s="135"/>
      <c r="W232" s="136"/>
      <c r="X232" s="136"/>
      <c r="Y232" s="136"/>
      <c r="Z232" s="136"/>
      <c r="AA232" s="136"/>
      <c r="AB232" s="136"/>
      <c r="AC232" s="136"/>
      <c r="AD232" s="136"/>
      <c r="AE232" s="136"/>
      <c r="AF232" s="135"/>
      <c r="AG232" s="135"/>
      <c r="AH232" s="135"/>
      <c r="AI232" s="135"/>
      <c r="AJ232" s="135"/>
      <c r="AK232" s="135"/>
      <c r="AL232" s="405"/>
      <c r="AM232" s="405"/>
      <c r="AN232" s="135"/>
      <c r="AO232" s="135"/>
      <c r="AP232" s="1445">
        <f>AP225-AP238</f>
        <v>0</v>
      </c>
      <c r="AQ232" s="1445"/>
      <c r="AR232" s="1445"/>
      <c r="AS232" s="1445"/>
      <c r="AT232" s="135"/>
      <c r="AU232" s="163"/>
      <c r="AV232" s="136"/>
      <c r="AW232" s="136"/>
      <c r="AX232" s="136"/>
      <c r="AY232" s="136"/>
      <c r="AZ232" s="136"/>
      <c r="BA232" s="136"/>
      <c r="BB232" s="136"/>
      <c r="BC232" s="136"/>
      <c r="BD232" s="55"/>
      <c r="BE232" s="55"/>
      <c r="BF232" s="55"/>
      <c r="BG232" s="55"/>
      <c r="BH232" s="52"/>
      <c r="BI232" s="55"/>
      <c r="BJ232" s="121"/>
      <c r="BL232" s="144"/>
      <c r="BP232" s="31"/>
      <c r="BQ232" s="31"/>
      <c r="BR232" s="31"/>
      <c r="BS232" s="31"/>
      <c r="BT232" s="31"/>
      <c r="BU232" s="31"/>
      <c r="BV232" s="31"/>
      <c r="BW232" s="31"/>
      <c r="BX232" s="31"/>
    </row>
    <row r="233" spans="2:76" s="28" customFormat="1" ht="6" customHeight="1">
      <c r="B233" s="117"/>
      <c r="C233" s="956"/>
      <c r="D233" s="98"/>
      <c r="E233" s="98"/>
      <c r="F233" s="98"/>
      <c r="G233" s="98"/>
      <c r="H233" s="98"/>
      <c r="I233" s="98"/>
      <c r="J233" s="98"/>
      <c r="K233" s="98"/>
      <c r="L233" s="98"/>
      <c r="M233" s="98"/>
      <c r="N233" s="98"/>
      <c r="O233" s="98"/>
      <c r="P233" s="122"/>
      <c r="Q233" s="98"/>
      <c r="R233" s="98"/>
      <c r="S233" s="135"/>
      <c r="T233" s="135"/>
      <c r="U233" s="135"/>
      <c r="V233" s="135"/>
      <c r="W233" s="135"/>
      <c r="X233" s="135"/>
      <c r="Y233" s="135"/>
      <c r="Z233" s="135"/>
      <c r="AA233" s="135"/>
      <c r="AB233" s="135"/>
      <c r="AC233" s="135"/>
      <c r="AD233" s="135"/>
      <c r="AE233" s="135"/>
      <c r="AF233" s="135"/>
      <c r="AG233" s="135"/>
      <c r="AH233" s="135"/>
      <c r="AI233" s="135"/>
      <c r="AJ233" s="135"/>
      <c r="AK233" s="135"/>
      <c r="AL233" s="405"/>
      <c r="AM233" s="405"/>
      <c r="AN233" s="135"/>
      <c r="AO233" s="135"/>
      <c r="AP233" s="98"/>
      <c r="AQ233" s="897"/>
      <c r="AR233" s="897"/>
      <c r="AS233" s="897"/>
      <c r="AT233" s="135"/>
      <c r="AU233" s="135"/>
      <c r="AV233" s="55"/>
      <c r="AW233" s="55"/>
      <c r="AX233" s="55"/>
      <c r="AY233" s="55"/>
      <c r="AZ233" s="55"/>
      <c r="BA233" s="55"/>
      <c r="BB233" s="55"/>
      <c r="BC233" s="55"/>
      <c r="BD233" s="55"/>
      <c r="BE233" s="55"/>
      <c r="BF233" s="55"/>
      <c r="BG233" s="55"/>
      <c r="BH233" s="55"/>
      <c r="BI233" s="55"/>
      <c r="BJ233" s="121"/>
      <c r="BL233" s="144"/>
      <c r="BP233" s="31"/>
      <c r="BQ233" s="31"/>
      <c r="BR233" s="31"/>
      <c r="BS233" s="31"/>
      <c r="BT233" s="31"/>
      <c r="BU233" s="31"/>
      <c r="BV233" s="31"/>
      <c r="BW233" s="31"/>
      <c r="BX233" s="31"/>
    </row>
    <row r="234" spans="2:76" s="28" customFormat="1" ht="17.100000000000001" customHeight="1">
      <c r="B234" s="117"/>
      <c r="D234" s="1685" t="str">
        <f>X!C328</f>
        <v>Energieeffizienz-Zahl (Kälte)</v>
      </c>
      <c r="E234" s="1685"/>
      <c r="F234" s="1685"/>
      <c r="G234" s="1685"/>
      <c r="H234" s="1685"/>
      <c r="I234" s="1685"/>
      <c r="J234" s="1685"/>
      <c r="K234" s="1685"/>
      <c r="L234" s="1685"/>
      <c r="M234" s="1685"/>
      <c r="N234" s="1685"/>
      <c r="O234" s="98"/>
      <c r="P234" s="122" t="s">
        <v>282</v>
      </c>
      <c r="Q234" s="98"/>
      <c r="R234" s="98"/>
      <c r="S234" s="1462">
        <f>IF(R232=0,0,R230/R232)</f>
        <v>0</v>
      </c>
      <c r="T234" s="1462"/>
      <c r="U234" s="1462"/>
      <c r="V234" s="135"/>
      <c r="W234" s="976" t="str">
        <f>X!C329</f>
        <v>(Total Kälte / Elektrizitätsverbrauch Kälte)</v>
      </c>
      <c r="X234" s="168"/>
      <c r="Y234" s="168"/>
      <c r="Z234" s="168"/>
      <c r="AA234" s="168"/>
      <c r="AB234" s="168"/>
      <c r="AC234" s="168"/>
      <c r="AD234" s="168"/>
      <c r="AE234" s="168"/>
      <c r="AF234" s="135"/>
      <c r="AG234" s="135"/>
      <c r="AH234" s="135"/>
      <c r="AI234" s="135"/>
      <c r="AJ234" s="135"/>
      <c r="AK234" s="135"/>
      <c r="AL234" s="405"/>
      <c r="AM234" s="405"/>
      <c r="AN234" s="135"/>
      <c r="AO234" s="135"/>
      <c r="AP234" s="98"/>
      <c r="AQ234" s="1462">
        <f>IF(AP232=0,0,AP230/AP232)</f>
        <v>0</v>
      </c>
      <c r="AR234" s="1462"/>
      <c r="AS234" s="1462"/>
      <c r="AT234" s="135"/>
      <c r="AU234" s="976" t="str">
        <f>W234</f>
        <v>(Total Kälte / Elektrizitätsverbrauch Kälte)</v>
      </c>
      <c r="AV234" s="136"/>
      <c r="AW234" s="136"/>
      <c r="AX234" s="136"/>
      <c r="AY234" s="136"/>
      <c r="AZ234" s="136"/>
      <c r="BA234" s="136"/>
      <c r="BB234" s="136"/>
      <c r="BC234" s="136"/>
      <c r="BD234" s="55"/>
      <c r="BE234" s="55"/>
      <c r="BF234" s="55"/>
      <c r="BG234" s="55"/>
      <c r="BH234" s="55"/>
      <c r="BI234" s="55"/>
      <c r="BJ234" s="121"/>
      <c r="BL234" s="144"/>
      <c r="BP234" s="31"/>
      <c r="BQ234" s="31"/>
      <c r="BR234" s="31"/>
      <c r="BS234" s="31"/>
      <c r="BT234" s="31"/>
      <c r="BU234" s="31"/>
      <c r="BV234" s="31"/>
      <c r="BW234" s="31"/>
      <c r="BX234" s="31"/>
    </row>
    <row r="235" spans="2:76" s="28" customFormat="1">
      <c r="B235" s="117"/>
      <c r="C235" s="956"/>
      <c r="D235" s="98"/>
      <c r="E235" s="98"/>
      <c r="F235" s="98"/>
      <c r="G235" s="98"/>
      <c r="H235" s="98"/>
      <c r="I235" s="98"/>
      <c r="J235" s="98"/>
      <c r="K235" s="98"/>
      <c r="L235" s="98"/>
      <c r="M235" s="98"/>
      <c r="N235" s="98"/>
      <c r="O235" s="98"/>
      <c r="P235" s="122"/>
      <c r="Q235" s="98"/>
      <c r="R235" s="98"/>
      <c r="S235" s="777"/>
      <c r="T235" s="777"/>
      <c r="U235" s="777"/>
      <c r="V235" s="777"/>
      <c r="W235" s="777"/>
      <c r="X235" s="777"/>
      <c r="Y235" s="777"/>
      <c r="Z235" s="777"/>
      <c r="AA235" s="777"/>
      <c r="AB235" s="777"/>
      <c r="AC235" s="777"/>
      <c r="AD235" s="777"/>
      <c r="AE235" s="777"/>
      <c r="AF235" s="777"/>
      <c r="AG235" s="777"/>
      <c r="AH235" s="777"/>
      <c r="AI235" s="777"/>
      <c r="AJ235" s="777"/>
      <c r="AK235" s="777"/>
      <c r="AL235" s="777"/>
      <c r="AM235" s="777"/>
      <c r="AN235" s="777"/>
      <c r="AO235" s="777"/>
      <c r="AP235" s="98"/>
      <c r="AQ235" s="897"/>
      <c r="AR235" s="897"/>
      <c r="AS235" s="897"/>
      <c r="AT235" s="777"/>
      <c r="AU235" s="777"/>
      <c r="AV235" s="640"/>
      <c r="AW235" s="640"/>
      <c r="AX235" s="640"/>
      <c r="AY235" s="640"/>
      <c r="AZ235" s="640"/>
      <c r="BA235" s="640"/>
      <c r="BB235" s="640"/>
      <c r="BC235" s="640"/>
      <c r="BD235" s="640"/>
      <c r="BE235" s="640"/>
      <c r="BF235" s="640"/>
      <c r="BG235" s="640"/>
      <c r="BH235" s="640"/>
      <c r="BI235" s="640"/>
      <c r="BJ235" s="121"/>
      <c r="BP235" s="31"/>
      <c r="BQ235" s="31"/>
      <c r="BR235" s="31"/>
      <c r="BS235" s="31"/>
      <c r="BT235" s="31"/>
      <c r="BU235" s="31"/>
      <c r="BV235" s="31"/>
      <c r="BW235" s="31"/>
      <c r="BX235" s="31"/>
    </row>
    <row r="236" spans="2:76" s="28" customFormat="1">
      <c r="B236" s="117"/>
      <c r="C236" s="985" t="str">
        <f>X!C330</f>
        <v>Wärme</v>
      </c>
      <c r="D236" s="170"/>
      <c r="E236" s="98"/>
      <c r="F236" s="170"/>
      <c r="G236" s="98"/>
      <c r="H236" s="98"/>
      <c r="I236" s="98"/>
      <c r="J236" s="98"/>
      <c r="K236" s="98"/>
      <c r="L236" s="98"/>
      <c r="M236" s="98"/>
      <c r="N236" s="98"/>
      <c r="O236" s="98"/>
      <c r="P236" s="122"/>
      <c r="Q236" s="98"/>
      <c r="R236" s="98"/>
      <c r="S236" s="1445"/>
      <c r="T236" s="1463"/>
      <c r="U236" s="1463"/>
      <c r="V236" s="740"/>
      <c r="W236" s="136"/>
      <c r="X236" s="136"/>
      <c r="Y236" s="136"/>
      <c r="Z236" s="136"/>
      <c r="AA236" s="136"/>
      <c r="AB236" s="136"/>
      <c r="AC236" s="136"/>
      <c r="AD236" s="136"/>
      <c r="AE236" s="136"/>
      <c r="AF236" s="740"/>
      <c r="AG236" s="740"/>
      <c r="AH236" s="740"/>
      <c r="AI236" s="740"/>
      <c r="AJ236" s="740"/>
      <c r="AK236" s="740"/>
      <c r="AL236" s="740"/>
      <c r="AM236" s="740"/>
      <c r="AN236" s="740"/>
      <c r="AO236" s="740"/>
      <c r="AP236" s="98"/>
      <c r="AQ236" s="1445"/>
      <c r="AR236" s="1463"/>
      <c r="AS236" s="1463"/>
      <c r="AT236" s="740"/>
      <c r="AU236" s="163"/>
      <c r="AV236" s="136"/>
      <c r="AW236" s="136"/>
      <c r="AX236" s="136"/>
      <c r="AY236" s="136"/>
      <c r="AZ236" s="136"/>
      <c r="BA236" s="136"/>
      <c r="BB236" s="136"/>
      <c r="BC236" s="136"/>
      <c r="BD236" s="640"/>
      <c r="BE236" s="640"/>
      <c r="BF236" s="640"/>
      <c r="BG236" s="640"/>
      <c r="BH236" s="640"/>
      <c r="BI236" s="640"/>
      <c r="BJ236" s="121"/>
    </row>
    <row r="237" spans="2:76" s="28" customFormat="1">
      <c r="B237" s="117"/>
      <c r="C237" s="507"/>
      <c r="D237" s="170" t="str">
        <f>X!C331</f>
        <v>Genutzte Wärme</v>
      </c>
      <c r="E237" s="98"/>
      <c r="F237" s="98"/>
      <c r="G237" s="98"/>
      <c r="H237" s="98"/>
      <c r="I237" s="98"/>
      <c r="J237" s="98"/>
      <c r="K237" s="98"/>
      <c r="L237" s="98"/>
      <c r="M237" s="98"/>
      <c r="N237" s="98"/>
      <c r="O237" s="98"/>
      <c r="P237" s="122" t="s">
        <v>22</v>
      </c>
      <c r="Q237" s="98"/>
      <c r="R237" s="1445">
        <f>AH848</f>
        <v>0</v>
      </c>
      <c r="S237" s="1445"/>
      <c r="T237" s="1445"/>
      <c r="U237" s="1445"/>
      <c r="V237" s="740"/>
      <c r="W237" s="136"/>
      <c r="X237" s="761"/>
      <c r="Y237" s="136"/>
      <c r="Z237" s="136"/>
      <c r="AA237" s="136"/>
      <c r="AB237" s="136"/>
      <c r="AC237" s="136"/>
      <c r="AD237" s="136"/>
      <c r="AE237" s="136"/>
      <c r="AF237" s="740"/>
      <c r="AG237" s="740"/>
      <c r="AH237" s="740"/>
      <c r="AI237" s="740"/>
      <c r="AJ237" s="740"/>
      <c r="AK237" s="740"/>
      <c r="AL237" s="740"/>
      <c r="AM237" s="740"/>
      <c r="AN237" s="740"/>
      <c r="AO237" s="740"/>
      <c r="AP237" s="1445">
        <f>BF848</f>
        <v>0</v>
      </c>
      <c r="AQ237" s="1445"/>
      <c r="AR237" s="1445"/>
      <c r="AS237" s="1445"/>
      <c r="AT237" s="740"/>
      <c r="AU237" s="163"/>
      <c r="AV237" s="136"/>
      <c r="AW237" s="136"/>
      <c r="AX237" s="136"/>
      <c r="AY237" s="136"/>
      <c r="AZ237" s="136"/>
      <c r="BA237" s="136"/>
      <c r="BB237" s="136"/>
      <c r="BC237" s="136"/>
      <c r="BD237" s="640"/>
      <c r="BE237" s="640"/>
      <c r="BF237" s="640"/>
      <c r="BG237" s="640"/>
      <c r="BH237" s="640"/>
      <c r="BI237" s="640"/>
      <c r="BJ237" s="121"/>
    </row>
    <row r="238" spans="2:76" s="28" customFormat="1">
      <c r="B238" s="117"/>
      <c r="C238" s="507"/>
      <c r="D238" s="170" t="str">
        <f>X!C398</f>
        <v>Elektrizitätsverbrauch Kälte</v>
      </c>
      <c r="E238" s="98"/>
      <c r="F238" s="98"/>
      <c r="G238" s="98"/>
      <c r="H238" s="98"/>
      <c r="I238" s="98"/>
      <c r="J238" s="98"/>
      <c r="K238" s="98"/>
      <c r="L238" s="98"/>
      <c r="M238" s="98"/>
      <c r="N238" s="98"/>
      <c r="O238" s="98"/>
      <c r="P238" s="122" t="s">
        <v>22</v>
      </c>
      <c r="Q238" s="98"/>
      <c r="R238" s="1445">
        <f>AH860+AE338*S335</f>
        <v>0</v>
      </c>
      <c r="S238" s="1445"/>
      <c r="T238" s="1445"/>
      <c r="U238" s="1445"/>
      <c r="V238" s="740"/>
      <c r="W238" s="977" t="str">
        <f>IF(W101=1,BM238,"")</f>
        <v/>
      </c>
      <c r="X238" s="136"/>
      <c r="Y238" s="136"/>
      <c r="Z238" s="136"/>
      <c r="AA238" s="136"/>
      <c r="AB238" s="136"/>
      <c r="AC238" s="136"/>
      <c r="AD238" s="136"/>
      <c r="AE238" s="136"/>
      <c r="AF238" s="740"/>
      <c r="AG238" s="740"/>
      <c r="AH238" s="740"/>
      <c r="AI238" s="740"/>
      <c r="AJ238" s="740"/>
      <c r="AK238" s="740"/>
      <c r="AL238" s="740"/>
      <c r="AM238" s="740"/>
      <c r="AN238" s="740"/>
      <c r="AO238" s="740"/>
      <c r="AP238" s="1445">
        <f>BF860+BC338*AQ335</f>
        <v>0</v>
      </c>
      <c r="AQ238" s="1445"/>
      <c r="AR238" s="1445"/>
      <c r="AS238" s="1445"/>
      <c r="AT238" s="740"/>
      <c r="AU238" s="977" t="str">
        <f>IF(AU101=1,BM238,"")</f>
        <v/>
      </c>
      <c r="AV238" s="136"/>
      <c r="AW238" s="136"/>
      <c r="AX238" s="136"/>
      <c r="AY238" s="136"/>
      <c r="AZ238" s="136"/>
      <c r="BA238" s="136"/>
      <c r="BB238" s="136"/>
      <c r="BC238" s="136"/>
      <c r="BD238" s="640"/>
      <c r="BE238" s="640"/>
      <c r="BF238" s="640"/>
      <c r="BG238" s="640"/>
      <c r="BH238" s="52"/>
      <c r="BI238" s="640"/>
      <c r="BJ238" s="121"/>
      <c r="BM238" s="884" t="str">
        <f>X!C392</f>
        <v>(Anhebung der Kondensationstemperatur)</v>
      </c>
      <c r="BP238" s="31"/>
      <c r="BQ238" s="31"/>
      <c r="BR238" s="31"/>
      <c r="BS238" s="31"/>
      <c r="BT238" s="31"/>
      <c r="BU238" s="31"/>
      <c r="BV238" s="31"/>
      <c r="BW238" s="31"/>
      <c r="BX238" s="31"/>
    </row>
    <row r="239" spans="2:76" s="28" customFormat="1" ht="6" customHeight="1">
      <c r="B239" s="117"/>
      <c r="C239" s="956"/>
      <c r="D239" s="98"/>
      <c r="E239" s="98"/>
      <c r="F239" s="98"/>
      <c r="G239" s="98"/>
      <c r="H239" s="98"/>
      <c r="I239" s="98"/>
      <c r="J239" s="98"/>
      <c r="K239" s="98"/>
      <c r="L239" s="98"/>
      <c r="M239" s="98"/>
      <c r="N239" s="98"/>
      <c r="O239" s="98"/>
      <c r="P239" s="122"/>
      <c r="Q239" s="98"/>
      <c r="R239" s="98"/>
      <c r="S239" s="740"/>
      <c r="T239" s="740"/>
      <c r="U239" s="740"/>
      <c r="V239" s="740"/>
      <c r="W239" s="740"/>
      <c r="X239" s="740"/>
      <c r="Y239" s="740"/>
      <c r="Z239" s="740"/>
      <c r="AA239" s="740"/>
      <c r="AB239" s="740"/>
      <c r="AC239" s="740"/>
      <c r="AD239" s="740"/>
      <c r="AE239" s="740"/>
      <c r="AF239" s="740"/>
      <c r="AG239" s="740"/>
      <c r="AH239" s="740"/>
      <c r="AI239" s="740"/>
      <c r="AJ239" s="740"/>
      <c r="AK239" s="740"/>
      <c r="AL239" s="740"/>
      <c r="AM239" s="740"/>
      <c r="AN239" s="740"/>
      <c r="AO239" s="740"/>
      <c r="AP239" s="98"/>
      <c r="AQ239" s="897"/>
      <c r="AR239" s="897"/>
      <c r="AS239" s="897"/>
      <c r="AT239" s="740"/>
      <c r="AU239" s="740"/>
      <c r="AV239" s="640"/>
      <c r="AW239" s="640"/>
      <c r="AX239" s="640"/>
      <c r="AY239" s="640"/>
      <c r="AZ239" s="640"/>
      <c r="BA239" s="640"/>
      <c r="BB239" s="640"/>
      <c r="BC239" s="640"/>
      <c r="BD239" s="640"/>
      <c r="BE239" s="640"/>
      <c r="BF239" s="640"/>
      <c r="BG239" s="640"/>
      <c r="BH239" s="640"/>
      <c r="BI239" s="640"/>
      <c r="BJ239" s="121"/>
      <c r="BP239" s="31"/>
      <c r="BQ239" s="31"/>
      <c r="BR239" s="31"/>
      <c r="BS239" s="31"/>
      <c r="BT239" s="31"/>
      <c r="BU239" s="31"/>
      <c r="BV239" s="31"/>
      <c r="BW239" s="31"/>
      <c r="BX239" s="31"/>
    </row>
    <row r="240" spans="2:76" s="28" customFormat="1">
      <c r="B240" s="117"/>
      <c r="C240" s="536"/>
      <c r="D240" s="1685" t="str">
        <f>X!C332</f>
        <v>Energieeffizienz-Zahl (Wärme)</v>
      </c>
      <c r="E240" s="1685"/>
      <c r="F240" s="1685"/>
      <c r="G240" s="1685"/>
      <c r="H240" s="1685"/>
      <c r="I240" s="1685"/>
      <c r="J240" s="1685"/>
      <c r="K240" s="1685"/>
      <c r="L240" s="1685"/>
      <c r="M240" s="1685"/>
      <c r="N240" s="1685"/>
      <c r="O240" s="98"/>
      <c r="P240" s="122" t="s">
        <v>282</v>
      </c>
      <c r="Q240" s="98"/>
      <c r="R240" s="98"/>
      <c r="S240" s="1462">
        <f>IF(R238=0,0,R237/R238)</f>
        <v>0</v>
      </c>
      <c r="T240" s="1462"/>
      <c r="U240" s="1462"/>
      <c r="V240" s="740"/>
      <c r="W240" s="976" t="str">
        <f>X!C333</f>
        <v>(genutzte Wärme / Elektrizitätsverbrauch Wärme)</v>
      </c>
      <c r="X240" s="1034"/>
      <c r="Y240" s="746"/>
      <c r="Z240" s="746"/>
      <c r="AA240" s="746"/>
      <c r="AB240" s="746"/>
      <c r="AC240" s="746"/>
      <c r="AD240" s="746"/>
      <c r="AE240" s="746"/>
      <c r="AF240" s="740"/>
      <c r="AG240" s="740"/>
      <c r="AH240" s="740"/>
      <c r="AI240" s="740"/>
      <c r="AJ240" s="740"/>
      <c r="AK240" s="740"/>
      <c r="AL240" s="740"/>
      <c r="AM240" s="740"/>
      <c r="AN240" s="740"/>
      <c r="AO240" s="740"/>
      <c r="AP240" s="98"/>
      <c r="AQ240" s="1462">
        <f>IF(AP238=0,0,AP237/AP238)</f>
        <v>0</v>
      </c>
      <c r="AR240" s="1462"/>
      <c r="AS240" s="1462"/>
      <c r="AT240" s="740"/>
      <c r="AU240" s="976" t="str">
        <f>W240</f>
        <v>(genutzte Wärme / Elektrizitätsverbrauch Wärme)</v>
      </c>
      <c r="AV240" s="136"/>
      <c r="AW240" s="136"/>
      <c r="AX240" s="136"/>
      <c r="AY240" s="136"/>
      <c r="AZ240" s="136"/>
      <c r="BA240" s="136"/>
      <c r="BB240" s="136"/>
      <c r="BC240" s="136"/>
      <c r="BD240" s="640"/>
      <c r="BE240" s="640"/>
      <c r="BF240" s="640"/>
      <c r="BG240" s="640"/>
      <c r="BH240" s="640"/>
      <c r="BI240" s="640"/>
      <c r="BJ240" s="121"/>
      <c r="BP240" s="31"/>
      <c r="BQ240" s="31"/>
      <c r="BR240" s="31"/>
      <c r="BS240" s="31"/>
      <c r="BT240" s="31"/>
      <c r="BU240" s="31"/>
      <c r="BV240" s="31"/>
      <c r="BW240" s="31"/>
      <c r="BX240" s="31"/>
    </row>
    <row r="241" spans="2:76" s="28" customFormat="1">
      <c r="B241" s="117"/>
      <c r="C241" s="956"/>
      <c r="D241" s="98"/>
      <c r="E241" s="98"/>
      <c r="F241" s="98"/>
      <c r="G241" s="98"/>
      <c r="H241" s="98"/>
      <c r="I241" s="98"/>
      <c r="J241" s="98"/>
      <c r="K241" s="98"/>
      <c r="L241" s="98"/>
      <c r="M241" s="98"/>
      <c r="N241" s="98"/>
      <c r="O241" s="98"/>
      <c r="P241" s="122"/>
      <c r="Q241" s="98"/>
      <c r="R241" s="98"/>
      <c r="S241" s="777"/>
      <c r="T241" s="777"/>
      <c r="U241" s="777"/>
      <c r="V241" s="777"/>
      <c r="W241" s="777"/>
      <c r="X241" s="777"/>
      <c r="Y241" s="777"/>
      <c r="Z241" s="777"/>
      <c r="AA241" s="777"/>
      <c r="AB241" s="777"/>
      <c r="AC241" s="777"/>
      <c r="AD241" s="777"/>
      <c r="AE241" s="777"/>
      <c r="AF241" s="777"/>
      <c r="AG241" s="777"/>
      <c r="AH241" s="777"/>
      <c r="AI241" s="777"/>
      <c r="AJ241" s="777"/>
      <c r="AK241" s="777"/>
      <c r="AL241" s="777"/>
      <c r="AM241" s="777"/>
      <c r="AN241" s="777"/>
      <c r="AO241" s="777"/>
      <c r="AP241" s="98"/>
      <c r="AQ241" s="897"/>
      <c r="AR241" s="897"/>
      <c r="AS241" s="897"/>
      <c r="AT241" s="777"/>
      <c r="AU241" s="777"/>
      <c r="AV241" s="640"/>
      <c r="AW241" s="640"/>
      <c r="AX241" s="640"/>
      <c r="AY241" s="640"/>
      <c r="AZ241" s="640"/>
      <c r="BA241" s="640"/>
      <c r="BB241" s="640"/>
      <c r="BC241" s="640"/>
      <c r="BD241" s="640"/>
      <c r="BE241" s="640"/>
      <c r="BF241" s="640"/>
      <c r="BG241" s="640"/>
      <c r="BH241" s="640"/>
      <c r="BI241" s="640"/>
      <c r="BJ241" s="121"/>
      <c r="BP241" s="31"/>
      <c r="BQ241" s="31"/>
      <c r="BR241" s="31"/>
      <c r="BS241" s="31"/>
      <c r="BT241" s="31"/>
      <c r="BU241" s="31"/>
      <c r="BV241" s="31"/>
      <c r="BW241" s="31"/>
      <c r="BX241" s="31"/>
    </row>
    <row r="242" spans="2:76" s="28" customFormat="1">
      <c r="B242" s="117"/>
      <c r="C242" s="985" t="str">
        <f>X!C334</f>
        <v>Gesamtsystem (Kälte + Wärme)</v>
      </c>
      <c r="D242" s="98"/>
      <c r="E242" s="98"/>
      <c r="F242" s="170"/>
      <c r="G242" s="98"/>
      <c r="H242" s="98"/>
      <c r="I242" s="98"/>
      <c r="J242" s="98"/>
      <c r="K242" s="98"/>
      <c r="L242" s="98"/>
      <c r="M242" s="98"/>
      <c r="N242" s="98"/>
      <c r="O242" s="98"/>
      <c r="P242" s="122"/>
      <c r="Q242" s="98"/>
      <c r="R242" s="98"/>
      <c r="S242" s="1445"/>
      <c r="T242" s="1463"/>
      <c r="U242" s="1463"/>
      <c r="V242" s="740"/>
      <c r="W242" s="136"/>
      <c r="X242" s="136"/>
      <c r="Y242" s="136"/>
      <c r="Z242" s="136"/>
      <c r="AA242" s="136"/>
      <c r="AB242" s="136"/>
      <c r="AC242" s="136"/>
      <c r="AD242" s="136"/>
      <c r="AE242" s="136"/>
      <c r="AF242" s="740"/>
      <c r="AG242" s="740"/>
      <c r="AH242" s="740"/>
      <c r="AI242" s="740"/>
      <c r="AJ242" s="740"/>
      <c r="AK242" s="740"/>
      <c r="AL242" s="740"/>
      <c r="AM242" s="740"/>
      <c r="AN242" s="740"/>
      <c r="AO242" s="740"/>
      <c r="AP242" s="98"/>
      <c r="AQ242" s="1445"/>
      <c r="AR242" s="1463"/>
      <c r="AS242" s="1463"/>
      <c r="AT242" s="740"/>
      <c r="AU242" s="163"/>
      <c r="AV242" s="136"/>
      <c r="AW242" s="136"/>
      <c r="AX242" s="136"/>
      <c r="AY242" s="136"/>
      <c r="AZ242" s="136"/>
      <c r="BA242" s="136"/>
      <c r="BB242" s="136"/>
      <c r="BC242" s="136"/>
      <c r="BD242" s="640"/>
      <c r="BE242" s="640"/>
      <c r="BF242" s="640"/>
      <c r="BG242" s="640"/>
      <c r="BH242" s="640"/>
      <c r="BI242" s="640"/>
      <c r="BJ242" s="121"/>
    </row>
    <row r="243" spans="2:76" s="28" customFormat="1">
      <c r="B243" s="117"/>
      <c r="C243" s="956"/>
      <c r="D243" s="170" t="str">
        <f>X!C335</f>
        <v>Genutzte Wärme + Kälte</v>
      </c>
      <c r="E243" s="98"/>
      <c r="F243" s="98"/>
      <c r="G243" s="98"/>
      <c r="H243" s="98"/>
      <c r="I243" s="98"/>
      <c r="J243" s="98"/>
      <c r="K243" s="98"/>
      <c r="L243" s="98"/>
      <c r="M243" s="98"/>
      <c r="N243" s="98"/>
      <c r="O243" s="98"/>
      <c r="P243" s="122" t="s">
        <v>22</v>
      </c>
      <c r="Q243" s="98"/>
      <c r="R243" s="1676">
        <f>R230+R237</f>
        <v>0</v>
      </c>
      <c r="S243" s="1676"/>
      <c r="T243" s="1676"/>
      <c r="U243" s="1676"/>
      <c r="V243" s="740"/>
      <c r="W243" s="136"/>
      <c r="X243" s="761"/>
      <c r="Y243" s="136"/>
      <c r="Z243" s="136"/>
      <c r="AA243" s="136"/>
      <c r="AB243" s="136"/>
      <c r="AC243" s="136"/>
      <c r="AD243" s="136"/>
      <c r="AE243" s="136"/>
      <c r="AF243" s="740"/>
      <c r="AG243" s="740"/>
      <c r="AH243" s="740"/>
      <c r="AI243" s="740"/>
      <c r="AJ243" s="740"/>
      <c r="AK243" s="740"/>
      <c r="AL243" s="740"/>
      <c r="AM243" s="740"/>
      <c r="AN243" s="740"/>
      <c r="AO243" s="740"/>
      <c r="AP243" s="1676">
        <f>AP230+AP237</f>
        <v>0</v>
      </c>
      <c r="AQ243" s="1676"/>
      <c r="AR243" s="1676"/>
      <c r="AS243" s="1676"/>
      <c r="AT243" s="740"/>
      <c r="AU243" s="163"/>
      <c r="AV243" s="136"/>
      <c r="AW243" s="136"/>
      <c r="AX243" s="136"/>
      <c r="AY243" s="136"/>
      <c r="AZ243" s="136"/>
      <c r="BA243" s="136"/>
      <c r="BB243" s="136"/>
      <c r="BC243" s="136"/>
      <c r="BD243" s="640"/>
      <c r="BE243" s="640"/>
      <c r="BF243" s="640"/>
      <c r="BG243" s="640"/>
      <c r="BH243" s="640"/>
      <c r="BI243" s="640"/>
      <c r="BJ243" s="121"/>
    </row>
    <row r="244" spans="2:76" s="28" customFormat="1">
      <c r="B244" s="117"/>
      <c r="C244" s="956"/>
      <c r="D244" s="170" t="str">
        <f>X!C336</f>
        <v>Elektrizitätsverbrauch Wärme und Kälte</v>
      </c>
      <c r="E244" s="98"/>
      <c r="F244" s="98"/>
      <c r="G244" s="98"/>
      <c r="H244" s="98"/>
      <c r="I244" s="98"/>
      <c r="J244" s="98"/>
      <c r="K244" s="98"/>
      <c r="L244" s="98"/>
      <c r="M244" s="98"/>
      <c r="N244" s="98"/>
      <c r="O244" s="98"/>
      <c r="P244" s="122" t="s">
        <v>22</v>
      </c>
      <c r="Q244" s="98"/>
      <c r="R244" s="1445">
        <f>R232+R238</f>
        <v>0</v>
      </c>
      <c r="S244" s="1445"/>
      <c r="T244" s="1445"/>
      <c r="U244" s="1445"/>
      <c r="V244" s="740"/>
      <c r="W244" s="136"/>
      <c r="X244" s="136"/>
      <c r="Y244" s="136"/>
      <c r="Z244" s="136"/>
      <c r="AA244" s="136"/>
      <c r="AB244" s="136"/>
      <c r="AC244" s="136"/>
      <c r="AD244" s="136"/>
      <c r="AE244" s="136"/>
      <c r="AF244" s="740"/>
      <c r="AG244" s="740"/>
      <c r="AH244" s="740"/>
      <c r="AI244" s="740"/>
      <c r="AJ244" s="740"/>
      <c r="AK244" s="740"/>
      <c r="AL244" s="740"/>
      <c r="AM244" s="740"/>
      <c r="AN244" s="740"/>
      <c r="AO244" s="740"/>
      <c r="AP244" s="1445">
        <f>AP232+AP238</f>
        <v>0</v>
      </c>
      <c r="AQ244" s="1445"/>
      <c r="AR244" s="1445"/>
      <c r="AS244" s="1445"/>
      <c r="AT244" s="740"/>
      <c r="AU244" s="163"/>
      <c r="AV244" s="136"/>
      <c r="AW244" s="136"/>
      <c r="AX244" s="136"/>
      <c r="AY244" s="136"/>
      <c r="AZ244" s="136"/>
      <c r="BA244" s="136"/>
      <c r="BB244" s="136"/>
      <c r="BC244" s="136"/>
      <c r="BD244" s="640"/>
      <c r="BE244" s="640"/>
      <c r="BF244" s="640"/>
      <c r="BG244" s="640"/>
      <c r="BH244" s="52"/>
      <c r="BI244" s="640"/>
      <c r="BJ244" s="121"/>
      <c r="BP244" s="31"/>
      <c r="BQ244" s="31"/>
      <c r="BR244" s="31"/>
      <c r="BS244" s="31"/>
      <c r="BT244" s="31"/>
      <c r="BU244" s="31"/>
      <c r="BV244" s="31"/>
      <c r="BW244" s="31"/>
      <c r="BX244" s="31"/>
    </row>
    <row r="245" spans="2:76" s="28" customFormat="1">
      <c r="B245" s="117"/>
      <c r="C245" s="956"/>
      <c r="D245" s="98"/>
      <c r="E245" s="98"/>
      <c r="F245" s="98"/>
      <c r="G245" s="98"/>
      <c r="H245" s="98"/>
      <c r="I245" s="98"/>
      <c r="J245" s="98"/>
      <c r="K245" s="98"/>
      <c r="L245" s="98"/>
      <c r="M245" s="98"/>
      <c r="N245" s="98"/>
      <c r="O245" s="98"/>
      <c r="P245" s="122"/>
      <c r="Q245" s="98"/>
      <c r="R245" s="98"/>
      <c r="S245" s="740"/>
      <c r="T245" s="740"/>
      <c r="U245" s="740"/>
      <c r="V245" s="740"/>
      <c r="W245" s="740"/>
      <c r="X245" s="740"/>
      <c r="Y245" s="740"/>
      <c r="Z245" s="740"/>
      <c r="AA245" s="740"/>
      <c r="AB245" s="740"/>
      <c r="AC245" s="740"/>
      <c r="AD245" s="740"/>
      <c r="AE245" s="740"/>
      <c r="AF245" s="740"/>
      <c r="AG245" s="740"/>
      <c r="AH245" s="740"/>
      <c r="AI245" s="740"/>
      <c r="AJ245" s="740"/>
      <c r="AK245" s="740"/>
      <c r="AL245" s="740"/>
      <c r="AM245" s="740"/>
      <c r="AN245" s="740"/>
      <c r="AO245" s="740"/>
      <c r="AP245" s="98"/>
      <c r="AQ245" s="897"/>
      <c r="AR245" s="897"/>
      <c r="AS245" s="897"/>
      <c r="AT245" s="740"/>
      <c r="AU245" s="740"/>
      <c r="AV245" s="640"/>
      <c r="AW245" s="640"/>
      <c r="AX245" s="640"/>
      <c r="AY245" s="640"/>
      <c r="AZ245" s="640"/>
      <c r="BA245" s="640"/>
      <c r="BB245" s="640"/>
      <c r="BC245" s="640"/>
      <c r="BD245" s="640"/>
      <c r="BE245" s="640"/>
      <c r="BF245" s="640"/>
      <c r="BG245" s="640"/>
      <c r="BH245" s="640"/>
      <c r="BI245" s="640"/>
      <c r="BJ245" s="121"/>
      <c r="BP245" s="31"/>
      <c r="BQ245" s="31"/>
      <c r="BR245" s="31"/>
      <c r="BS245" s="31"/>
      <c r="BT245" s="31"/>
      <c r="BU245" s="31"/>
      <c r="BV245" s="31"/>
      <c r="BW245" s="31"/>
      <c r="BX245" s="31"/>
    </row>
    <row r="246" spans="2:76" s="28" customFormat="1">
      <c r="B246" s="117"/>
      <c r="C246" s="536"/>
      <c r="D246" s="1685" t="str">
        <f>X!C337</f>
        <v>Energieeffizienz-Zahl (Kälte + Wärme)</v>
      </c>
      <c r="E246" s="1685"/>
      <c r="F246" s="1685"/>
      <c r="G246" s="1685"/>
      <c r="H246" s="1685"/>
      <c r="I246" s="1685"/>
      <c r="J246" s="1685"/>
      <c r="K246" s="1685"/>
      <c r="L246" s="1685"/>
      <c r="M246" s="1685"/>
      <c r="N246" s="1685"/>
      <c r="O246" s="98"/>
      <c r="P246" s="122" t="s">
        <v>282</v>
      </c>
      <c r="Q246" s="98"/>
      <c r="R246" s="98"/>
      <c r="S246" s="1462">
        <f>IF(R244=0,0,R243/R244)</f>
        <v>0</v>
      </c>
      <c r="T246" s="1462"/>
      <c r="U246" s="1462"/>
      <c r="V246" s="740"/>
      <c r="W246" s="976" t="str">
        <f>X!C338</f>
        <v>((genutzte Wärme + Kälte) / Gesamter Elektrizitätsverbrauch)</v>
      </c>
      <c r="X246" s="746"/>
      <c r="Y246" s="746"/>
      <c r="Z246" s="746"/>
      <c r="AA246" s="746"/>
      <c r="AB246" s="746"/>
      <c r="AC246" s="746"/>
      <c r="AD246" s="746"/>
      <c r="AE246" s="746"/>
      <c r="AF246" s="740"/>
      <c r="AG246" s="740"/>
      <c r="AH246" s="740"/>
      <c r="AI246" s="740"/>
      <c r="AJ246" s="740"/>
      <c r="AK246" s="740"/>
      <c r="AL246" s="740"/>
      <c r="AM246" s="740"/>
      <c r="AN246" s="740"/>
      <c r="AO246" s="740"/>
      <c r="AP246" s="98"/>
      <c r="AQ246" s="1462">
        <f>IF(AP244=0,0,AP243/AP244)</f>
        <v>0</v>
      </c>
      <c r="AR246" s="1462"/>
      <c r="AS246" s="1462"/>
      <c r="AT246" s="740"/>
      <c r="AU246" s="976" t="str">
        <f>W246</f>
        <v>((genutzte Wärme + Kälte) / Gesamter Elektrizitätsverbrauch)</v>
      </c>
      <c r="AV246" s="136"/>
      <c r="AW246" s="136"/>
      <c r="AX246" s="136"/>
      <c r="AY246" s="136"/>
      <c r="AZ246" s="136"/>
      <c r="BA246" s="136"/>
      <c r="BB246" s="136"/>
      <c r="BC246" s="136"/>
      <c r="BD246" s="640"/>
      <c r="BE246" s="640"/>
      <c r="BF246" s="640"/>
      <c r="BG246" s="640"/>
      <c r="BH246" s="640"/>
      <c r="BI246" s="640"/>
      <c r="BJ246" s="121"/>
      <c r="BP246" s="31"/>
      <c r="BQ246" s="31"/>
      <c r="BR246" s="31"/>
      <c r="BS246" s="31"/>
      <c r="BT246" s="31"/>
      <c r="BU246" s="31"/>
      <c r="BV246" s="31"/>
      <c r="BW246" s="31"/>
      <c r="BX246" s="31"/>
    </row>
    <row r="247" spans="2:76">
      <c r="B247" s="147"/>
      <c r="C247" s="747"/>
      <c r="D247" s="52"/>
      <c r="E247" s="52"/>
      <c r="F247" s="52"/>
      <c r="G247" s="52"/>
      <c r="H247" s="52"/>
      <c r="I247" s="52"/>
      <c r="J247" s="52"/>
      <c r="K247" s="52"/>
      <c r="L247" s="52"/>
      <c r="M247" s="52"/>
      <c r="N247" s="52"/>
      <c r="O247" s="52"/>
      <c r="P247" s="640"/>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152"/>
      <c r="BP247" s="28"/>
      <c r="BQ247" s="28"/>
      <c r="BR247" s="28"/>
      <c r="BS247" s="28"/>
      <c r="BT247" s="28"/>
      <c r="BU247" s="28"/>
      <c r="BV247" s="28"/>
      <c r="BW247" s="28"/>
      <c r="BX247" s="28"/>
    </row>
    <row r="248" spans="2:76" s="28" customFormat="1" ht="17.100000000000001" customHeight="1">
      <c r="B248" s="117"/>
      <c r="C248" s="474"/>
      <c r="D248" s="98"/>
      <c r="E248" s="98"/>
      <c r="F248" s="98"/>
      <c r="G248" s="98"/>
      <c r="H248" s="98"/>
      <c r="I248" s="98"/>
      <c r="J248" s="98"/>
      <c r="K248" s="98"/>
      <c r="L248" s="98"/>
      <c r="M248" s="98"/>
      <c r="N248" s="98"/>
      <c r="O248" s="98"/>
      <c r="P248" s="122"/>
      <c r="Q248" s="98"/>
      <c r="R248" s="98"/>
      <c r="S248" s="98"/>
      <c r="T248" s="98"/>
      <c r="U248" s="98"/>
      <c r="V248" s="98"/>
      <c r="W248" s="98"/>
      <c r="X248" s="98"/>
      <c r="Y248" s="98"/>
      <c r="Z248" s="98"/>
      <c r="AA248" s="55"/>
      <c r="AB248" s="55"/>
      <c r="AC248" s="55"/>
      <c r="AD248" s="55"/>
      <c r="AE248" s="55"/>
      <c r="AF248" s="55"/>
      <c r="AG248" s="55"/>
      <c r="AH248" s="55"/>
      <c r="AI248" s="55"/>
      <c r="AJ248" s="55"/>
      <c r="AK248" s="55"/>
      <c r="AL248" s="55"/>
      <c r="AM248" s="55"/>
      <c r="AN248" s="55"/>
      <c r="AO248" s="55"/>
      <c r="AP248" s="55"/>
      <c r="AQ248" s="55"/>
      <c r="AR248" s="55"/>
      <c r="AS248" s="55"/>
      <c r="AT248" s="120"/>
      <c r="AU248" s="55"/>
      <c r="AV248" s="55"/>
      <c r="AW248" s="55"/>
      <c r="AX248" s="55"/>
      <c r="AY248" s="55"/>
      <c r="AZ248" s="55"/>
      <c r="BA248" s="55"/>
      <c r="BB248" s="55"/>
      <c r="BC248" s="55"/>
      <c r="BD248" s="55"/>
      <c r="BE248" s="55"/>
      <c r="BF248" s="55"/>
      <c r="BG248" s="55"/>
      <c r="BH248" s="52"/>
      <c r="BI248" s="55"/>
      <c r="BJ248" s="121"/>
    </row>
    <row r="249" spans="2:76">
      <c r="B249" s="147"/>
      <c r="C249" s="970">
        <v>4.2</v>
      </c>
      <c r="D249" s="971" t="str">
        <f>X!$C$102</f>
        <v>Ergebnis der Abschätzung gemäss Annahmen des Planers</v>
      </c>
      <c r="E249" s="972"/>
      <c r="F249" s="972"/>
      <c r="G249" s="972"/>
      <c r="H249" s="972"/>
      <c r="I249" s="972"/>
      <c r="J249" s="972"/>
      <c r="K249" s="972"/>
      <c r="L249" s="972"/>
      <c r="M249" s="972"/>
      <c r="N249" s="972"/>
      <c r="O249" s="972"/>
      <c r="P249" s="973"/>
      <c r="Q249" s="972"/>
      <c r="R249" s="972"/>
      <c r="S249" s="972"/>
      <c r="T249" s="972"/>
      <c r="U249" s="972"/>
      <c r="V249" s="972"/>
      <c r="W249" s="974"/>
      <c r="X249" s="974"/>
      <c r="Y249" s="974"/>
      <c r="Z249" s="974"/>
      <c r="AA249" s="974"/>
      <c r="AB249" s="974"/>
      <c r="AC249" s="974"/>
      <c r="AD249" s="974"/>
      <c r="AE249" s="974"/>
      <c r="AF249" s="972"/>
      <c r="AG249" s="972"/>
      <c r="AH249" s="972"/>
      <c r="AI249" s="972"/>
      <c r="AJ249" s="972"/>
      <c r="AK249" s="972"/>
      <c r="AL249" s="640"/>
      <c r="AM249" s="640"/>
      <c r="AN249" s="973"/>
      <c r="AO249" s="973"/>
      <c r="AP249" s="972"/>
      <c r="AQ249" s="972"/>
      <c r="AR249" s="972"/>
      <c r="AS249" s="972"/>
      <c r="AT249" s="972"/>
      <c r="AU249" s="972"/>
      <c r="AV249" s="972"/>
      <c r="AW249" s="972"/>
      <c r="AX249" s="972"/>
      <c r="AY249" s="972"/>
      <c r="AZ249" s="972"/>
      <c r="BA249" s="972"/>
      <c r="BB249" s="972"/>
      <c r="BC249" s="972"/>
      <c r="BD249" s="972"/>
      <c r="BE249" s="972"/>
      <c r="BF249" s="972"/>
      <c r="BG249" s="972"/>
      <c r="BH249" s="972"/>
      <c r="BI249" s="972"/>
      <c r="BJ249" s="152"/>
      <c r="BL249" s="28"/>
      <c r="BP249" s="28"/>
      <c r="BQ249" s="28"/>
      <c r="BR249" s="28"/>
      <c r="BS249" s="28"/>
      <c r="BT249" s="28"/>
      <c r="BU249" s="28"/>
      <c r="BV249" s="28"/>
      <c r="BW249" s="28"/>
      <c r="BX249" s="28"/>
    </row>
    <row r="250" spans="2:76" s="28" customFormat="1" ht="6" customHeight="1">
      <c r="B250" s="117"/>
      <c r="C250" s="474"/>
      <c r="D250" s="98"/>
      <c r="E250" s="98"/>
      <c r="F250" s="98"/>
      <c r="G250" s="98"/>
      <c r="H250" s="98"/>
      <c r="I250" s="98"/>
      <c r="J250" s="98"/>
      <c r="K250" s="98"/>
      <c r="L250" s="98"/>
      <c r="M250" s="98"/>
      <c r="N250" s="98"/>
      <c r="O250" s="98"/>
      <c r="P250" s="122"/>
      <c r="Q250" s="98"/>
      <c r="R250" s="98"/>
      <c r="S250" s="165"/>
      <c r="T250" s="165"/>
      <c r="U250" s="165"/>
      <c r="V250" s="165"/>
      <c r="W250" s="165"/>
      <c r="X250" s="165"/>
      <c r="Y250" s="165"/>
      <c r="Z250" s="165"/>
      <c r="AA250" s="165"/>
      <c r="AB250" s="165"/>
      <c r="AC250" s="165"/>
      <c r="AD250" s="165"/>
      <c r="AE250" s="165"/>
      <c r="AF250" s="165"/>
      <c r="AG250" s="165"/>
      <c r="AH250" s="135"/>
      <c r="AI250" s="135"/>
      <c r="AJ250" s="135"/>
      <c r="AK250" s="135"/>
      <c r="AL250" s="640"/>
      <c r="AM250" s="640"/>
      <c r="AN250" s="640"/>
      <c r="AO250" s="640"/>
      <c r="AP250" s="135"/>
      <c r="AQ250" s="135"/>
      <c r="AR250" s="135"/>
      <c r="AS250" s="135"/>
      <c r="AT250" s="135"/>
      <c r="AU250" s="135"/>
      <c r="AV250" s="135"/>
      <c r="AW250" s="135"/>
      <c r="AX250" s="135"/>
      <c r="AY250" s="135"/>
      <c r="AZ250" s="135"/>
      <c r="BA250" s="135"/>
      <c r="BB250" s="135"/>
      <c r="BC250" s="135"/>
      <c r="BD250" s="135"/>
      <c r="BE250" s="135"/>
      <c r="BF250" s="135"/>
      <c r="BG250" s="135"/>
      <c r="BH250" s="135"/>
      <c r="BI250" s="135"/>
      <c r="BJ250" s="121"/>
    </row>
    <row r="251" spans="2:76" s="28" customFormat="1" ht="17.100000000000001" customHeight="1">
      <c r="B251" s="117"/>
      <c r="C251" s="495" t="str">
        <f>C221</f>
        <v>Elektrizitätsverbrauch</v>
      </c>
      <c r="D251" s="98"/>
      <c r="E251" s="98"/>
      <c r="F251" s="98"/>
      <c r="G251" s="98"/>
      <c r="H251" s="98"/>
      <c r="I251" s="98"/>
      <c r="J251" s="98"/>
      <c r="K251" s="98"/>
      <c r="L251" s="98"/>
      <c r="M251" s="98"/>
      <c r="N251" s="98"/>
      <c r="O251" s="98"/>
      <c r="P251" s="122"/>
      <c r="Q251" s="98"/>
      <c r="R251" s="98"/>
      <c r="S251" s="1445"/>
      <c r="T251" s="1463"/>
      <c r="U251" s="1463"/>
      <c r="V251" s="135"/>
      <c r="W251" s="136"/>
      <c r="X251" s="136"/>
      <c r="Y251" s="136"/>
      <c r="Z251" s="136"/>
      <c r="AA251" s="136"/>
      <c r="AB251" s="136"/>
      <c r="AC251" s="136"/>
      <c r="AD251" s="136"/>
      <c r="AE251" s="136"/>
      <c r="AF251" s="135"/>
      <c r="AG251" s="135"/>
      <c r="AH251" s="135"/>
      <c r="AI251" s="135"/>
      <c r="AJ251" s="135"/>
      <c r="AK251" s="135"/>
      <c r="AL251" s="405"/>
      <c r="AM251" s="405"/>
      <c r="AN251" s="135"/>
      <c r="AO251" s="135"/>
      <c r="AP251" s="135"/>
      <c r="AQ251" s="160"/>
      <c r="AR251" s="160"/>
      <c r="AS251" s="160"/>
      <c r="AT251" s="98"/>
      <c r="AU251" s="136"/>
      <c r="AV251" s="136"/>
      <c r="AW251" s="136"/>
      <c r="AX251" s="136"/>
      <c r="AY251" s="136"/>
      <c r="AZ251" s="136"/>
      <c r="BA251" s="136"/>
      <c r="BB251" s="136"/>
      <c r="BC251" s="136"/>
      <c r="BD251" s="55"/>
      <c r="BE251" s="55"/>
      <c r="BF251" s="55"/>
      <c r="BG251" s="55"/>
      <c r="BH251" s="55"/>
      <c r="BI251" s="55"/>
      <c r="BJ251" s="121"/>
      <c r="BP251" s="31"/>
      <c r="BQ251" s="31"/>
      <c r="BR251" s="31"/>
      <c r="BS251" s="31"/>
      <c r="BT251" s="31"/>
      <c r="BU251" s="31"/>
      <c r="BV251" s="31"/>
      <c r="BW251" s="31"/>
      <c r="BX251" s="31"/>
    </row>
    <row r="252" spans="2:76" s="28" customFormat="1" ht="17.100000000000001" customHeight="1">
      <c r="B252" s="117"/>
      <c r="C252" s="474"/>
      <c r="D252" s="98" t="str">
        <f>D222</f>
        <v>Verdichter</v>
      </c>
      <c r="E252" s="98"/>
      <c r="F252" s="98"/>
      <c r="G252" s="98"/>
      <c r="H252" s="98"/>
      <c r="I252" s="98"/>
      <c r="J252" s="98"/>
      <c r="K252" s="98"/>
      <c r="L252" s="98"/>
      <c r="M252" s="98"/>
      <c r="N252" s="98"/>
      <c r="O252" s="98"/>
      <c r="P252" s="122" t="s">
        <v>22</v>
      </c>
      <c r="Q252" s="98"/>
      <c r="R252" s="1445">
        <f>AH390</f>
        <v>0</v>
      </c>
      <c r="S252" s="1445"/>
      <c r="T252" s="1445"/>
      <c r="U252" s="1445"/>
      <c r="V252" s="135"/>
      <c r="W252" s="136"/>
      <c r="X252" s="136"/>
      <c r="Y252" s="136"/>
      <c r="Z252" s="136"/>
      <c r="AA252" s="136"/>
      <c r="AB252" s="136"/>
      <c r="AC252" s="136"/>
      <c r="AD252" s="136"/>
      <c r="AE252" s="136"/>
      <c r="AF252" s="135"/>
      <c r="AG252" s="135"/>
      <c r="AH252" s="135"/>
      <c r="AI252" s="135"/>
      <c r="AJ252" s="135"/>
      <c r="AK252" s="135"/>
      <c r="AL252" s="405"/>
      <c r="AM252" s="405"/>
      <c r="AN252" s="135"/>
      <c r="AO252" s="135"/>
      <c r="AP252" s="1445">
        <f>BF390</f>
        <v>0</v>
      </c>
      <c r="AQ252" s="1445"/>
      <c r="AR252" s="1445"/>
      <c r="AS252" s="1445"/>
      <c r="AT252" s="135"/>
      <c r="AU252" s="163"/>
      <c r="AV252" s="136"/>
      <c r="AW252" s="136"/>
      <c r="AX252" s="136"/>
      <c r="AY252" s="136"/>
      <c r="AZ252" s="136"/>
      <c r="BA252" s="136"/>
      <c r="BB252" s="136"/>
      <c r="BC252" s="136"/>
      <c r="BD252" s="55"/>
      <c r="BE252" s="55"/>
      <c r="BF252" s="55"/>
      <c r="BG252" s="55"/>
      <c r="BH252" s="55"/>
      <c r="BI252" s="55"/>
      <c r="BJ252" s="121"/>
      <c r="BP252" s="31"/>
      <c r="BQ252" s="31"/>
      <c r="BR252" s="31"/>
      <c r="BS252" s="31"/>
      <c r="BT252" s="31"/>
      <c r="BU252" s="31"/>
      <c r="BV252" s="31"/>
      <c r="BW252" s="31"/>
      <c r="BX252" s="31"/>
    </row>
    <row r="253" spans="2:76" s="28" customFormat="1" ht="17.100000000000001" customHeight="1">
      <c r="B253" s="117"/>
      <c r="C253" s="474"/>
      <c r="D253" s="98" t="str">
        <f>D223</f>
        <v>Hilfsbetriebe «warme Seite»</v>
      </c>
      <c r="E253" s="98"/>
      <c r="F253" s="98"/>
      <c r="G253" s="98"/>
      <c r="H253" s="98"/>
      <c r="I253" s="98"/>
      <c r="J253" s="98"/>
      <c r="K253" s="98"/>
      <c r="L253" s="98"/>
      <c r="M253" s="98"/>
      <c r="N253" s="98"/>
      <c r="O253" s="98"/>
      <c r="P253" s="122" t="s">
        <v>22</v>
      </c>
      <c r="Q253" s="98"/>
      <c r="R253" s="1445">
        <f>AI407</f>
        <v>0</v>
      </c>
      <c r="S253" s="1445"/>
      <c r="T253" s="1445"/>
      <c r="U253" s="1445"/>
      <c r="V253" s="135"/>
      <c r="W253" s="136"/>
      <c r="X253" s="136"/>
      <c r="Y253" s="136"/>
      <c r="Z253" s="136"/>
      <c r="AA253" s="136"/>
      <c r="AB253" s="136"/>
      <c r="AC253" s="136"/>
      <c r="AD253" s="136"/>
      <c r="AE253" s="136"/>
      <c r="AF253" s="135"/>
      <c r="AG253" s="135"/>
      <c r="AH253" s="135"/>
      <c r="AI253" s="135"/>
      <c r="AJ253" s="135"/>
      <c r="AK253" s="135"/>
      <c r="AL253" s="405"/>
      <c r="AM253" s="405"/>
      <c r="AN253" s="135"/>
      <c r="AO253" s="135"/>
      <c r="AP253" s="135"/>
      <c r="AQ253" s="1445">
        <f>BG407</f>
        <v>0</v>
      </c>
      <c r="AR253" s="1463"/>
      <c r="AS253" s="1463"/>
      <c r="AT253" s="135"/>
      <c r="AU253" s="163"/>
      <c r="AV253" s="136"/>
      <c r="AW253" s="136"/>
      <c r="AX253" s="136"/>
      <c r="AY253" s="136"/>
      <c r="AZ253" s="136"/>
      <c r="BA253" s="136"/>
      <c r="BB253" s="136"/>
      <c r="BC253" s="136"/>
      <c r="BD253" s="55"/>
      <c r="BE253" s="55"/>
      <c r="BF253" s="55"/>
      <c r="BG253" s="55"/>
      <c r="BH253" s="52"/>
      <c r="BI253" s="55"/>
      <c r="BJ253" s="121"/>
      <c r="BP253" s="31"/>
      <c r="BQ253" s="31"/>
      <c r="BR253" s="31"/>
      <c r="BS253" s="31"/>
      <c r="BT253" s="31"/>
      <c r="BU253" s="31"/>
      <c r="BV253" s="31"/>
      <c r="BW253" s="31"/>
      <c r="BX253" s="31"/>
    </row>
    <row r="254" spans="2:76" s="28" customFormat="1" ht="17.100000000000001" customHeight="1">
      <c r="B254" s="117"/>
      <c r="C254" s="474"/>
      <c r="D254" s="98" t="str">
        <f>D224</f>
        <v>Hilfsbetriebe «kalte Seite»</v>
      </c>
      <c r="E254" s="98"/>
      <c r="F254" s="98"/>
      <c r="G254" s="98"/>
      <c r="H254" s="98"/>
      <c r="I254" s="98"/>
      <c r="J254" s="98"/>
      <c r="K254" s="98"/>
      <c r="L254" s="98"/>
      <c r="M254" s="98"/>
      <c r="N254" s="98"/>
      <c r="O254" s="98"/>
      <c r="P254" s="122" t="s">
        <v>22</v>
      </c>
      <c r="Q254" s="98"/>
      <c r="R254" s="1445">
        <f>AA418</f>
        <v>0</v>
      </c>
      <c r="S254" s="1445"/>
      <c r="T254" s="1445"/>
      <c r="U254" s="1445"/>
      <c r="V254" s="135"/>
      <c r="W254" s="168"/>
      <c r="X254" s="168"/>
      <c r="Y254" s="168"/>
      <c r="Z254" s="168"/>
      <c r="AA254" s="168"/>
      <c r="AB254" s="168"/>
      <c r="AC254" s="168"/>
      <c r="AD254" s="168"/>
      <c r="AE254" s="168"/>
      <c r="AF254" s="135"/>
      <c r="AG254" s="135"/>
      <c r="AH254" s="135"/>
      <c r="AI254" s="135"/>
      <c r="AJ254" s="135"/>
      <c r="AK254" s="135"/>
      <c r="AL254" s="405"/>
      <c r="AM254" s="405"/>
      <c r="AN254" s="135"/>
      <c r="AO254" s="135"/>
      <c r="AP254" s="135"/>
      <c r="AQ254" s="1445">
        <f>AY418</f>
        <v>0</v>
      </c>
      <c r="AR254" s="1463"/>
      <c r="AS254" s="1463"/>
      <c r="AT254" s="135"/>
      <c r="AU254" s="210"/>
      <c r="AV254" s="136"/>
      <c r="AW254" s="136"/>
      <c r="AX254" s="136"/>
      <c r="AY254" s="136"/>
      <c r="AZ254" s="136"/>
      <c r="BA254" s="136"/>
      <c r="BB254" s="136"/>
      <c r="BC254" s="136"/>
      <c r="BD254" s="55"/>
      <c r="BE254" s="55"/>
      <c r="BF254" s="55"/>
      <c r="BG254" s="55"/>
      <c r="BH254" s="55"/>
      <c r="BI254" s="55"/>
      <c r="BJ254" s="121"/>
      <c r="BM254" s="28" t="s">
        <v>882</v>
      </c>
    </row>
    <row r="255" spans="2:76" s="28" customFormat="1" ht="17.100000000000001" customHeight="1">
      <c r="B255" s="117"/>
      <c r="C255" s="474"/>
      <c r="D255" s="144" t="str">
        <f>D225</f>
        <v>Total Elektrizitätsverbrauch</v>
      </c>
      <c r="E255" s="144"/>
      <c r="F255" s="144"/>
      <c r="G255" s="144"/>
      <c r="H255" s="144"/>
      <c r="I255" s="144"/>
      <c r="J255" s="144"/>
      <c r="K255" s="144"/>
      <c r="L255" s="144"/>
      <c r="M255" s="144"/>
      <c r="N255" s="144"/>
      <c r="O255" s="144"/>
      <c r="P255" s="1380" t="s">
        <v>22</v>
      </c>
      <c r="Q255" s="1381"/>
      <c r="R255" s="1673">
        <f>SUM(R252:U254)</f>
        <v>0</v>
      </c>
      <c r="S255" s="1673"/>
      <c r="T255" s="1673"/>
      <c r="U255" s="1673"/>
      <c r="V255" s="173"/>
      <c r="W255" s="211"/>
      <c r="X255" s="211"/>
      <c r="Y255" s="211"/>
      <c r="Z255" s="211"/>
      <c r="AA255" s="211"/>
      <c r="AB255" s="211"/>
      <c r="AC255" s="211"/>
      <c r="AD255" s="211"/>
      <c r="AE255" s="211"/>
      <c r="AF255" s="173"/>
      <c r="AG255" s="173"/>
      <c r="AH255" s="173"/>
      <c r="AI255" s="173"/>
      <c r="AJ255" s="173"/>
      <c r="AK255" s="173"/>
      <c r="AL255" s="413"/>
      <c r="AM255" s="413"/>
      <c r="AN255" s="173"/>
      <c r="AO255" s="173"/>
      <c r="AP255" s="1673">
        <f>SUM(AP252:AS254)</f>
        <v>0</v>
      </c>
      <c r="AQ255" s="1673"/>
      <c r="AR255" s="1673"/>
      <c r="AS255" s="1673"/>
      <c r="AT255" s="173"/>
      <c r="AU255" s="210"/>
      <c r="AV255" s="136"/>
      <c r="AW255" s="136"/>
      <c r="AX255" s="136"/>
      <c r="AY255" s="136"/>
      <c r="AZ255" s="136"/>
      <c r="BA255" s="136"/>
      <c r="BB255" s="136"/>
      <c r="BC255" s="136"/>
      <c r="BD255" s="55"/>
      <c r="BE255" s="55"/>
      <c r="BF255" s="55"/>
      <c r="BG255" s="55"/>
      <c r="BH255" s="52"/>
      <c r="BI255" s="55"/>
      <c r="BJ255" s="121"/>
      <c r="BP255" s="155"/>
      <c r="BQ255" s="155"/>
      <c r="BR255" s="155"/>
      <c r="BS255" s="155"/>
      <c r="BT255" s="155"/>
      <c r="BU255" s="155"/>
      <c r="BV255" s="155"/>
      <c r="BW255" s="155"/>
      <c r="BX255" s="155"/>
    </row>
    <row r="256" spans="2:76" s="28" customFormat="1" ht="6" customHeight="1">
      <c r="B256" s="117"/>
      <c r="C256" s="474"/>
      <c r="D256" s="98"/>
      <c r="E256" s="98"/>
      <c r="F256" s="98"/>
      <c r="G256" s="98"/>
      <c r="H256" s="98"/>
      <c r="I256" s="98"/>
      <c r="J256" s="98"/>
      <c r="K256" s="98"/>
      <c r="L256" s="98"/>
      <c r="M256" s="98"/>
      <c r="N256" s="98"/>
      <c r="O256" s="98"/>
      <c r="P256" s="122"/>
      <c r="Q256" s="98"/>
      <c r="R256" s="98"/>
      <c r="S256" s="135"/>
      <c r="T256" s="135"/>
      <c r="U256" s="135"/>
      <c r="V256" s="135"/>
      <c r="W256" s="135"/>
      <c r="X256" s="135"/>
      <c r="Y256" s="135"/>
      <c r="Z256" s="135"/>
      <c r="AA256" s="135"/>
      <c r="AB256" s="135"/>
      <c r="AC256" s="135"/>
      <c r="AD256" s="135"/>
      <c r="AE256" s="135"/>
      <c r="AF256" s="135"/>
      <c r="AG256" s="135"/>
      <c r="AH256" s="135"/>
      <c r="AI256" s="135"/>
      <c r="AJ256" s="135"/>
      <c r="AK256" s="135"/>
      <c r="AL256" s="405"/>
      <c r="AM256" s="405"/>
      <c r="AN256" s="135"/>
      <c r="AO256" s="135"/>
      <c r="AP256" s="135"/>
      <c r="AQ256" s="135"/>
      <c r="AR256" s="135"/>
      <c r="AS256" s="135"/>
      <c r="AT256" s="135"/>
      <c r="AU256" s="135"/>
      <c r="AV256" s="55"/>
      <c r="AW256" s="55"/>
      <c r="AX256" s="55"/>
      <c r="AY256" s="55"/>
      <c r="AZ256" s="55"/>
      <c r="BA256" s="55"/>
      <c r="BB256" s="55"/>
      <c r="BC256" s="55"/>
      <c r="BD256" s="55"/>
      <c r="BE256" s="55"/>
      <c r="BF256" s="55"/>
      <c r="BG256" s="55"/>
      <c r="BH256" s="55"/>
      <c r="BI256" s="55"/>
      <c r="BJ256" s="121"/>
    </row>
    <row r="257" spans="2:76" s="28" customFormat="1" ht="17.100000000000001" customHeight="1">
      <c r="B257" s="117"/>
      <c r="C257" s="985" t="str">
        <f>C227</f>
        <v>Kälte</v>
      </c>
      <c r="D257" s="170"/>
      <c r="E257" s="170"/>
      <c r="F257" s="170"/>
      <c r="G257" s="170"/>
      <c r="H257" s="170"/>
      <c r="I257" s="170"/>
      <c r="J257" s="170"/>
      <c r="K257" s="170"/>
      <c r="L257" s="170"/>
      <c r="M257" s="170"/>
      <c r="N257" s="170"/>
      <c r="O257" s="98"/>
      <c r="P257" s="122"/>
      <c r="Q257" s="98"/>
      <c r="R257" s="98"/>
      <c r="S257" s="1445"/>
      <c r="T257" s="1463"/>
      <c r="U257" s="1463"/>
      <c r="V257" s="867"/>
      <c r="W257" s="136"/>
      <c r="X257" s="136"/>
      <c r="Y257" s="136"/>
      <c r="Z257" s="136"/>
      <c r="AA257" s="136"/>
      <c r="AB257" s="136"/>
      <c r="AC257" s="136"/>
      <c r="AD257" s="136"/>
      <c r="AE257" s="136"/>
      <c r="AF257" s="867"/>
      <c r="AG257" s="867"/>
      <c r="AH257" s="867"/>
      <c r="AI257" s="867"/>
      <c r="AJ257" s="867"/>
      <c r="AK257" s="867"/>
      <c r="AL257" s="867"/>
      <c r="AM257" s="867"/>
      <c r="AN257" s="867"/>
      <c r="AO257" s="867"/>
      <c r="AP257" s="98"/>
      <c r="AQ257" s="1445"/>
      <c r="AR257" s="1463"/>
      <c r="AS257" s="1463"/>
      <c r="AT257" s="867"/>
      <c r="AU257" s="163"/>
      <c r="AV257" s="136"/>
      <c r="AW257" s="136"/>
      <c r="AX257" s="136"/>
      <c r="AY257" s="136"/>
      <c r="AZ257" s="136"/>
      <c r="BA257" s="136"/>
      <c r="BB257" s="136"/>
      <c r="BC257" s="136"/>
      <c r="BD257" s="640"/>
      <c r="BE257" s="640"/>
      <c r="BF257" s="640"/>
      <c r="BG257" s="640"/>
      <c r="BH257" s="640"/>
      <c r="BI257" s="640"/>
      <c r="BJ257" s="121"/>
    </row>
    <row r="258" spans="2:76" s="28" customFormat="1" ht="17.100000000000001" customHeight="1">
      <c r="B258" s="117"/>
      <c r="C258" s="507"/>
      <c r="D258" s="220" t="str">
        <f>D228</f>
        <v>Kühlung mit der Kältemaschine</v>
      </c>
      <c r="E258" s="170"/>
      <c r="F258" s="170"/>
      <c r="G258" s="170"/>
      <c r="H258" s="170"/>
      <c r="I258" s="170"/>
      <c r="J258" s="170"/>
      <c r="K258" s="170"/>
      <c r="L258" s="170"/>
      <c r="M258" s="170"/>
      <c r="N258" s="170"/>
      <c r="O258" s="98"/>
      <c r="P258" s="122" t="s">
        <v>22</v>
      </c>
      <c r="Q258" s="98"/>
      <c r="R258" s="1676">
        <f>AH375</f>
        <v>0</v>
      </c>
      <c r="S258" s="1676"/>
      <c r="T258" s="1676"/>
      <c r="U258" s="1676"/>
      <c r="V258" s="867"/>
      <c r="W258" s="136"/>
      <c r="Y258" s="136"/>
      <c r="Z258" s="136"/>
      <c r="AA258" s="136"/>
      <c r="AB258" s="136"/>
      <c r="AC258" s="136"/>
      <c r="AD258" s="136"/>
      <c r="AE258" s="136"/>
      <c r="AF258" s="867"/>
      <c r="AG258" s="867"/>
      <c r="AH258" s="867"/>
      <c r="AI258" s="867"/>
      <c r="AJ258" s="867"/>
      <c r="AK258" s="867"/>
      <c r="AL258" s="867"/>
      <c r="AM258" s="867"/>
      <c r="AN258" s="867"/>
      <c r="AO258" s="867"/>
      <c r="AP258" s="1676">
        <f>BF375</f>
        <v>0</v>
      </c>
      <c r="AQ258" s="1676"/>
      <c r="AR258" s="1676"/>
      <c r="AS258" s="1676"/>
      <c r="AT258" s="867"/>
      <c r="AU258" s="163"/>
      <c r="AV258" s="136"/>
      <c r="AW258" s="136"/>
      <c r="AX258" s="136"/>
      <c r="AY258" s="136"/>
      <c r="AZ258" s="136"/>
      <c r="BA258" s="136"/>
      <c r="BB258" s="136"/>
      <c r="BC258" s="136"/>
      <c r="BD258" s="640"/>
      <c r="BE258" s="640"/>
      <c r="BF258" s="640"/>
      <c r="BG258" s="640"/>
      <c r="BH258" s="640"/>
      <c r="BI258" s="640"/>
      <c r="BJ258" s="121"/>
    </row>
    <row r="259" spans="2:76" s="28" customFormat="1" ht="17.100000000000001" customHeight="1">
      <c r="B259" s="117"/>
      <c r="C259" s="507"/>
      <c r="D259" s="220" t="str">
        <f t="shared" ref="D259:D260" si="3">D229</f>
        <v>Kühlung mit Free-Cooling</v>
      </c>
      <c r="E259" s="170"/>
      <c r="F259" s="170"/>
      <c r="G259" s="170"/>
      <c r="H259" s="170"/>
      <c r="I259" s="170"/>
      <c r="J259" s="170"/>
      <c r="K259" s="170"/>
      <c r="L259" s="170"/>
      <c r="M259" s="170"/>
      <c r="N259" s="170"/>
      <c r="O259" s="98"/>
      <c r="P259" s="792" t="s">
        <v>22</v>
      </c>
      <c r="Q259" s="793"/>
      <c r="R259" s="1675">
        <f>AH374</f>
        <v>0</v>
      </c>
      <c r="S259" s="1675"/>
      <c r="T259" s="1675"/>
      <c r="U259" s="1675"/>
      <c r="V259" s="867"/>
      <c r="W259" s="136"/>
      <c r="Y259" s="136"/>
      <c r="Z259" s="136"/>
      <c r="AA259" s="136"/>
      <c r="AB259" s="136"/>
      <c r="AC259" s="136"/>
      <c r="AD259" s="136"/>
      <c r="AE259" s="136"/>
      <c r="AF259" s="867"/>
      <c r="AG259" s="867"/>
      <c r="AH259" s="867"/>
      <c r="AI259" s="867"/>
      <c r="AJ259" s="867"/>
      <c r="AK259" s="867"/>
      <c r="AL259" s="867"/>
      <c r="AM259" s="867"/>
      <c r="AN259" s="867"/>
      <c r="AO259" s="867"/>
      <c r="AP259" s="1675">
        <f>BF374</f>
        <v>0</v>
      </c>
      <c r="AQ259" s="1675"/>
      <c r="AR259" s="1675"/>
      <c r="AS259" s="1675"/>
      <c r="AT259" s="867"/>
      <c r="AU259" s="163"/>
      <c r="AV259" s="136"/>
      <c r="AW259" s="136"/>
      <c r="AX259" s="136"/>
      <c r="AY259" s="136"/>
      <c r="AZ259" s="136"/>
      <c r="BA259" s="136"/>
      <c r="BB259" s="136"/>
      <c r="BC259" s="136"/>
      <c r="BD259" s="640"/>
      <c r="BE259" s="640"/>
      <c r="BF259" s="640"/>
      <c r="BG259" s="640"/>
      <c r="BH259" s="640"/>
      <c r="BI259" s="640"/>
      <c r="BJ259" s="121"/>
    </row>
    <row r="260" spans="2:76" s="799" customFormat="1" ht="17.100000000000001" customHeight="1">
      <c r="B260" s="797"/>
      <c r="C260" s="986"/>
      <c r="D260" s="987" t="str">
        <f t="shared" si="3"/>
        <v>Genutzte Kälte</v>
      </c>
      <c r="E260" s="727"/>
      <c r="F260" s="727"/>
      <c r="G260" s="727"/>
      <c r="H260" s="727"/>
      <c r="I260" s="727"/>
      <c r="J260" s="727"/>
      <c r="K260" s="727"/>
      <c r="L260" s="727"/>
      <c r="M260" s="727"/>
      <c r="N260" s="727"/>
      <c r="O260" s="144"/>
      <c r="P260" s="190" t="s">
        <v>22</v>
      </c>
      <c r="Q260" s="144"/>
      <c r="R260" s="1674">
        <f>R258+R259</f>
        <v>0</v>
      </c>
      <c r="S260" s="1674"/>
      <c r="T260" s="1674"/>
      <c r="U260" s="1674"/>
      <c r="V260" s="868"/>
      <c r="W260" s="798"/>
      <c r="Y260" s="798"/>
      <c r="Z260" s="798"/>
      <c r="AA260" s="798"/>
      <c r="AB260" s="798"/>
      <c r="AC260" s="798"/>
      <c r="AD260" s="798"/>
      <c r="AE260" s="798"/>
      <c r="AF260" s="868"/>
      <c r="AG260" s="868"/>
      <c r="AH260" s="868"/>
      <c r="AI260" s="868"/>
      <c r="AJ260" s="868"/>
      <c r="AK260" s="868"/>
      <c r="AL260" s="868"/>
      <c r="AM260" s="868"/>
      <c r="AN260" s="868"/>
      <c r="AO260" s="868"/>
      <c r="AP260" s="1674">
        <f>AP258+AP259</f>
        <v>0</v>
      </c>
      <c r="AQ260" s="1674"/>
      <c r="AR260" s="1674"/>
      <c r="AS260" s="1674"/>
      <c r="AT260" s="868"/>
      <c r="AU260" s="800"/>
      <c r="AV260" s="798"/>
      <c r="AW260" s="798"/>
      <c r="AX260" s="798"/>
      <c r="AY260" s="798"/>
      <c r="AZ260" s="798"/>
      <c r="BA260" s="798"/>
      <c r="BB260" s="798"/>
      <c r="BC260" s="798"/>
      <c r="BD260" s="801"/>
      <c r="BE260" s="801"/>
      <c r="BF260" s="801"/>
      <c r="BG260" s="801"/>
      <c r="BH260" s="801"/>
      <c r="BI260" s="801"/>
      <c r="BJ260" s="802"/>
      <c r="BL260" s="28"/>
    </row>
    <row r="261" spans="2:76" s="28" customFormat="1" ht="6" customHeight="1">
      <c r="B261" s="117"/>
      <c r="C261" s="507"/>
      <c r="D261" s="170"/>
      <c r="E261" s="170"/>
      <c r="F261" s="170"/>
      <c r="G261" s="170"/>
      <c r="H261" s="170"/>
      <c r="I261" s="170"/>
      <c r="J261" s="170"/>
      <c r="K261" s="170"/>
      <c r="L261" s="170"/>
      <c r="M261" s="170"/>
      <c r="N261" s="170"/>
      <c r="O261" s="98"/>
      <c r="P261" s="122"/>
      <c r="Q261" s="98"/>
      <c r="R261" s="170"/>
      <c r="S261" s="951"/>
      <c r="T261" s="951"/>
      <c r="U261" s="951"/>
      <c r="V261" s="867"/>
      <c r="W261" s="867"/>
      <c r="X261" s="867"/>
      <c r="Y261" s="867"/>
      <c r="Z261" s="867"/>
      <c r="AA261" s="867"/>
      <c r="AB261" s="867"/>
      <c r="AC261" s="867"/>
      <c r="AD261" s="867"/>
      <c r="AE261" s="867"/>
      <c r="AF261" s="867"/>
      <c r="AG261" s="867"/>
      <c r="AH261" s="867"/>
      <c r="AI261" s="867"/>
      <c r="AJ261" s="867"/>
      <c r="AK261" s="867"/>
      <c r="AL261" s="867"/>
      <c r="AM261" s="867"/>
      <c r="AN261" s="867"/>
      <c r="AO261" s="867"/>
      <c r="AP261" s="170"/>
      <c r="AQ261" s="951"/>
      <c r="AR261" s="951"/>
      <c r="AS261" s="951"/>
      <c r="AT261" s="867"/>
      <c r="AU261" s="867"/>
      <c r="AV261" s="640"/>
      <c r="AW261" s="640"/>
      <c r="AX261" s="640"/>
      <c r="AY261" s="640"/>
      <c r="AZ261" s="640"/>
      <c r="BA261" s="640"/>
      <c r="BB261" s="640"/>
      <c r="BC261" s="640"/>
      <c r="BD261" s="640"/>
      <c r="BE261" s="640"/>
      <c r="BF261" s="640"/>
      <c r="BG261" s="640"/>
      <c r="BH261" s="640"/>
      <c r="BI261" s="640"/>
      <c r="BJ261" s="121"/>
      <c r="BP261" s="31"/>
      <c r="BQ261" s="31"/>
      <c r="BR261" s="31"/>
      <c r="BS261" s="31"/>
      <c r="BT261" s="31"/>
      <c r="BU261" s="31"/>
      <c r="BV261" s="31"/>
      <c r="BW261" s="31"/>
      <c r="BX261" s="31"/>
    </row>
    <row r="262" spans="2:76" s="28" customFormat="1" ht="17.100000000000001" customHeight="1">
      <c r="B262" s="117"/>
      <c r="C262" s="507"/>
      <c r="D262" s="220" t="str">
        <f>D232</f>
        <v>Elektrizitätsverbrauch Kälte</v>
      </c>
      <c r="E262" s="170"/>
      <c r="F262" s="170"/>
      <c r="G262" s="170"/>
      <c r="H262" s="170"/>
      <c r="I262" s="170"/>
      <c r="J262" s="170"/>
      <c r="K262" s="170"/>
      <c r="L262" s="170"/>
      <c r="M262" s="170"/>
      <c r="N262" s="170"/>
      <c r="O262" s="98"/>
      <c r="P262" s="122" t="s">
        <v>22</v>
      </c>
      <c r="Q262" s="98"/>
      <c r="R262" s="1676">
        <f>R255-R268</f>
        <v>0</v>
      </c>
      <c r="S262" s="1676"/>
      <c r="T262" s="1676"/>
      <c r="U262" s="1676"/>
      <c r="V262" s="867"/>
      <c r="W262" s="136"/>
      <c r="X262" s="136"/>
      <c r="Y262" s="136"/>
      <c r="Z262" s="136"/>
      <c r="AA262" s="136"/>
      <c r="AB262" s="136"/>
      <c r="AC262" s="136"/>
      <c r="AD262" s="136"/>
      <c r="AE262" s="136"/>
      <c r="AF262" s="867"/>
      <c r="AG262" s="867"/>
      <c r="AH262" s="867"/>
      <c r="AI262" s="867"/>
      <c r="AJ262" s="867"/>
      <c r="AK262" s="867"/>
      <c r="AL262" s="867"/>
      <c r="AM262" s="867"/>
      <c r="AN262" s="867"/>
      <c r="AO262" s="867"/>
      <c r="AP262" s="1676">
        <f>AP255-AP268</f>
        <v>0</v>
      </c>
      <c r="AQ262" s="1676"/>
      <c r="AR262" s="1676"/>
      <c r="AS262" s="1676"/>
      <c r="AT262" s="867"/>
      <c r="AU262" s="975"/>
      <c r="AV262" s="136"/>
      <c r="AW262" s="136"/>
      <c r="AX262" s="136"/>
      <c r="AY262" s="136"/>
      <c r="AZ262" s="136"/>
      <c r="BA262" s="136"/>
      <c r="BB262" s="136"/>
      <c r="BC262" s="136"/>
      <c r="BD262" s="640"/>
      <c r="BE262" s="640"/>
      <c r="BF262" s="640"/>
      <c r="BG262" s="640"/>
      <c r="BH262" s="52"/>
      <c r="BI262" s="640"/>
      <c r="BJ262" s="121"/>
      <c r="BP262" s="31"/>
      <c r="BQ262" s="31"/>
      <c r="BR262" s="31"/>
      <c r="BS262" s="31"/>
      <c r="BT262" s="31"/>
      <c r="BU262" s="31"/>
      <c r="BV262" s="31"/>
      <c r="BW262" s="31"/>
      <c r="BX262" s="31"/>
    </row>
    <row r="263" spans="2:76" s="28" customFormat="1" ht="6" customHeight="1">
      <c r="B263" s="117"/>
      <c r="C263" s="507"/>
      <c r="D263" s="170"/>
      <c r="E263" s="170"/>
      <c r="F263" s="170"/>
      <c r="G263" s="170"/>
      <c r="H263" s="170"/>
      <c r="I263" s="170"/>
      <c r="J263" s="170"/>
      <c r="K263" s="170"/>
      <c r="L263" s="170"/>
      <c r="M263" s="170"/>
      <c r="N263" s="170"/>
      <c r="O263" s="98"/>
      <c r="P263" s="122"/>
      <c r="Q263" s="98"/>
      <c r="R263" s="170"/>
      <c r="S263" s="951"/>
      <c r="T263" s="951"/>
      <c r="U263" s="951"/>
      <c r="V263" s="867"/>
      <c r="W263" s="867"/>
      <c r="X263" s="867"/>
      <c r="Y263" s="867"/>
      <c r="Z263" s="867"/>
      <c r="AA263" s="867"/>
      <c r="AB263" s="867"/>
      <c r="AC263" s="867"/>
      <c r="AD263" s="867"/>
      <c r="AE263" s="867"/>
      <c r="AF263" s="867"/>
      <c r="AG263" s="867"/>
      <c r="AH263" s="867"/>
      <c r="AI263" s="867"/>
      <c r="AJ263" s="867"/>
      <c r="AK263" s="867"/>
      <c r="AL263" s="867"/>
      <c r="AM263" s="867"/>
      <c r="AN263" s="867"/>
      <c r="AO263" s="867"/>
      <c r="AP263" s="170"/>
      <c r="AQ263" s="951"/>
      <c r="AR263" s="951"/>
      <c r="AS263" s="951"/>
      <c r="AT263" s="867"/>
      <c r="AU263" s="951"/>
      <c r="AV263" s="640"/>
      <c r="AW263" s="640"/>
      <c r="AX263" s="640"/>
      <c r="AY263" s="640"/>
      <c r="AZ263" s="640"/>
      <c r="BA263" s="640"/>
      <c r="BB263" s="640"/>
      <c r="BC263" s="640"/>
      <c r="BD263" s="640"/>
      <c r="BE263" s="640"/>
      <c r="BF263" s="640"/>
      <c r="BG263" s="640"/>
      <c r="BH263" s="640"/>
      <c r="BI263" s="640"/>
      <c r="BJ263" s="121"/>
      <c r="BP263" s="31"/>
      <c r="BQ263" s="31"/>
      <c r="BR263" s="31"/>
      <c r="BS263" s="31"/>
      <c r="BT263" s="31"/>
      <c r="BU263" s="31"/>
      <c r="BV263" s="31"/>
      <c r="BW263" s="31"/>
      <c r="BX263" s="31"/>
    </row>
    <row r="264" spans="2:76" s="28" customFormat="1" ht="17.100000000000001" customHeight="1">
      <c r="B264" s="117"/>
      <c r="C264" s="220"/>
      <c r="D264" s="1685" t="str">
        <f>D234</f>
        <v>Energieeffizienz-Zahl (Kälte)</v>
      </c>
      <c r="E264" s="1685">
        <f t="shared" ref="E264:N264" si="4">E234</f>
        <v>0</v>
      </c>
      <c r="F264" s="1685">
        <f t="shared" si="4"/>
        <v>0</v>
      </c>
      <c r="G264" s="1685">
        <f t="shared" si="4"/>
        <v>0</v>
      </c>
      <c r="H264" s="1685">
        <f t="shared" si="4"/>
        <v>0</v>
      </c>
      <c r="I264" s="1685">
        <f t="shared" si="4"/>
        <v>0</v>
      </c>
      <c r="J264" s="1685">
        <f t="shared" si="4"/>
        <v>0</v>
      </c>
      <c r="K264" s="1685">
        <f t="shared" si="4"/>
        <v>0</v>
      </c>
      <c r="L264" s="1685">
        <f t="shared" si="4"/>
        <v>0</v>
      </c>
      <c r="M264" s="1685">
        <f t="shared" si="4"/>
        <v>0</v>
      </c>
      <c r="N264" s="1685">
        <f t="shared" si="4"/>
        <v>0</v>
      </c>
      <c r="O264" s="98"/>
      <c r="P264" s="122" t="s">
        <v>282</v>
      </c>
      <c r="Q264" s="98"/>
      <c r="R264" s="170"/>
      <c r="S264" s="1591">
        <f>IF(R262=0,0,R260/R262)</f>
        <v>0</v>
      </c>
      <c r="T264" s="1591"/>
      <c r="U264" s="1591"/>
      <c r="V264" s="867"/>
      <c r="W264" s="976" t="str">
        <f>W234</f>
        <v>(Total Kälte / Elektrizitätsverbrauch Kälte)</v>
      </c>
      <c r="X264" s="869"/>
      <c r="Y264" s="869"/>
      <c r="Z264" s="869"/>
      <c r="AA264" s="869"/>
      <c r="AB264" s="869"/>
      <c r="AC264" s="869"/>
      <c r="AD264" s="869"/>
      <c r="AE264" s="869"/>
      <c r="AF264" s="867"/>
      <c r="AG264" s="867"/>
      <c r="AH264" s="867"/>
      <c r="AI264" s="867"/>
      <c r="AJ264" s="867"/>
      <c r="AK264" s="867"/>
      <c r="AL264" s="867"/>
      <c r="AM264" s="867"/>
      <c r="AN264" s="867"/>
      <c r="AO264" s="867"/>
      <c r="AP264" s="170"/>
      <c r="AQ264" s="1591">
        <f>IF(AP262=0,0,AP260/AP262)</f>
        <v>0</v>
      </c>
      <c r="AR264" s="1591"/>
      <c r="AS264" s="1591"/>
      <c r="AT264" s="867"/>
      <c r="AU264" s="976" t="str">
        <f>W264</f>
        <v>(Total Kälte / Elektrizitätsverbrauch Kälte)</v>
      </c>
      <c r="AV264" s="136"/>
      <c r="AW264" s="136"/>
      <c r="AX264" s="136"/>
      <c r="AY264" s="136"/>
      <c r="AZ264" s="136"/>
      <c r="BA264" s="136"/>
      <c r="BB264" s="136"/>
      <c r="BC264" s="136"/>
      <c r="BD264" s="640"/>
      <c r="BE264" s="640"/>
      <c r="BF264" s="640"/>
      <c r="BG264" s="640"/>
      <c r="BH264" s="640"/>
      <c r="BI264" s="640"/>
      <c r="BJ264" s="121"/>
      <c r="BP264" s="31"/>
      <c r="BQ264" s="31"/>
      <c r="BR264" s="31"/>
      <c r="BS264" s="31"/>
      <c r="BT264" s="31"/>
      <c r="BU264" s="31"/>
      <c r="BV264" s="31"/>
      <c r="BW264" s="31"/>
      <c r="BX264" s="31"/>
    </row>
    <row r="265" spans="2:76" s="28" customFormat="1">
      <c r="B265" s="117"/>
      <c r="C265" s="507"/>
      <c r="D265" s="170"/>
      <c r="E265" s="170"/>
      <c r="F265" s="170"/>
      <c r="G265" s="170"/>
      <c r="H265" s="170"/>
      <c r="I265" s="170"/>
      <c r="J265" s="170"/>
      <c r="K265" s="170"/>
      <c r="L265" s="170"/>
      <c r="M265" s="170"/>
      <c r="N265" s="170"/>
      <c r="O265" s="98"/>
      <c r="P265" s="122"/>
      <c r="Q265" s="98"/>
      <c r="R265" s="170"/>
      <c r="S265" s="951"/>
      <c r="T265" s="951"/>
      <c r="U265" s="951"/>
      <c r="V265" s="867"/>
      <c r="W265" s="867"/>
      <c r="X265" s="867"/>
      <c r="Y265" s="867"/>
      <c r="Z265" s="867"/>
      <c r="AA265" s="867"/>
      <c r="AB265" s="867"/>
      <c r="AC265" s="867"/>
      <c r="AD265" s="867"/>
      <c r="AE265" s="867"/>
      <c r="AF265" s="867"/>
      <c r="AG265" s="867"/>
      <c r="AH265" s="867"/>
      <c r="AI265" s="867"/>
      <c r="AJ265" s="867"/>
      <c r="AK265" s="867"/>
      <c r="AL265" s="867"/>
      <c r="AM265" s="867"/>
      <c r="AN265" s="867"/>
      <c r="AO265" s="867"/>
      <c r="AP265" s="170"/>
      <c r="AQ265" s="951"/>
      <c r="AR265" s="951"/>
      <c r="AS265" s="951"/>
      <c r="AT265" s="867"/>
      <c r="AU265" s="951"/>
      <c r="AV265" s="640"/>
      <c r="AW265" s="640"/>
      <c r="AX265" s="640"/>
      <c r="AY265" s="640"/>
      <c r="AZ265" s="640"/>
      <c r="BA265" s="640"/>
      <c r="BB265" s="640"/>
      <c r="BC265" s="640"/>
      <c r="BD265" s="640"/>
      <c r="BE265" s="640"/>
      <c r="BF265" s="640"/>
      <c r="BG265" s="640"/>
      <c r="BH265" s="640"/>
      <c r="BI265" s="640"/>
      <c r="BJ265" s="121"/>
      <c r="BP265" s="31"/>
      <c r="BQ265" s="31"/>
      <c r="BR265" s="31"/>
      <c r="BS265" s="31"/>
      <c r="BT265" s="31"/>
      <c r="BU265" s="31"/>
      <c r="BV265" s="31"/>
      <c r="BW265" s="31"/>
      <c r="BX265" s="31"/>
    </row>
    <row r="266" spans="2:76" s="28" customFormat="1">
      <c r="B266" s="117"/>
      <c r="C266" s="985" t="str">
        <f>C236</f>
        <v>Wärme</v>
      </c>
      <c r="D266" s="170"/>
      <c r="E266" s="170"/>
      <c r="F266" s="170"/>
      <c r="G266" s="170"/>
      <c r="H266" s="170"/>
      <c r="I266" s="170"/>
      <c r="J266" s="170"/>
      <c r="K266" s="170"/>
      <c r="L266" s="170"/>
      <c r="M266" s="170"/>
      <c r="N266" s="170"/>
      <c r="O266" s="98"/>
      <c r="P266" s="122"/>
      <c r="Q266" s="98"/>
      <c r="R266" s="170"/>
      <c r="S266" s="1676"/>
      <c r="T266" s="1539"/>
      <c r="U266" s="1539"/>
      <c r="V266" s="867"/>
      <c r="W266" s="136"/>
      <c r="X266" s="136"/>
      <c r="Y266" s="136"/>
      <c r="Z266" s="136"/>
      <c r="AA266" s="136"/>
      <c r="AB266" s="136"/>
      <c r="AC266" s="136"/>
      <c r="AD266" s="136"/>
      <c r="AE266" s="136"/>
      <c r="AF266" s="867"/>
      <c r="AG266" s="867"/>
      <c r="AH266" s="867"/>
      <c r="AI266" s="867"/>
      <c r="AJ266" s="867"/>
      <c r="AK266" s="867"/>
      <c r="AL266" s="867"/>
      <c r="AM266" s="867"/>
      <c r="AN266" s="867"/>
      <c r="AO266" s="867"/>
      <c r="AP266" s="170"/>
      <c r="AQ266" s="1676"/>
      <c r="AR266" s="1539"/>
      <c r="AS266" s="1539"/>
      <c r="AT266" s="867"/>
      <c r="AU266" s="975"/>
      <c r="AV266" s="136"/>
      <c r="AW266" s="136"/>
      <c r="AX266" s="136"/>
      <c r="AY266" s="136"/>
      <c r="AZ266" s="136"/>
      <c r="BA266" s="136"/>
      <c r="BB266" s="136"/>
      <c r="BC266" s="136"/>
      <c r="BD266" s="640"/>
      <c r="BE266" s="640"/>
      <c r="BF266" s="640"/>
      <c r="BG266" s="640"/>
      <c r="BH266" s="640"/>
      <c r="BI266" s="640"/>
      <c r="BJ266" s="121"/>
    </row>
    <row r="267" spans="2:76" s="28" customFormat="1">
      <c r="B267" s="117"/>
      <c r="C267" s="507"/>
      <c r="D267" s="170" t="str">
        <f>D237</f>
        <v>Genutzte Wärme</v>
      </c>
      <c r="E267" s="170"/>
      <c r="F267" s="170"/>
      <c r="G267" s="170"/>
      <c r="H267" s="170"/>
      <c r="I267" s="170"/>
      <c r="J267" s="170"/>
      <c r="K267" s="170"/>
      <c r="L267" s="170"/>
      <c r="M267" s="170"/>
      <c r="N267" s="170"/>
      <c r="O267" s="98"/>
      <c r="P267" s="122" t="s">
        <v>22</v>
      </c>
      <c r="Q267" s="98"/>
      <c r="R267" s="1676">
        <f>AH874</f>
        <v>0</v>
      </c>
      <c r="S267" s="1676"/>
      <c r="T267" s="1676"/>
      <c r="U267" s="1676"/>
      <c r="V267" s="867"/>
      <c r="W267" s="136"/>
      <c r="X267" s="761"/>
      <c r="Y267" s="136"/>
      <c r="Z267" s="136"/>
      <c r="AA267" s="136"/>
      <c r="AB267" s="136"/>
      <c r="AC267" s="136"/>
      <c r="AD267" s="136"/>
      <c r="AE267" s="136"/>
      <c r="AF267" s="867"/>
      <c r="AG267" s="867"/>
      <c r="AH267" s="867"/>
      <c r="AI267" s="867"/>
      <c r="AJ267" s="867"/>
      <c r="AK267" s="867"/>
      <c r="AL267" s="867"/>
      <c r="AM267" s="867"/>
      <c r="AN267" s="867"/>
      <c r="AO267" s="867"/>
      <c r="AP267" s="1676">
        <f>BF874</f>
        <v>0</v>
      </c>
      <c r="AQ267" s="1676"/>
      <c r="AR267" s="1676"/>
      <c r="AS267" s="1676"/>
      <c r="AT267" s="867"/>
      <c r="AU267" s="975"/>
      <c r="AV267" s="136"/>
      <c r="AW267" s="136"/>
      <c r="AX267" s="136"/>
      <c r="AY267" s="136"/>
      <c r="AZ267" s="136"/>
      <c r="BA267" s="136"/>
      <c r="BB267" s="136"/>
      <c r="BC267" s="136"/>
      <c r="BD267" s="640"/>
      <c r="BE267" s="640"/>
      <c r="BF267" s="640"/>
      <c r="BG267" s="640"/>
      <c r="BH267" s="640"/>
      <c r="BI267" s="640"/>
      <c r="BJ267" s="121"/>
    </row>
    <row r="268" spans="2:76" s="28" customFormat="1">
      <c r="B268" s="117"/>
      <c r="C268" s="507"/>
      <c r="D268" s="170" t="str">
        <f>D238</f>
        <v>Elektrizitätsverbrauch Kälte</v>
      </c>
      <c r="E268" s="170"/>
      <c r="F268" s="170"/>
      <c r="G268" s="170"/>
      <c r="H268" s="170"/>
      <c r="I268" s="170"/>
      <c r="J268" s="170"/>
      <c r="K268" s="170"/>
      <c r="L268" s="170"/>
      <c r="M268" s="170"/>
      <c r="N268" s="170"/>
      <c r="O268" s="98"/>
      <c r="P268" s="122" t="s">
        <v>22</v>
      </c>
      <c r="Q268" s="98"/>
      <c r="R268" s="1676">
        <f>AH886+S404*AE407</f>
        <v>0</v>
      </c>
      <c r="S268" s="1676"/>
      <c r="T268" s="1676"/>
      <c r="U268" s="1676"/>
      <c r="V268" s="867"/>
      <c r="W268" s="977" t="str">
        <f>W238</f>
        <v/>
      </c>
      <c r="X268" s="136"/>
      <c r="Y268" s="136"/>
      <c r="Z268" s="136"/>
      <c r="AA268" s="136"/>
      <c r="AB268" s="136"/>
      <c r="AC268" s="136"/>
      <c r="AD268" s="136"/>
      <c r="AE268" s="136"/>
      <c r="AF268" s="867"/>
      <c r="AG268" s="867"/>
      <c r="AH268" s="867"/>
      <c r="AI268" s="867"/>
      <c r="AJ268" s="867"/>
      <c r="AK268" s="867"/>
      <c r="AL268" s="867"/>
      <c r="AM268" s="867"/>
      <c r="AN268" s="867"/>
      <c r="AO268" s="867"/>
      <c r="AP268" s="1676">
        <f>BF389+AQ404*BC407</f>
        <v>0</v>
      </c>
      <c r="AQ268" s="1676"/>
      <c r="AR268" s="1676"/>
      <c r="AS268" s="1676"/>
      <c r="AT268" s="867"/>
      <c r="AU268" s="977" t="str">
        <f>AU238</f>
        <v/>
      </c>
      <c r="AV268" s="136"/>
      <c r="AW268" s="136"/>
      <c r="AX268" s="136"/>
      <c r="AY268" s="136"/>
      <c r="AZ268" s="136"/>
      <c r="BA268" s="136"/>
      <c r="BB268" s="136"/>
      <c r="BC268" s="136"/>
      <c r="BD268" s="640"/>
      <c r="BE268" s="640"/>
      <c r="BF268" s="640"/>
      <c r="BG268" s="640"/>
      <c r="BH268" s="52"/>
      <c r="BI268" s="640"/>
      <c r="BJ268" s="121"/>
      <c r="BP268" s="31"/>
      <c r="BQ268" s="31"/>
      <c r="BR268" s="31"/>
      <c r="BS268" s="31"/>
      <c r="BT268" s="31"/>
      <c r="BU268" s="31"/>
      <c r="BV268" s="31"/>
      <c r="BW268" s="31"/>
      <c r="BX268" s="31"/>
    </row>
    <row r="269" spans="2:76" s="28" customFormat="1" ht="6" customHeight="1">
      <c r="B269" s="117"/>
      <c r="C269" s="507"/>
      <c r="D269" s="170"/>
      <c r="E269" s="170"/>
      <c r="F269" s="170"/>
      <c r="G269" s="170"/>
      <c r="H269" s="170"/>
      <c r="I269" s="170"/>
      <c r="J269" s="170"/>
      <c r="K269" s="170"/>
      <c r="L269" s="170"/>
      <c r="M269" s="170"/>
      <c r="N269" s="170"/>
      <c r="O269" s="98"/>
      <c r="P269" s="122"/>
      <c r="Q269" s="98"/>
      <c r="R269" s="170"/>
      <c r="S269" s="951"/>
      <c r="T269" s="951"/>
      <c r="U269" s="951"/>
      <c r="V269" s="867"/>
      <c r="W269" s="867"/>
      <c r="X269" s="867"/>
      <c r="Y269" s="867"/>
      <c r="Z269" s="867"/>
      <c r="AA269" s="867"/>
      <c r="AB269" s="867"/>
      <c r="AC269" s="867"/>
      <c r="AD269" s="867"/>
      <c r="AE269" s="867"/>
      <c r="AF269" s="867"/>
      <c r="AG269" s="867"/>
      <c r="AH269" s="867"/>
      <c r="AI269" s="867"/>
      <c r="AJ269" s="867"/>
      <c r="AK269" s="867"/>
      <c r="AL269" s="867"/>
      <c r="AM269" s="867"/>
      <c r="AN269" s="867"/>
      <c r="AO269" s="867"/>
      <c r="AP269" s="98"/>
      <c r="AQ269" s="867"/>
      <c r="AR269" s="867"/>
      <c r="AS269" s="867"/>
      <c r="AT269" s="867"/>
      <c r="AU269" s="951"/>
      <c r="AV269" s="640"/>
      <c r="AW269" s="640"/>
      <c r="AX269" s="640"/>
      <c r="AY269" s="640"/>
      <c r="AZ269" s="640"/>
      <c r="BA269" s="640"/>
      <c r="BB269" s="640"/>
      <c r="BC269" s="640"/>
      <c r="BD269" s="640"/>
      <c r="BE269" s="640"/>
      <c r="BF269" s="640"/>
      <c r="BG269" s="640"/>
      <c r="BH269" s="640"/>
      <c r="BI269" s="640"/>
      <c r="BJ269" s="121"/>
      <c r="BP269" s="31"/>
      <c r="BQ269" s="31"/>
      <c r="BR269" s="31"/>
      <c r="BS269" s="31"/>
      <c r="BT269" s="31"/>
      <c r="BU269" s="31"/>
      <c r="BV269" s="31"/>
      <c r="BW269" s="31"/>
      <c r="BX269" s="31"/>
    </row>
    <row r="270" spans="2:76" s="28" customFormat="1">
      <c r="B270" s="117"/>
      <c r="C270" s="985"/>
      <c r="D270" s="1685" t="str">
        <f t="shared" ref="D270:N270" si="5">D240</f>
        <v>Energieeffizienz-Zahl (Wärme)</v>
      </c>
      <c r="E270" s="1685">
        <f t="shared" si="5"/>
        <v>0</v>
      </c>
      <c r="F270" s="1685">
        <f t="shared" si="5"/>
        <v>0</v>
      </c>
      <c r="G270" s="1685">
        <f t="shared" si="5"/>
        <v>0</v>
      </c>
      <c r="H270" s="1685">
        <f t="shared" si="5"/>
        <v>0</v>
      </c>
      <c r="I270" s="1685">
        <f t="shared" si="5"/>
        <v>0</v>
      </c>
      <c r="J270" s="1685">
        <f t="shared" si="5"/>
        <v>0</v>
      </c>
      <c r="K270" s="1685">
        <f t="shared" si="5"/>
        <v>0</v>
      </c>
      <c r="L270" s="1685">
        <f t="shared" si="5"/>
        <v>0</v>
      </c>
      <c r="M270" s="1685">
        <f t="shared" si="5"/>
        <v>0</v>
      </c>
      <c r="N270" s="1685">
        <f t="shared" si="5"/>
        <v>0</v>
      </c>
      <c r="O270" s="98"/>
      <c r="P270" s="122" t="s">
        <v>282</v>
      </c>
      <c r="Q270" s="98"/>
      <c r="R270" s="98"/>
      <c r="S270" s="1462">
        <f>IF(R268=0,0,R267/R268)</f>
        <v>0</v>
      </c>
      <c r="T270" s="1462"/>
      <c r="U270" s="1462"/>
      <c r="V270" s="867"/>
      <c r="W270" s="976" t="str">
        <f>W240</f>
        <v>(genutzte Wärme / Elektrizitätsverbrauch Wärme)</v>
      </c>
      <c r="X270" s="869"/>
      <c r="Y270" s="869"/>
      <c r="Z270" s="869"/>
      <c r="AA270" s="869"/>
      <c r="AB270" s="869"/>
      <c r="AC270" s="869"/>
      <c r="AD270" s="869"/>
      <c r="AE270" s="869"/>
      <c r="AF270" s="867"/>
      <c r="AG270" s="867"/>
      <c r="AH270" s="867"/>
      <c r="AI270" s="867"/>
      <c r="AJ270" s="867"/>
      <c r="AK270" s="867"/>
      <c r="AL270" s="867"/>
      <c r="AM270" s="867"/>
      <c r="AN270" s="867"/>
      <c r="AO270" s="867"/>
      <c r="AP270" s="98"/>
      <c r="AQ270" s="1462">
        <f>IF(AP268=0,0,AP267/AP268)</f>
        <v>0</v>
      </c>
      <c r="AR270" s="1462"/>
      <c r="AS270" s="1462"/>
      <c r="AT270" s="867"/>
      <c r="AU270" s="976" t="str">
        <f>W270</f>
        <v>(genutzte Wärme / Elektrizitätsverbrauch Wärme)</v>
      </c>
      <c r="AV270" s="136"/>
      <c r="AW270" s="136"/>
      <c r="AX270" s="136"/>
      <c r="AY270" s="136"/>
      <c r="AZ270" s="136"/>
      <c r="BA270" s="136"/>
      <c r="BB270" s="136"/>
      <c r="BC270" s="136"/>
      <c r="BD270" s="640"/>
      <c r="BE270" s="640"/>
      <c r="BF270" s="640"/>
      <c r="BG270" s="640"/>
      <c r="BH270" s="640"/>
      <c r="BI270" s="640"/>
      <c r="BJ270" s="121"/>
      <c r="BP270" s="31"/>
      <c r="BQ270" s="31"/>
      <c r="BR270" s="31"/>
      <c r="BS270" s="31"/>
      <c r="BT270" s="31"/>
      <c r="BU270" s="31"/>
      <c r="BV270" s="31"/>
      <c r="BW270" s="31"/>
      <c r="BX270" s="31"/>
    </row>
    <row r="271" spans="2:76" s="28" customFormat="1">
      <c r="B271" s="117"/>
      <c r="C271" s="507"/>
      <c r="D271" s="170"/>
      <c r="E271" s="170"/>
      <c r="F271" s="170"/>
      <c r="G271" s="170"/>
      <c r="H271" s="170"/>
      <c r="I271" s="170"/>
      <c r="J271" s="170"/>
      <c r="K271" s="170"/>
      <c r="L271" s="170"/>
      <c r="M271" s="170"/>
      <c r="N271" s="170"/>
      <c r="O271" s="98"/>
      <c r="P271" s="122"/>
      <c r="Q271" s="98"/>
      <c r="R271" s="98"/>
      <c r="S271" s="867"/>
      <c r="T271" s="867"/>
      <c r="U271" s="867"/>
      <c r="V271" s="867"/>
      <c r="W271" s="867"/>
      <c r="X271" s="867"/>
      <c r="Y271" s="867"/>
      <c r="Z271" s="867"/>
      <c r="AA271" s="867"/>
      <c r="AB271" s="867"/>
      <c r="AC271" s="867"/>
      <c r="AD271" s="867"/>
      <c r="AE271" s="867"/>
      <c r="AF271" s="867"/>
      <c r="AG271" s="867"/>
      <c r="AH271" s="867"/>
      <c r="AI271" s="867"/>
      <c r="AJ271" s="867"/>
      <c r="AK271" s="867"/>
      <c r="AL271" s="867"/>
      <c r="AM271" s="867"/>
      <c r="AN271" s="867"/>
      <c r="AO271" s="867"/>
      <c r="AP271" s="98"/>
      <c r="AQ271" s="867"/>
      <c r="AR271" s="867"/>
      <c r="AS271" s="867"/>
      <c r="AT271" s="867"/>
      <c r="AU271" s="951"/>
      <c r="AV271" s="640"/>
      <c r="AW271" s="640"/>
      <c r="AX271" s="640"/>
      <c r="AY271" s="640"/>
      <c r="AZ271" s="640"/>
      <c r="BA271" s="640"/>
      <c r="BB271" s="640"/>
      <c r="BC271" s="640"/>
      <c r="BD271" s="640"/>
      <c r="BE271" s="640"/>
      <c r="BF271" s="640"/>
      <c r="BG271" s="640"/>
      <c r="BH271" s="640"/>
      <c r="BI271" s="640"/>
      <c r="BJ271" s="121"/>
      <c r="BP271" s="31"/>
      <c r="BQ271" s="31"/>
      <c r="BR271" s="31"/>
      <c r="BS271" s="31"/>
      <c r="BT271" s="31"/>
      <c r="BU271" s="31"/>
      <c r="BV271" s="31"/>
      <c r="BW271" s="31"/>
      <c r="BX271" s="31"/>
    </row>
    <row r="272" spans="2:76" s="28" customFormat="1">
      <c r="B272" s="117"/>
      <c r="C272" s="985" t="str">
        <f>C242</f>
        <v>Gesamtsystem (Kälte + Wärme)</v>
      </c>
      <c r="D272" s="170"/>
      <c r="E272" s="170"/>
      <c r="F272" s="170"/>
      <c r="G272" s="170"/>
      <c r="H272" s="170"/>
      <c r="I272" s="170"/>
      <c r="J272" s="170"/>
      <c r="K272" s="170"/>
      <c r="L272" s="170"/>
      <c r="M272" s="170"/>
      <c r="N272" s="170"/>
      <c r="O272" s="98"/>
      <c r="P272" s="122"/>
      <c r="Q272" s="98"/>
      <c r="R272" s="98"/>
      <c r="S272" s="1445"/>
      <c r="T272" s="1463"/>
      <c r="U272" s="1463"/>
      <c r="V272" s="867"/>
      <c r="W272" s="136"/>
      <c r="X272" s="136"/>
      <c r="Y272" s="136"/>
      <c r="Z272" s="136"/>
      <c r="AA272" s="136"/>
      <c r="AB272" s="136"/>
      <c r="AC272" s="136"/>
      <c r="AD272" s="136"/>
      <c r="AE272" s="136"/>
      <c r="AF272" s="867"/>
      <c r="AG272" s="867"/>
      <c r="AH272" s="867"/>
      <c r="AI272" s="867"/>
      <c r="AJ272" s="867"/>
      <c r="AK272" s="867"/>
      <c r="AL272" s="867"/>
      <c r="AM272" s="867"/>
      <c r="AN272" s="867"/>
      <c r="AO272" s="867"/>
      <c r="AP272" s="98"/>
      <c r="AQ272" s="1445"/>
      <c r="AR272" s="1463"/>
      <c r="AS272" s="1463"/>
      <c r="AT272" s="867"/>
      <c r="AU272" s="975"/>
      <c r="AV272" s="136"/>
      <c r="AW272" s="136"/>
      <c r="AX272" s="136"/>
      <c r="AY272" s="136"/>
      <c r="AZ272" s="136"/>
      <c r="BA272" s="136"/>
      <c r="BB272" s="136"/>
      <c r="BC272" s="136"/>
      <c r="BD272" s="640"/>
      <c r="BE272" s="640"/>
      <c r="BF272" s="640"/>
      <c r="BG272" s="640"/>
      <c r="BH272" s="640"/>
      <c r="BI272" s="640"/>
      <c r="BJ272" s="121"/>
    </row>
    <row r="273" spans="2:76" s="28" customFormat="1">
      <c r="B273" s="117"/>
      <c r="C273" s="507"/>
      <c r="D273" s="170" t="str">
        <f>D243</f>
        <v>Genutzte Wärme + Kälte</v>
      </c>
      <c r="E273" s="170"/>
      <c r="F273" s="170"/>
      <c r="G273" s="170"/>
      <c r="H273" s="170"/>
      <c r="I273" s="170"/>
      <c r="J273" s="170"/>
      <c r="K273" s="170"/>
      <c r="L273" s="170"/>
      <c r="M273" s="170"/>
      <c r="N273" s="170"/>
      <c r="O273" s="98"/>
      <c r="P273" s="122" t="s">
        <v>22</v>
      </c>
      <c r="Q273" s="98"/>
      <c r="R273" s="1676">
        <f>R260+R267</f>
        <v>0</v>
      </c>
      <c r="S273" s="1676"/>
      <c r="T273" s="1676"/>
      <c r="U273" s="1676"/>
      <c r="V273" s="867"/>
      <c r="W273" s="136"/>
      <c r="X273" s="761"/>
      <c r="Y273" s="136"/>
      <c r="Z273" s="136"/>
      <c r="AA273" s="136"/>
      <c r="AB273" s="136"/>
      <c r="AC273" s="136"/>
      <c r="AD273" s="136"/>
      <c r="AE273" s="136"/>
      <c r="AF273" s="867"/>
      <c r="AG273" s="867"/>
      <c r="AH273" s="867"/>
      <c r="AI273" s="867"/>
      <c r="AJ273" s="867"/>
      <c r="AK273" s="867"/>
      <c r="AL273" s="867"/>
      <c r="AM273" s="867"/>
      <c r="AN273" s="867"/>
      <c r="AO273" s="867"/>
      <c r="AP273" s="1676">
        <f>AP260+AP267</f>
        <v>0</v>
      </c>
      <c r="AQ273" s="1676"/>
      <c r="AR273" s="1676"/>
      <c r="AS273" s="1676"/>
      <c r="AT273" s="867"/>
      <c r="AU273" s="975"/>
      <c r="AV273" s="136"/>
      <c r="AW273" s="136"/>
      <c r="AX273" s="136"/>
      <c r="AY273" s="136"/>
      <c r="AZ273" s="136"/>
      <c r="BA273" s="136"/>
      <c r="BB273" s="136"/>
      <c r="BC273" s="136"/>
      <c r="BD273" s="640"/>
      <c r="BE273" s="640"/>
      <c r="BF273" s="640"/>
      <c r="BG273" s="640"/>
      <c r="BH273" s="640"/>
      <c r="BI273" s="640"/>
      <c r="BJ273" s="121"/>
    </row>
    <row r="274" spans="2:76" s="28" customFormat="1">
      <c r="B274" s="117"/>
      <c r="C274" s="507"/>
      <c r="D274" s="170" t="str">
        <f>D244</f>
        <v>Elektrizitätsverbrauch Wärme und Kälte</v>
      </c>
      <c r="E274" s="170"/>
      <c r="F274" s="170"/>
      <c r="G274" s="170"/>
      <c r="H274" s="170"/>
      <c r="I274" s="170"/>
      <c r="J274" s="170"/>
      <c r="K274" s="170"/>
      <c r="L274" s="170"/>
      <c r="M274" s="170"/>
      <c r="N274" s="170"/>
      <c r="O274" s="98"/>
      <c r="P274" s="122" t="s">
        <v>22</v>
      </c>
      <c r="Q274" s="98"/>
      <c r="R274" s="1676">
        <f>R262+R268</f>
        <v>0</v>
      </c>
      <c r="S274" s="1676"/>
      <c r="T274" s="1676"/>
      <c r="U274" s="1676"/>
      <c r="V274" s="867"/>
      <c r="W274" s="136"/>
      <c r="X274" s="136"/>
      <c r="Y274" s="136"/>
      <c r="Z274" s="136"/>
      <c r="AA274" s="136"/>
      <c r="AB274" s="136"/>
      <c r="AC274" s="136"/>
      <c r="AD274" s="136"/>
      <c r="AE274" s="136"/>
      <c r="AF274" s="867"/>
      <c r="AG274" s="867"/>
      <c r="AH274" s="867"/>
      <c r="AI274" s="867"/>
      <c r="AJ274" s="867"/>
      <c r="AK274" s="867"/>
      <c r="AL274" s="867"/>
      <c r="AM274" s="867"/>
      <c r="AN274" s="867"/>
      <c r="AO274" s="867"/>
      <c r="AP274" s="1445">
        <f>AP262+AP268</f>
        <v>0</v>
      </c>
      <c r="AQ274" s="1445"/>
      <c r="AR274" s="1445"/>
      <c r="AS274" s="1445"/>
      <c r="AT274" s="867"/>
      <c r="AU274" s="975"/>
      <c r="AV274" s="136"/>
      <c r="AW274" s="136"/>
      <c r="AX274" s="136"/>
      <c r="AY274" s="136"/>
      <c r="AZ274" s="136"/>
      <c r="BA274" s="136"/>
      <c r="BB274" s="136"/>
      <c r="BC274" s="136"/>
      <c r="BD274" s="640"/>
      <c r="BE274" s="640"/>
      <c r="BF274" s="640"/>
      <c r="BG274" s="640"/>
      <c r="BH274" s="52"/>
      <c r="BI274" s="640"/>
      <c r="BJ274" s="121"/>
      <c r="BP274" s="31"/>
      <c r="BQ274" s="31"/>
      <c r="BR274" s="31"/>
      <c r="BS274" s="31"/>
      <c r="BT274" s="31"/>
      <c r="BU274" s="31"/>
      <c r="BV274" s="31"/>
      <c r="BW274" s="31"/>
      <c r="BX274" s="31"/>
    </row>
    <row r="275" spans="2:76" s="28" customFormat="1">
      <c r="B275" s="117"/>
      <c r="C275" s="507"/>
      <c r="D275" s="170"/>
      <c r="E275" s="170"/>
      <c r="F275" s="170"/>
      <c r="G275" s="170"/>
      <c r="H275" s="170"/>
      <c r="I275" s="170"/>
      <c r="J275" s="170"/>
      <c r="K275" s="170"/>
      <c r="L275" s="170"/>
      <c r="M275" s="170"/>
      <c r="N275" s="170"/>
      <c r="O275" s="98"/>
      <c r="P275" s="122"/>
      <c r="Q275" s="98"/>
      <c r="R275" s="98"/>
      <c r="S275" s="867"/>
      <c r="T275" s="867"/>
      <c r="U275" s="867"/>
      <c r="V275" s="867"/>
      <c r="W275" s="867"/>
      <c r="X275" s="867"/>
      <c r="Y275" s="867"/>
      <c r="Z275" s="867"/>
      <c r="AA275" s="867"/>
      <c r="AB275" s="867"/>
      <c r="AC275" s="867"/>
      <c r="AD275" s="867"/>
      <c r="AE275" s="867"/>
      <c r="AF275" s="867"/>
      <c r="AG275" s="867"/>
      <c r="AH275" s="867"/>
      <c r="AI275" s="867"/>
      <c r="AJ275" s="867"/>
      <c r="AK275" s="867"/>
      <c r="AL275" s="867"/>
      <c r="AM275" s="867"/>
      <c r="AN275" s="867"/>
      <c r="AO275" s="867"/>
      <c r="AP275" s="98"/>
      <c r="AQ275" s="867"/>
      <c r="AR275" s="867"/>
      <c r="AS275" s="867"/>
      <c r="AT275" s="867"/>
      <c r="AU275" s="951"/>
      <c r="AV275" s="640"/>
      <c r="AW275" s="640"/>
      <c r="AX275" s="640"/>
      <c r="AY275" s="640"/>
      <c r="AZ275" s="640"/>
      <c r="BA275" s="640"/>
      <c r="BB275" s="640"/>
      <c r="BC275" s="640"/>
      <c r="BD275" s="640"/>
      <c r="BE275" s="640"/>
      <c r="BF275" s="640"/>
      <c r="BG275" s="640"/>
      <c r="BH275" s="640"/>
      <c r="BI275" s="640"/>
      <c r="BJ275" s="121"/>
      <c r="BP275" s="31"/>
      <c r="BQ275" s="31"/>
      <c r="BR275" s="31"/>
      <c r="BS275" s="31"/>
      <c r="BT275" s="31"/>
      <c r="BU275" s="31"/>
      <c r="BV275" s="31"/>
      <c r="BW275" s="31"/>
      <c r="BX275" s="31"/>
    </row>
    <row r="276" spans="2:76" s="28" customFormat="1">
      <c r="B276" s="117"/>
      <c r="C276" s="985"/>
      <c r="D276" s="1685" t="str">
        <f t="shared" ref="D276:N276" si="6">D246</f>
        <v>Energieeffizienz-Zahl (Kälte + Wärme)</v>
      </c>
      <c r="E276" s="1685">
        <f t="shared" si="6"/>
        <v>0</v>
      </c>
      <c r="F276" s="1685">
        <f t="shared" si="6"/>
        <v>0</v>
      </c>
      <c r="G276" s="1685">
        <f t="shared" si="6"/>
        <v>0</v>
      </c>
      <c r="H276" s="1685">
        <f t="shared" si="6"/>
        <v>0</v>
      </c>
      <c r="I276" s="1685">
        <f t="shared" si="6"/>
        <v>0</v>
      </c>
      <c r="J276" s="1685">
        <f t="shared" si="6"/>
        <v>0</v>
      </c>
      <c r="K276" s="1685">
        <f t="shared" si="6"/>
        <v>0</v>
      </c>
      <c r="L276" s="1685">
        <f t="shared" si="6"/>
        <v>0</v>
      </c>
      <c r="M276" s="1685">
        <f t="shared" si="6"/>
        <v>0</v>
      </c>
      <c r="N276" s="1685">
        <f t="shared" si="6"/>
        <v>0</v>
      </c>
      <c r="O276" s="98"/>
      <c r="P276" s="122" t="s">
        <v>282</v>
      </c>
      <c r="Q276" s="98"/>
      <c r="R276" s="98"/>
      <c r="S276" s="1462">
        <f>IF(R274=0,0,R273/R274)</f>
        <v>0</v>
      </c>
      <c r="T276" s="1462"/>
      <c r="U276" s="1462"/>
      <c r="V276" s="867"/>
      <c r="W276" s="976" t="str">
        <f>W246</f>
        <v>((genutzte Wärme + Kälte) / Gesamter Elektrizitätsverbrauch)</v>
      </c>
      <c r="X276" s="869"/>
      <c r="Y276" s="869"/>
      <c r="Z276" s="869"/>
      <c r="AA276" s="869"/>
      <c r="AB276" s="869"/>
      <c r="AC276" s="869"/>
      <c r="AD276" s="869"/>
      <c r="AE276" s="869"/>
      <c r="AF276" s="867"/>
      <c r="AG276" s="867"/>
      <c r="AH276" s="867"/>
      <c r="AI276" s="867"/>
      <c r="AJ276" s="867"/>
      <c r="AK276" s="867"/>
      <c r="AL276" s="867"/>
      <c r="AM276" s="867"/>
      <c r="AN276" s="867"/>
      <c r="AO276" s="867"/>
      <c r="AP276" s="98"/>
      <c r="AQ276" s="1462">
        <f>IF(AP274=0,0,AP273/AP274)</f>
        <v>0</v>
      </c>
      <c r="AR276" s="1462"/>
      <c r="AS276" s="1462"/>
      <c r="AT276" s="867"/>
      <c r="AU276" s="976" t="str">
        <f>W276</f>
        <v>((genutzte Wärme + Kälte) / Gesamter Elektrizitätsverbrauch)</v>
      </c>
      <c r="AV276" s="136"/>
      <c r="AW276" s="136"/>
      <c r="AX276" s="136"/>
      <c r="AY276" s="136"/>
      <c r="AZ276" s="136"/>
      <c r="BA276" s="136"/>
      <c r="BB276" s="136"/>
      <c r="BC276" s="136"/>
      <c r="BD276" s="640"/>
      <c r="BE276" s="640"/>
      <c r="BF276" s="640"/>
      <c r="BG276" s="640"/>
      <c r="BH276" s="640"/>
      <c r="BI276" s="640"/>
      <c r="BJ276" s="121"/>
      <c r="BP276" s="31"/>
      <c r="BQ276" s="31"/>
      <c r="BR276" s="31"/>
      <c r="BS276" s="31"/>
      <c r="BT276" s="31"/>
      <c r="BU276" s="31"/>
      <c r="BV276" s="31"/>
      <c r="BW276" s="31"/>
      <c r="BX276" s="31"/>
    </row>
    <row r="277" spans="2:76" s="28" customFormat="1" ht="17.100000000000001" customHeight="1">
      <c r="B277" s="117"/>
      <c r="C277" s="536"/>
      <c r="D277" s="98"/>
      <c r="E277" s="98"/>
      <c r="F277" s="98"/>
      <c r="G277" s="98"/>
      <c r="H277" s="98"/>
      <c r="I277" s="98"/>
      <c r="J277" s="98"/>
      <c r="K277" s="98"/>
      <c r="L277" s="98"/>
      <c r="M277" s="98"/>
      <c r="N277" s="98"/>
      <c r="O277" s="98"/>
      <c r="P277" s="122"/>
      <c r="Q277" s="98"/>
      <c r="R277" s="98"/>
      <c r="S277" s="895"/>
      <c r="T277" s="160"/>
      <c r="U277" s="160"/>
      <c r="V277" s="867"/>
      <c r="W277" s="136"/>
      <c r="X277" s="136"/>
      <c r="Y277" s="136"/>
      <c r="Z277" s="136"/>
      <c r="AA277" s="136"/>
      <c r="AB277" s="136"/>
      <c r="AC277" s="136"/>
      <c r="AD277" s="136"/>
      <c r="AE277" s="136"/>
      <c r="AF277" s="867"/>
      <c r="AG277" s="867"/>
      <c r="AH277" s="867"/>
      <c r="AI277" s="867"/>
      <c r="AJ277" s="867"/>
      <c r="AK277" s="867"/>
      <c r="AL277" s="867"/>
      <c r="AM277" s="867"/>
      <c r="AN277" s="867"/>
      <c r="AO277" s="867"/>
      <c r="AP277" s="160"/>
      <c r="AQ277" s="160"/>
      <c r="AR277" s="160"/>
      <c r="AS277" s="160"/>
      <c r="AT277" s="867"/>
      <c r="AU277" s="975"/>
      <c r="AV277" s="136"/>
      <c r="AW277" s="136"/>
      <c r="AX277" s="136"/>
      <c r="AY277" s="136"/>
      <c r="AZ277" s="136"/>
      <c r="BA277" s="136"/>
      <c r="BB277" s="136"/>
      <c r="BC277" s="136"/>
      <c r="BD277" s="640"/>
      <c r="BE277" s="640"/>
      <c r="BF277" s="640"/>
      <c r="BG277" s="640"/>
      <c r="BH277" s="640"/>
      <c r="BI277" s="640"/>
      <c r="BJ277" s="121"/>
    </row>
    <row r="278" spans="2:76">
      <c r="BJ278" s="121"/>
    </row>
    <row r="279" spans="2:76">
      <c r="B279" s="147"/>
      <c r="C279" s="970">
        <v>4.3</v>
      </c>
      <c r="D279" s="971" t="str">
        <f>X!C339</f>
        <v>Wärmebedarf (Schätzung)</v>
      </c>
      <c r="E279" s="972"/>
      <c r="F279" s="972"/>
      <c r="G279" s="972"/>
      <c r="H279" s="972"/>
      <c r="I279" s="972"/>
      <c r="J279" s="972"/>
      <c r="K279" s="972"/>
      <c r="L279" s="972"/>
      <c r="M279" s="972"/>
      <c r="N279" s="972"/>
      <c r="O279" s="972"/>
      <c r="P279" s="973"/>
      <c r="Q279" s="972"/>
      <c r="R279" s="972"/>
      <c r="S279" s="972"/>
      <c r="T279" s="972"/>
      <c r="U279" s="972"/>
      <c r="V279" s="972"/>
      <c r="W279" s="974"/>
      <c r="X279" s="974"/>
      <c r="Y279" s="974"/>
      <c r="Z279" s="974"/>
      <c r="AA279" s="974"/>
      <c r="AB279" s="974"/>
      <c r="AC279" s="974"/>
      <c r="AD279" s="974"/>
      <c r="AE279" s="974"/>
      <c r="AF279" s="972"/>
      <c r="AG279" s="972"/>
      <c r="AH279" s="972"/>
      <c r="AI279" s="972"/>
      <c r="AJ279" s="972"/>
      <c r="AK279" s="972"/>
      <c r="AN279" s="264"/>
      <c r="AO279" s="264"/>
      <c r="AP279" s="972"/>
      <c r="AQ279" s="972"/>
      <c r="AR279" s="972"/>
      <c r="AS279" s="972"/>
      <c r="AT279" s="972"/>
      <c r="AU279" s="972"/>
      <c r="AV279" s="972"/>
      <c r="AW279" s="972"/>
      <c r="AX279" s="972"/>
      <c r="AY279" s="972"/>
      <c r="AZ279" s="972"/>
      <c r="BA279" s="972"/>
      <c r="BB279" s="972"/>
      <c r="BC279" s="972"/>
      <c r="BD279" s="972"/>
      <c r="BE279" s="972"/>
      <c r="BF279" s="972"/>
      <c r="BG279" s="972"/>
      <c r="BH279" s="972"/>
      <c r="BI279" s="972"/>
      <c r="BJ279" s="121"/>
      <c r="BL279" s="28"/>
      <c r="BP279" s="28"/>
      <c r="BQ279" s="28"/>
      <c r="BR279" s="28"/>
      <c r="BS279" s="28"/>
      <c r="BT279" s="28"/>
      <c r="BU279" s="28"/>
      <c r="BV279" s="28"/>
      <c r="BW279" s="28"/>
      <c r="BX279" s="28"/>
    </row>
    <row r="280" spans="2:76" s="28" customFormat="1" ht="6" customHeight="1">
      <c r="B280" s="117"/>
      <c r="C280" s="917"/>
      <c r="D280" s="98"/>
      <c r="E280" s="98"/>
      <c r="F280" s="98"/>
      <c r="G280" s="98"/>
      <c r="H280" s="98"/>
      <c r="I280" s="98"/>
      <c r="J280" s="98"/>
      <c r="K280" s="98"/>
      <c r="L280" s="98"/>
      <c r="M280" s="98"/>
      <c r="N280" s="98"/>
      <c r="O280" s="98"/>
      <c r="P280" s="122"/>
      <c r="Q280" s="98"/>
      <c r="R280" s="98"/>
      <c r="S280" s="907"/>
      <c r="T280" s="907"/>
      <c r="U280" s="907"/>
      <c r="V280" s="907"/>
      <c r="W280" s="907"/>
      <c r="X280" s="907"/>
      <c r="Y280" s="907"/>
      <c r="Z280" s="907"/>
      <c r="AA280" s="907"/>
      <c r="AB280" s="907"/>
      <c r="AC280" s="907"/>
      <c r="AD280" s="907"/>
      <c r="AE280" s="907"/>
      <c r="AF280" s="907"/>
      <c r="AG280" s="907"/>
      <c r="AH280" s="897"/>
      <c r="AI280" s="897"/>
      <c r="AJ280" s="897"/>
      <c r="AK280" s="897"/>
      <c r="AL280" s="31"/>
      <c r="AM280" s="31"/>
      <c r="AN280" s="31"/>
      <c r="AO280" s="31"/>
      <c r="AP280" s="897"/>
      <c r="AQ280" s="897"/>
      <c r="AR280" s="897"/>
      <c r="AS280" s="897"/>
      <c r="AT280" s="897"/>
      <c r="AU280" s="897"/>
      <c r="AV280" s="897"/>
      <c r="AW280" s="897"/>
      <c r="AX280" s="897"/>
      <c r="AY280" s="897"/>
      <c r="AZ280" s="897"/>
      <c r="BA280" s="897"/>
      <c r="BB280" s="897"/>
      <c r="BC280" s="897"/>
      <c r="BD280" s="897"/>
      <c r="BE280" s="897"/>
      <c r="BF280" s="897"/>
      <c r="BG280" s="897"/>
      <c r="BH280" s="897"/>
      <c r="BI280" s="897"/>
      <c r="BJ280" s="121"/>
    </row>
    <row r="281" spans="2:76">
      <c r="B281" s="147"/>
      <c r="C281" s="495"/>
      <c r="E281" s="52"/>
      <c r="F281" s="52"/>
      <c r="G281" s="52"/>
      <c r="H281" s="52"/>
      <c r="I281" s="52"/>
      <c r="J281" s="52"/>
      <c r="K281" s="52"/>
      <c r="L281" s="52"/>
      <c r="M281" s="52"/>
      <c r="N281" s="52"/>
      <c r="O281" s="52"/>
      <c r="P281" s="640"/>
      <c r="Q281" s="52"/>
      <c r="R281" s="1449" t="str">
        <f>R190</f>
        <v>Frühling</v>
      </c>
      <c r="S281" s="1449"/>
      <c r="T281" s="1449"/>
      <c r="U281" s="1449"/>
      <c r="V281" s="1449" t="str">
        <f>V190</f>
        <v>Sommer</v>
      </c>
      <c r="W281" s="1449"/>
      <c r="X281" s="1449"/>
      <c r="Y281" s="1449"/>
      <c r="Z281" s="1449" t="str">
        <f>Z190</f>
        <v>Herbst</v>
      </c>
      <c r="AA281" s="1449"/>
      <c r="AB281" s="1449"/>
      <c r="AC281" s="1449"/>
      <c r="AD281" s="1449" t="str">
        <f>AD190</f>
        <v>Winter</v>
      </c>
      <c r="AE281" s="1449"/>
      <c r="AF281" s="1449"/>
      <c r="AG281" s="1449"/>
      <c r="AH281" s="1449" t="str">
        <f>AI172</f>
        <v>Jahr</v>
      </c>
      <c r="AI281" s="1449"/>
      <c r="AJ281" s="1449"/>
      <c r="AK281" s="1449"/>
      <c r="AL281" s="52"/>
      <c r="AM281" s="52"/>
      <c r="AN281" s="52"/>
      <c r="AO281" s="52"/>
      <c r="AP281" s="1449" t="str">
        <f>AP190</f>
        <v>Frühling</v>
      </c>
      <c r="AQ281" s="1449"/>
      <c r="AR281" s="1449"/>
      <c r="AS281" s="1449"/>
      <c r="AT281" s="1449" t="str">
        <f>AT190</f>
        <v>Sommer</v>
      </c>
      <c r="AU281" s="1449"/>
      <c r="AV281" s="1449"/>
      <c r="AW281" s="1449"/>
      <c r="AX281" s="1449" t="str">
        <f>AX190</f>
        <v>Herbst</v>
      </c>
      <c r="AY281" s="1449"/>
      <c r="AZ281" s="1449"/>
      <c r="BA281" s="1449"/>
      <c r="BB281" s="1449" t="str">
        <f>BB190</f>
        <v>Winter</v>
      </c>
      <c r="BC281" s="1449"/>
      <c r="BD281" s="1449"/>
      <c r="BE281" s="1449"/>
      <c r="BF281" s="1449" t="str">
        <f>BG172</f>
        <v>Jahr</v>
      </c>
      <c r="BG281" s="1449"/>
      <c r="BH281" s="1449"/>
      <c r="BI281" s="1449"/>
      <c r="BJ281" s="152"/>
      <c r="BL281" s="28"/>
      <c r="BP281" s="28"/>
      <c r="BQ281" s="28"/>
      <c r="BR281" s="28"/>
      <c r="BS281" s="28"/>
      <c r="BT281" s="28"/>
      <c r="BU281" s="28"/>
      <c r="BV281" s="28"/>
      <c r="BW281" s="28"/>
      <c r="BX281" s="28"/>
    </row>
    <row r="282" spans="2:76" s="227" customFormat="1" ht="17.100000000000001" customHeight="1">
      <c r="B282" s="226"/>
      <c r="C282" s="513"/>
      <c r="D282" s="852" t="str">
        <f>X!C340</f>
        <v>für Trinkwarmwasser</v>
      </c>
      <c r="F282" s="931"/>
      <c r="G282" s="931"/>
      <c r="H282" s="931"/>
      <c r="I282" s="931"/>
      <c r="J282" s="931"/>
      <c r="K282" s="931"/>
      <c r="L282" s="931"/>
      <c r="M282" s="931"/>
      <c r="N282" s="931"/>
      <c r="O282" s="931"/>
      <c r="P282" s="932" t="s">
        <v>199</v>
      </c>
      <c r="Q282" s="931"/>
      <c r="R282" s="1459">
        <f>R834</f>
        <v>0</v>
      </c>
      <c r="S282" s="1449"/>
      <c r="T282" s="1449"/>
      <c r="U282" s="1449"/>
      <c r="V282" s="1459">
        <f>V834</f>
        <v>0</v>
      </c>
      <c r="W282" s="1449"/>
      <c r="X282" s="1449"/>
      <c r="Y282" s="1449"/>
      <c r="Z282" s="1459">
        <f>Z834</f>
        <v>0</v>
      </c>
      <c r="AA282" s="1449"/>
      <c r="AB282" s="1449"/>
      <c r="AC282" s="1449"/>
      <c r="AD282" s="1459">
        <f>AD834</f>
        <v>0</v>
      </c>
      <c r="AE282" s="1449"/>
      <c r="AF282" s="1449"/>
      <c r="AG282" s="1449"/>
      <c r="AH282" s="1459">
        <f>AH834</f>
        <v>0</v>
      </c>
      <c r="AI282" s="1449"/>
      <c r="AJ282" s="1449"/>
      <c r="AK282" s="1449"/>
      <c r="AL282" s="927"/>
      <c r="AM282" s="927"/>
      <c r="AN282" s="929"/>
      <c r="AO282" s="929"/>
      <c r="AP282" s="1517">
        <f>AP834</f>
        <v>0</v>
      </c>
      <c r="AQ282" s="1517"/>
      <c r="AR282" s="1517"/>
      <c r="AS282" s="1517"/>
      <c r="AT282" s="1517">
        <f>AT834</f>
        <v>0</v>
      </c>
      <c r="AU282" s="1517"/>
      <c r="AV282" s="1517"/>
      <c r="AW282" s="1517"/>
      <c r="AX282" s="1517">
        <f>AX834</f>
        <v>0</v>
      </c>
      <c r="AY282" s="1517"/>
      <c r="AZ282" s="1517"/>
      <c r="BA282" s="1517"/>
      <c r="BB282" s="1517">
        <f>BB834</f>
        <v>0</v>
      </c>
      <c r="BC282" s="1517"/>
      <c r="BD282" s="1517"/>
      <c r="BE282" s="1517"/>
      <c r="BF282" s="1517">
        <f>BF834</f>
        <v>0</v>
      </c>
      <c r="BG282" s="1517"/>
      <c r="BH282" s="1517"/>
      <c r="BI282" s="1517"/>
      <c r="BJ282" s="933"/>
      <c r="BP282" s="116"/>
      <c r="BQ282" s="116"/>
      <c r="BR282" s="116"/>
      <c r="BS282" s="116"/>
      <c r="BT282" s="116"/>
      <c r="BU282" s="116"/>
      <c r="BV282" s="116"/>
      <c r="BW282" s="116"/>
      <c r="BX282" s="116"/>
    </row>
    <row r="283" spans="2:76" s="227" customFormat="1" ht="17.100000000000001" customHeight="1">
      <c r="B283" s="226"/>
      <c r="C283" s="513"/>
      <c r="D283" s="852" t="str">
        <f>X!C341</f>
        <v>für die Heizung</v>
      </c>
      <c r="F283" s="931"/>
      <c r="G283" s="931"/>
      <c r="H283" s="931"/>
      <c r="I283" s="931"/>
      <c r="J283" s="931"/>
      <c r="K283" s="931"/>
      <c r="L283" s="931"/>
      <c r="M283" s="931"/>
      <c r="N283" s="931"/>
      <c r="O283" s="931"/>
      <c r="P283" s="932" t="s">
        <v>199</v>
      </c>
      <c r="Q283" s="931"/>
      <c r="R283" s="1459">
        <f>R835</f>
        <v>0</v>
      </c>
      <c r="S283" s="1449"/>
      <c r="T283" s="1449"/>
      <c r="U283" s="1449"/>
      <c r="V283" s="1459">
        <f>V835</f>
        <v>0</v>
      </c>
      <c r="W283" s="1449"/>
      <c r="X283" s="1449"/>
      <c r="Y283" s="1449"/>
      <c r="Z283" s="1459">
        <f>Z835</f>
        <v>0</v>
      </c>
      <c r="AA283" s="1449"/>
      <c r="AB283" s="1449"/>
      <c r="AC283" s="1449"/>
      <c r="AD283" s="1459">
        <f>AD835</f>
        <v>0</v>
      </c>
      <c r="AE283" s="1449"/>
      <c r="AF283" s="1449"/>
      <c r="AG283" s="1449"/>
      <c r="AH283" s="1459">
        <f>AH835</f>
        <v>0</v>
      </c>
      <c r="AI283" s="1449"/>
      <c r="AJ283" s="1449"/>
      <c r="AK283" s="1449"/>
      <c r="AL283" s="927"/>
      <c r="AM283" s="927"/>
      <c r="AN283" s="929"/>
      <c r="AO283" s="929"/>
      <c r="AP283" s="1517">
        <f>AP835</f>
        <v>0</v>
      </c>
      <c r="AQ283" s="1517"/>
      <c r="AR283" s="1517"/>
      <c r="AS283" s="1517"/>
      <c r="AT283" s="1517">
        <f>AT835</f>
        <v>0</v>
      </c>
      <c r="AU283" s="1517"/>
      <c r="AV283" s="1517"/>
      <c r="AW283" s="1517"/>
      <c r="AX283" s="1517">
        <f>AX835</f>
        <v>0</v>
      </c>
      <c r="AY283" s="1517"/>
      <c r="AZ283" s="1517"/>
      <c r="BA283" s="1517"/>
      <c r="BB283" s="1517">
        <f>BB835</f>
        <v>0</v>
      </c>
      <c r="BC283" s="1517"/>
      <c r="BD283" s="1517"/>
      <c r="BE283" s="1517"/>
      <c r="BF283" s="1517">
        <f>BF835</f>
        <v>0</v>
      </c>
      <c r="BG283" s="1517"/>
      <c r="BH283" s="1517"/>
      <c r="BI283" s="1517"/>
      <c r="BJ283" s="933"/>
    </row>
    <row r="284" spans="2:76" s="227" customFormat="1" ht="17.100000000000001" customHeight="1">
      <c r="B284" s="226"/>
      <c r="C284" s="513"/>
      <c r="D284" s="852" t="str">
        <f>X!C342</f>
        <v>für Anderes (z.B. Prozesse)</v>
      </c>
      <c r="E284" s="720"/>
      <c r="F284" s="931"/>
      <c r="G284" s="931"/>
      <c r="H284" s="931"/>
      <c r="I284" s="931"/>
      <c r="J284" s="931"/>
      <c r="K284" s="931"/>
      <c r="L284" s="931"/>
      <c r="M284" s="931"/>
      <c r="N284" s="931"/>
      <c r="O284" s="931"/>
      <c r="P284" s="932" t="s">
        <v>199</v>
      </c>
      <c r="Q284" s="931"/>
      <c r="R284" s="1515">
        <f>R836</f>
        <v>0</v>
      </c>
      <c r="S284" s="1516"/>
      <c r="T284" s="1516"/>
      <c r="U284" s="1516"/>
      <c r="V284" s="1515">
        <f>V836</f>
        <v>0</v>
      </c>
      <c r="W284" s="1516"/>
      <c r="X284" s="1516"/>
      <c r="Y284" s="1516"/>
      <c r="Z284" s="1515">
        <f>Z836</f>
        <v>0</v>
      </c>
      <c r="AA284" s="1516"/>
      <c r="AB284" s="1516"/>
      <c r="AC284" s="1516"/>
      <c r="AD284" s="1515">
        <f>AD836</f>
        <v>0</v>
      </c>
      <c r="AE284" s="1516"/>
      <c r="AF284" s="1516"/>
      <c r="AG284" s="1516"/>
      <c r="AH284" s="1515">
        <f>AH836</f>
        <v>0</v>
      </c>
      <c r="AI284" s="1516"/>
      <c r="AJ284" s="1516"/>
      <c r="AK284" s="1516"/>
      <c r="AL284" s="944"/>
      <c r="AM284" s="934"/>
      <c r="AN284" s="929"/>
      <c r="AO284" s="929"/>
      <c r="AP284" s="1518">
        <f>AP836</f>
        <v>0</v>
      </c>
      <c r="AQ284" s="1518"/>
      <c r="AR284" s="1518"/>
      <c r="AS284" s="1518"/>
      <c r="AT284" s="1518">
        <f>AT836</f>
        <v>0</v>
      </c>
      <c r="AU284" s="1518"/>
      <c r="AV284" s="1518"/>
      <c r="AW284" s="1518"/>
      <c r="AX284" s="1518">
        <f>AX836</f>
        <v>0</v>
      </c>
      <c r="AY284" s="1518"/>
      <c r="AZ284" s="1518"/>
      <c r="BA284" s="1518"/>
      <c r="BB284" s="1518">
        <f>BB836</f>
        <v>0</v>
      </c>
      <c r="BC284" s="1518"/>
      <c r="BD284" s="1518"/>
      <c r="BE284" s="1518"/>
      <c r="BF284" s="1518">
        <f>BF836</f>
        <v>0</v>
      </c>
      <c r="BG284" s="1518"/>
      <c r="BH284" s="1518"/>
      <c r="BI284" s="1518"/>
      <c r="BJ284" s="933"/>
      <c r="BP284" s="139"/>
      <c r="BQ284" s="139"/>
      <c r="BR284" s="139"/>
      <c r="BS284" s="139"/>
      <c r="BT284" s="139"/>
      <c r="BU284" s="139"/>
      <c r="BV284" s="139"/>
      <c r="BW284" s="139"/>
      <c r="BX284" s="139"/>
    </row>
    <row r="285" spans="2:76" s="227" customFormat="1" ht="17.100000000000001" customHeight="1">
      <c r="B285" s="226"/>
      <c r="C285" s="513"/>
      <c r="D285" s="1035" t="str">
        <f>X!C343</f>
        <v>Total Bedarf</v>
      </c>
      <c r="F285" s="935"/>
      <c r="G285" s="935"/>
      <c r="H285" s="935"/>
      <c r="I285" s="935"/>
      <c r="J285" s="935"/>
      <c r="K285" s="935"/>
      <c r="L285" s="935"/>
      <c r="M285" s="935"/>
      <c r="N285" s="935"/>
      <c r="O285" s="935"/>
      <c r="P285" s="936" t="s">
        <v>199</v>
      </c>
      <c r="Q285" s="935"/>
      <c r="R285" s="1465">
        <f>SUM(R282:U284)</f>
        <v>0</v>
      </c>
      <c r="S285" s="1466"/>
      <c r="T285" s="1466"/>
      <c r="U285" s="1466"/>
      <c r="V285" s="1465">
        <f t="shared" ref="V285" si="7">SUM(V282:Y284)</f>
        <v>0</v>
      </c>
      <c r="W285" s="1466"/>
      <c r="X285" s="1466"/>
      <c r="Y285" s="1466"/>
      <c r="Z285" s="1465">
        <f t="shared" ref="Z285" si="8">SUM(Z282:AC284)</f>
        <v>0</v>
      </c>
      <c r="AA285" s="1466"/>
      <c r="AB285" s="1466"/>
      <c r="AC285" s="1466"/>
      <c r="AD285" s="1465">
        <f t="shared" ref="AD285" si="9">SUM(AD282:AG284)</f>
        <v>0</v>
      </c>
      <c r="AE285" s="1466"/>
      <c r="AF285" s="1466"/>
      <c r="AG285" s="1466"/>
      <c r="AH285" s="1465">
        <f t="shared" ref="AH285" si="10">SUM(R285:AG285)</f>
        <v>0</v>
      </c>
      <c r="AI285" s="1466"/>
      <c r="AJ285" s="1466"/>
      <c r="AK285" s="1466"/>
      <c r="AL285" s="944"/>
      <c r="AM285" s="934"/>
      <c r="AN285" s="929"/>
      <c r="AO285" s="929"/>
      <c r="AP285" s="1586">
        <f>SUM(AP282:AS284)</f>
        <v>0</v>
      </c>
      <c r="AQ285" s="1586"/>
      <c r="AR285" s="1586"/>
      <c r="AS285" s="1586"/>
      <c r="AT285" s="1586">
        <f t="shared" ref="AT285" si="11">SUM(AT282:AW284)</f>
        <v>0</v>
      </c>
      <c r="AU285" s="1586"/>
      <c r="AV285" s="1586"/>
      <c r="AW285" s="1586"/>
      <c r="AX285" s="1586">
        <f t="shared" ref="AX285" si="12">SUM(AX282:BA284)</f>
        <v>0</v>
      </c>
      <c r="AY285" s="1586"/>
      <c r="AZ285" s="1586"/>
      <c r="BA285" s="1586"/>
      <c r="BB285" s="1586">
        <f t="shared" ref="BB285" si="13">SUM(BB282:BE284)</f>
        <v>0</v>
      </c>
      <c r="BC285" s="1586"/>
      <c r="BD285" s="1586"/>
      <c r="BE285" s="1586"/>
      <c r="BF285" s="1586">
        <f t="shared" ref="BF285" si="14">SUM(AP285:BE285)</f>
        <v>0</v>
      </c>
      <c r="BG285" s="1586"/>
      <c r="BH285" s="1586"/>
      <c r="BI285" s="1586"/>
      <c r="BJ285" s="933"/>
    </row>
    <row r="286" spans="2:76" ht="12" customHeight="1">
      <c r="B286" s="161"/>
      <c r="C286" s="506"/>
      <c r="D286" s="127"/>
      <c r="E286" s="127"/>
      <c r="F286" s="127"/>
      <c r="G286" s="127"/>
      <c r="H286" s="127"/>
      <c r="I286" s="127"/>
      <c r="J286" s="127"/>
      <c r="K286" s="127"/>
      <c r="L286" s="127"/>
      <c r="M286" s="127"/>
      <c r="N286" s="127"/>
      <c r="O286" s="127"/>
      <c r="P286" s="126"/>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27"/>
      <c r="AX286" s="127"/>
      <c r="AY286" s="127"/>
      <c r="AZ286" s="127"/>
      <c r="BA286" s="127"/>
      <c r="BB286" s="127"/>
      <c r="BC286" s="127"/>
      <c r="BD286" s="127"/>
      <c r="BE286" s="127"/>
      <c r="BF286" s="127"/>
      <c r="BG286" s="127"/>
      <c r="BH286" s="127"/>
      <c r="BI286" s="127"/>
      <c r="BJ286" s="162"/>
      <c r="BL286" s="227"/>
      <c r="BP286" s="155"/>
      <c r="BQ286" s="155"/>
      <c r="BR286" s="155"/>
      <c r="BS286" s="155"/>
      <c r="BT286" s="155"/>
      <c r="BU286" s="155"/>
      <c r="BV286" s="155"/>
      <c r="BW286" s="155"/>
      <c r="BX286" s="155"/>
    </row>
    <row r="287" spans="2:76">
      <c r="BL287" s="28"/>
    </row>
    <row r="288" spans="2:76" ht="17.100000000000001" customHeight="1">
      <c r="B288" s="52"/>
      <c r="C288" s="477"/>
      <c r="D288" s="52"/>
      <c r="E288" s="52"/>
      <c r="F288" s="52"/>
      <c r="G288" s="52"/>
      <c r="H288" s="52"/>
      <c r="I288" s="52"/>
      <c r="J288" s="52"/>
      <c r="K288" s="52"/>
      <c r="L288" s="52"/>
      <c r="M288" s="52"/>
      <c r="N288" s="52"/>
      <c r="O288" s="52"/>
      <c r="P288" s="55"/>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row>
    <row r="289" spans="2:76" s="400" customFormat="1" ht="17.100000000000001" customHeight="1" outlineLevel="1">
      <c r="B289" s="399" t="s">
        <v>13</v>
      </c>
      <c r="C289" s="545" t="str">
        <f>X!$C$79</f>
        <v>Details zur Berechnung einblenden?</v>
      </c>
      <c r="D289" s="139"/>
      <c r="E289" s="139"/>
      <c r="F289" s="139"/>
      <c r="G289" s="139"/>
      <c r="H289" s="139"/>
      <c r="I289" s="139"/>
      <c r="J289" s="139"/>
      <c r="K289" s="139"/>
      <c r="L289" s="139"/>
      <c r="M289" s="139"/>
      <c r="N289" s="139"/>
      <c r="O289" s="139"/>
      <c r="P289" s="139"/>
      <c r="Q289" s="139"/>
      <c r="R289" s="139"/>
      <c r="S289" s="1553"/>
      <c r="T289" s="1553"/>
      <c r="U289" s="1554"/>
      <c r="V289" s="139"/>
      <c r="W289" s="139"/>
      <c r="X289" s="139"/>
      <c r="Y289" s="139"/>
      <c r="Z289" s="139"/>
      <c r="AA289" s="139"/>
      <c r="AB289" s="139"/>
      <c r="AC289" s="139"/>
      <c r="AD289" s="139"/>
      <c r="AE289" s="139"/>
      <c r="AF289" s="139"/>
      <c r="AG289" s="139"/>
      <c r="AH289" s="139"/>
      <c r="AI289" s="139"/>
      <c r="AJ289" s="139"/>
      <c r="AK289" s="139"/>
      <c r="AL289" s="139"/>
      <c r="AM289" s="139"/>
      <c r="AN289" s="139"/>
      <c r="AO289" s="139"/>
      <c r="AP289" s="139"/>
      <c r="AQ289" s="139"/>
      <c r="AR289" s="139"/>
      <c r="AS289" s="614"/>
      <c r="AT289" s="614"/>
      <c r="AU289" s="614"/>
      <c r="AV289" s="614"/>
      <c r="AW289" s="614"/>
      <c r="AX289" s="614"/>
      <c r="AY289" s="614"/>
      <c r="AZ289" s="71"/>
      <c r="BA289" s="1439" t="str">
        <f>X!C291</f>
        <v>nach oben</v>
      </c>
      <c r="BB289" s="1439"/>
      <c r="BC289" s="1439"/>
      <c r="BD289" s="1439"/>
      <c r="BE289" s="1439"/>
      <c r="BF289" s="1439"/>
      <c r="BG289" s="1439"/>
      <c r="BH289" s="1439"/>
      <c r="BI289" s="627" t="s">
        <v>670</v>
      </c>
      <c r="BJ289" s="139"/>
      <c r="BP289" s="31"/>
      <c r="BQ289" s="31"/>
      <c r="BR289" s="31"/>
      <c r="BS289" s="31"/>
      <c r="BT289" s="31"/>
      <c r="BU289" s="31"/>
      <c r="BV289" s="31"/>
      <c r="BW289" s="31"/>
      <c r="BX289" s="31"/>
    </row>
    <row r="290" spans="2:76" ht="17.100000000000001" customHeight="1" outlineLevel="1">
      <c r="B290" s="52"/>
      <c r="C290" s="477"/>
      <c r="D290" s="52"/>
      <c r="E290" s="52"/>
      <c r="F290" s="52"/>
      <c r="G290" s="52"/>
      <c r="H290" s="52"/>
      <c r="I290" s="52"/>
      <c r="J290" s="52"/>
      <c r="K290" s="52"/>
      <c r="L290" s="52"/>
      <c r="M290" s="52"/>
      <c r="N290" s="52"/>
      <c r="O290" s="52"/>
      <c r="P290" s="55"/>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P290" s="28"/>
      <c r="BQ290" s="28"/>
      <c r="BR290" s="28"/>
      <c r="BS290" s="28"/>
      <c r="BT290" s="28"/>
      <c r="BU290" s="28"/>
      <c r="BV290" s="28"/>
      <c r="BW290" s="28"/>
      <c r="BX290" s="28"/>
    </row>
    <row r="291" spans="2:76" ht="17.100000000000001" customHeight="1" outlineLevel="1">
      <c r="B291" s="52"/>
      <c r="C291" s="477"/>
      <c r="D291" s="52"/>
      <c r="E291" s="52"/>
      <c r="F291" s="52"/>
      <c r="G291" s="52"/>
      <c r="H291" s="52"/>
      <c r="I291" s="52"/>
      <c r="J291" s="52"/>
      <c r="K291" s="52"/>
      <c r="L291" s="52"/>
      <c r="M291" s="52"/>
      <c r="N291" s="52"/>
      <c r="O291" s="52"/>
      <c r="P291" s="55"/>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P291" s="155"/>
      <c r="BQ291" s="155"/>
      <c r="BR291" s="155"/>
      <c r="BS291" s="155"/>
      <c r="BT291" s="155"/>
      <c r="BU291" s="155"/>
      <c r="BV291" s="155"/>
      <c r="BW291" s="155"/>
      <c r="BX291" s="155"/>
    </row>
    <row r="292" spans="2:76" ht="17.100000000000001" customHeight="1" outlineLevel="1">
      <c r="BP292" s="28"/>
      <c r="BQ292" s="28"/>
      <c r="BR292" s="28"/>
      <c r="BS292" s="28"/>
      <c r="BT292" s="28"/>
      <c r="BU292" s="28"/>
      <c r="BV292" s="28"/>
      <c r="BW292" s="28"/>
      <c r="BX292" s="28"/>
    </row>
    <row r="293" spans="2:76" outlineLevel="1">
      <c r="B293" s="103"/>
      <c r="C293" s="502"/>
      <c r="D293" s="104"/>
      <c r="E293" s="104"/>
      <c r="F293" s="104"/>
      <c r="G293" s="104"/>
      <c r="H293" s="104"/>
      <c r="I293" s="104"/>
      <c r="J293" s="104"/>
      <c r="K293" s="104"/>
      <c r="L293" s="104"/>
      <c r="M293" s="104"/>
      <c r="N293" s="104"/>
      <c r="O293" s="104"/>
      <c r="P293" s="105"/>
      <c r="Q293" s="104"/>
      <c r="R293" s="104"/>
      <c r="S293" s="104"/>
      <c r="T293" s="104"/>
      <c r="U293" s="104"/>
      <c r="V293" s="104"/>
      <c r="W293" s="104"/>
      <c r="X293" s="104"/>
      <c r="Y293" s="104"/>
      <c r="Z293" s="104"/>
      <c r="AA293" s="104"/>
      <c r="AB293" s="104"/>
      <c r="AC293" s="104"/>
      <c r="AD293" s="104"/>
      <c r="AE293" s="104"/>
      <c r="AF293" s="104"/>
      <c r="AG293" s="104"/>
      <c r="AH293" s="104"/>
      <c r="AI293" s="104"/>
      <c r="AJ293" s="104"/>
      <c r="AK293" s="104"/>
      <c r="AL293" s="104"/>
      <c r="AM293" s="104"/>
      <c r="AN293" s="104"/>
      <c r="AO293" s="104"/>
      <c r="AP293" s="104"/>
      <c r="AQ293" s="104"/>
      <c r="AR293" s="104"/>
      <c r="AS293" s="104"/>
      <c r="AT293" s="104"/>
      <c r="AU293" s="104"/>
      <c r="AV293" s="104"/>
      <c r="AW293" s="104"/>
      <c r="AX293" s="104"/>
      <c r="AY293" s="104"/>
      <c r="AZ293" s="104"/>
      <c r="BA293" s="104"/>
      <c r="BB293" s="104"/>
      <c r="BC293" s="104"/>
      <c r="BD293" s="104"/>
      <c r="BE293" s="104"/>
      <c r="BF293" s="104"/>
      <c r="BG293" s="104"/>
      <c r="BH293" s="104"/>
      <c r="BI293" s="104"/>
      <c r="BJ293" s="106"/>
      <c r="BP293" s="155"/>
      <c r="BQ293" s="155"/>
      <c r="BR293" s="155"/>
      <c r="BS293" s="155"/>
      <c r="BT293" s="155"/>
      <c r="BU293" s="155"/>
      <c r="BV293" s="155"/>
      <c r="BW293" s="155"/>
      <c r="BX293" s="155"/>
    </row>
    <row r="294" spans="2:76" outlineLevel="1">
      <c r="B294" s="147"/>
      <c r="C294" s="477"/>
      <c r="D294" s="52"/>
      <c r="E294" s="52"/>
      <c r="F294" s="52"/>
      <c r="G294" s="52"/>
      <c r="H294" s="52"/>
      <c r="I294" s="52"/>
      <c r="J294" s="52"/>
      <c r="K294" s="52"/>
      <c r="L294" s="52"/>
      <c r="M294" s="52"/>
      <c r="N294" s="52"/>
      <c r="O294" s="52"/>
      <c r="P294" s="55"/>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152"/>
      <c r="BM294" s="794"/>
      <c r="BP294" s="28"/>
      <c r="BQ294" s="28"/>
      <c r="BR294" s="28"/>
      <c r="BS294" s="28"/>
      <c r="BT294" s="28"/>
      <c r="BU294" s="28"/>
      <c r="BV294" s="28"/>
      <c r="BW294" s="28"/>
      <c r="BX294" s="28"/>
    </row>
    <row r="295" spans="2:76" s="116" customFormat="1" ht="21" customHeight="1" outlineLevel="1">
      <c r="B295" s="107"/>
      <c r="C295" s="486">
        <v>5</v>
      </c>
      <c r="D295" s="546" t="str">
        <f>X!$C$52</f>
        <v>Berechnungen mit den Standard-Betriebszeiten (Werte aus dem Standard-Profil)</v>
      </c>
      <c r="E295" s="109"/>
      <c r="F295" s="109"/>
      <c r="G295" s="110"/>
      <c r="H295" s="110"/>
      <c r="I295" s="111"/>
      <c r="J295" s="111"/>
      <c r="K295" s="111"/>
      <c r="L295" s="111"/>
      <c r="M295" s="111"/>
      <c r="N295" s="111"/>
      <c r="O295" s="111"/>
      <c r="P295" s="111"/>
      <c r="Q295" s="111"/>
      <c r="R295" s="111"/>
      <c r="S295" s="109"/>
      <c r="T295" s="109"/>
      <c r="U295" s="110"/>
      <c r="V295" s="110"/>
      <c r="W295" s="110"/>
      <c r="X295" s="110"/>
      <c r="Y295" s="110"/>
      <c r="Z295" s="110"/>
      <c r="AA295" s="110"/>
      <c r="AB295" s="110"/>
      <c r="AC295" s="110"/>
      <c r="AD295" s="110"/>
      <c r="AE295" s="110"/>
      <c r="AF295" s="110"/>
      <c r="AG295" s="110"/>
      <c r="AH295" s="110"/>
      <c r="AI295" s="110"/>
      <c r="AJ295" s="110"/>
      <c r="AK295" s="110"/>
      <c r="AL295" s="110"/>
      <c r="AM295" s="110"/>
      <c r="AN295" s="111"/>
      <c r="AO295" s="111"/>
      <c r="AP295" s="111"/>
      <c r="AQ295" s="109"/>
      <c r="AR295" s="109"/>
      <c r="AS295" s="110"/>
      <c r="AT295" s="110"/>
      <c r="AU295" s="110"/>
      <c r="AV295" s="110"/>
      <c r="AW295" s="110"/>
      <c r="AX295" s="110"/>
      <c r="AY295" s="110"/>
      <c r="AZ295" s="110"/>
      <c r="BA295" s="110"/>
      <c r="BB295" s="110"/>
      <c r="BC295" s="110"/>
      <c r="BD295" s="110"/>
      <c r="BE295" s="110"/>
      <c r="BF295" s="110"/>
      <c r="BG295" s="110"/>
      <c r="BH295" s="110"/>
      <c r="BI295" s="110"/>
      <c r="BJ295" s="115"/>
      <c r="BP295" s="227"/>
      <c r="BQ295" s="227"/>
      <c r="BR295" s="227"/>
      <c r="BS295" s="227"/>
      <c r="BT295" s="227"/>
      <c r="BU295" s="227"/>
      <c r="BV295" s="227"/>
      <c r="BW295" s="227"/>
      <c r="BX295" s="227"/>
    </row>
    <row r="296" spans="2:76" s="28" customFormat="1" ht="17.100000000000001" customHeight="1" outlineLevel="1">
      <c r="B296" s="117"/>
      <c r="C296" s="489"/>
      <c r="D296" s="98"/>
      <c r="E296" s="98"/>
      <c r="F296" s="98"/>
      <c r="G296" s="98"/>
      <c r="H296" s="98"/>
      <c r="I296" s="98"/>
      <c r="J296" s="98"/>
      <c r="K296" s="98"/>
      <c r="L296" s="98"/>
      <c r="M296" s="98"/>
      <c r="N296" s="98"/>
      <c r="O296" s="98"/>
      <c r="P296" s="122"/>
      <c r="Q296" s="98"/>
      <c r="R296" s="98"/>
      <c r="S296" s="135"/>
      <c r="T296" s="135"/>
      <c r="U296" s="135"/>
      <c r="V296" s="98"/>
      <c r="W296" s="136"/>
      <c r="X296" s="136"/>
      <c r="Y296" s="136"/>
      <c r="Z296" s="136"/>
      <c r="AA296" s="136"/>
      <c r="AB296" s="136"/>
      <c r="AC296" s="136"/>
      <c r="AD296" s="136"/>
      <c r="AE296" s="136"/>
      <c r="AF296" s="98"/>
      <c r="AG296" s="98"/>
      <c r="AH296" s="98"/>
      <c r="AI296" s="98"/>
      <c r="AJ296" s="98"/>
      <c r="AK296" s="98"/>
      <c r="AL296" s="98"/>
      <c r="AM296" s="98"/>
      <c r="AN296" s="98"/>
      <c r="AO296" s="98"/>
      <c r="AP296" s="98"/>
      <c r="AQ296" s="135"/>
      <c r="AR296" s="135"/>
      <c r="AS296" s="135"/>
      <c r="AT296" s="98"/>
      <c r="AU296" s="136"/>
      <c r="AV296" s="136"/>
      <c r="AW296" s="136"/>
      <c r="AX296" s="136"/>
      <c r="AY296" s="136"/>
      <c r="AZ296" s="136"/>
      <c r="BA296" s="136"/>
      <c r="BB296" s="136"/>
      <c r="BC296" s="136"/>
      <c r="BD296" s="55"/>
      <c r="BE296" s="55"/>
      <c r="BF296" s="55"/>
      <c r="BG296" s="55"/>
      <c r="BH296" s="52"/>
      <c r="BI296" s="55"/>
      <c r="BJ296" s="121"/>
      <c r="BP296" s="155"/>
      <c r="BQ296" s="155"/>
      <c r="BR296" s="155"/>
      <c r="BS296" s="155"/>
      <c r="BT296" s="155"/>
      <c r="BU296" s="155"/>
      <c r="BV296" s="155"/>
      <c r="BW296" s="155"/>
      <c r="BX296" s="155"/>
    </row>
    <row r="297" spans="2:76" s="139" customFormat="1" ht="17.100000000000001" customHeight="1" outlineLevel="1">
      <c r="B297" s="137"/>
      <c r="C297" s="488"/>
      <c r="D297" s="138"/>
      <c r="E297" s="138"/>
      <c r="F297" s="138"/>
      <c r="S297" s="140" t="str">
        <f>'1 System specification'!O132</f>
        <v>Variante A</v>
      </c>
      <c r="T297" s="140"/>
      <c r="U297" s="141"/>
      <c r="V297" s="141"/>
      <c r="W297" s="141"/>
      <c r="X297" s="141"/>
      <c r="Y297" s="141"/>
      <c r="Z297" s="141"/>
      <c r="AA297" s="141"/>
      <c r="AB297" s="141"/>
      <c r="AC297" s="141"/>
      <c r="AD297" s="141"/>
      <c r="AE297" s="141"/>
      <c r="AF297" s="141"/>
      <c r="AG297" s="141"/>
      <c r="AH297" s="141"/>
      <c r="AI297" s="141"/>
      <c r="AJ297" s="141"/>
      <c r="AK297" s="141"/>
      <c r="AL297" s="431"/>
      <c r="AM297" s="431"/>
      <c r="AQ297" s="140" t="str">
        <f>'1 System specification'!O133</f>
        <v/>
      </c>
      <c r="AR297" s="140"/>
      <c r="AS297" s="141"/>
      <c r="AT297" s="141"/>
      <c r="AU297" s="141"/>
      <c r="AV297" s="141"/>
      <c r="AW297" s="141"/>
      <c r="AX297" s="141"/>
      <c r="AY297" s="141"/>
      <c r="AZ297" s="141"/>
      <c r="BA297" s="141"/>
      <c r="BB297" s="141"/>
      <c r="BC297" s="141"/>
      <c r="BD297" s="141"/>
      <c r="BE297" s="141"/>
      <c r="BF297" s="141"/>
      <c r="BG297" s="141"/>
      <c r="BH297" s="141"/>
      <c r="BI297" s="141"/>
      <c r="BJ297" s="142"/>
      <c r="BP297" s="31"/>
      <c r="BQ297" s="31"/>
      <c r="BR297" s="31"/>
      <c r="BS297" s="31"/>
      <c r="BT297" s="31"/>
      <c r="BU297" s="31"/>
      <c r="BV297" s="31"/>
      <c r="BW297" s="31"/>
      <c r="BX297" s="31"/>
    </row>
    <row r="298" spans="2:76" s="28" customFormat="1" ht="9" customHeight="1" outlineLevel="1">
      <c r="B298" s="117"/>
      <c r="C298" s="474"/>
      <c r="D298" s="98"/>
      <c r="E298" s="98"/>
      <c r="F298" s="98"/>
      <c r="G298" s="98"/>
      <c r="H298" s="98"/>
      <c r="I298" s="98"/>
      <c r="J298" s="98"/>
      <c r="K298" s="98"/>
      <c r="L298" s="98"/>
      <c r="M298" s="98"/>
      <c r="N298" s="98"/>
      <c r="O298" s="98"/>
      <c r="P298" s="122"/>
      <c r="Q298" s="98"/>
      <c r="R298" s="98"/>
      <c r="S298" s="98"/>
      <c r="T298" s="98"/>
      <c r="U298" s="98"/>
      <c r="V298" s="98"/>
      <c r="W298" s="98"/>
      <c r="X298" s="98"/>
      <c r="Y298" s="98"/>
      <c r="Z298" s="98"/>
      <c r="AA298" s="55"/>
      <c r="AB298" s="55"/>
      <c r="AC298" s="55"/>
      <c r="AD298" s="55"/>
      <c r="AE298" s="55"/>
      <c r="AF298" s="55"/>
      <c r="AG298" s="55"/>
      <c r="AH298" s="55"/>
      <c r="AI298" s="55"/>
      <c r="AJ298" s="55"/>
      <c r="AK298" s="55"/>
      <c r="AL298" s="55"/>
      <c r="AM298" s="55"/>
      <c r="AN298" s="55"/>
      <c r="AO298" s="55"/>
      <c r="AP298" s="55"/>
      <c r="AQ298" s="55"/>
      <c r="AR298" s="55"/>
      <c r="AS298" s="55"/>
      <c r="AT298" s="120"/>
      <c r="AU298" s="55"/>
      <c r="AV298" s="55"/>
      <c r="AW298" s="55"/>
      <c r="AX298" s="55"/>
      <c r="AY298" s="55"/>
      <c r="AZ298" s="55"/>
      <c r="BA298" s="55"/>
      <c r="BB298" s="55"/>
      <c r="BC298" s="55"/>
      <c r="BD298" s="55"/>
      <c r="BE298" s="55"/>
      <c r="BF298" s="55"/>
      <c r="BG298" s="55"/>
      <c r="BH298" s="52"/>
      <c r="BI298" s="55"/>
      <c r="BJ298" s="121"/>
      <c r="BP298" s="31"/>
      <c r="BQ298" s="31"/>
      <c r="BR298" s="31"/>
      <c r="BS298" s="31"/>
      <c r="BT298" s="31"/>
      <c r="BU298" s="31"/>
      <c r="BV298" s="31"/>
      <c r="BW298" s="31"/>
      <c r="BX298" s="31"/>
    </row>
    <row r="299" spans="2:76" s="28" customFormat="1" ht="17.100000000000001" customHeight="1" outlineLevel="1">
      <c r="B299" s="117"/>
      <c r="C299" s="474"/>
      <c r="D299" s="98"/>
      <c r="E299" s="98"/>
      <c r="F299" s="98"/>
      <c r="G299" s="98"/>
      <c r="H299" s="98"/>
      <c r="I299" s="98"/>
      <c r="J299" s="98"/>
      <c r="K299" s="98"/>
      <c r="L299" s="98"/>
      <c r="M299" s="98"/>
      <c r="N299" s="98"/>
      <c r="O299" s="98"/>
      <c r="P299" s="122"/>
      <c r="Q299" s="98"/>
      <c r="R299" s="98"/>
      <c r="S299" s="98"/>
      <c r="T299" s="98"/>
      <c r="U299" s="98"/>
      <c r="V299" s="98"/>
      <c r="W299" s="98"/>
      <c r="X299" s="98"/>
      <c r="Y299" s="98"/>
      <c r="Z299" s="98"/>
      <c r="AA299" s="55"/>
      <c r="AB299" s="55"/>
      <c r="AC299" s="55"/>
      <c r="AD299" s="55"/>
      <c r="AE299" s="55"/>
      <c r="AF299" s="55"/>
      <c r="AG299" s="55"/>
      <c r="AH299" s="55"/>
      <c r="AI299" s="55"/>
      <c r="AJ299" s="55"/>
      <c r="AK299" s="55"/>
      <c r="AL299" s="55"/>
      <c r="AM299" s="55"/>
      <c r="AN299" s="55"/>
      <c r="AO299" s="55"/>
      <c r="AP299" s="55"/>
      <c r="AQ299" s="55"/>
      <c r="AR299" s="55"/>
      <c r="AS299" s="55"/>
      <c r="AT299" s="120"/>
      <c r="AU299" s="55"/>
      <c r="AV299" s="55"/>
      <c r="AW299" s="55"/>
      <c r="AX299" s="55"/>
      <c r="AY299" s="55"/>
      <c r="AZ299" s="55"/>
      <c r="BA299" s="55"/>
      <c r="BB299" s="55"/>
      <c r="BC299" s="55"/>
      <c r="BD299" s="55"/>
      <c r="BE299" s="55"/>
      <c r="BF299" s="55"/>
      <c r="BG299" s="55"/>
      <c r="BH299" s="52"/>
      <c r="BI299" s="55"/>
      <c r="BJ299" s="121"/>
      <c r="BP299" s="31"/>
      <c r="BQ299" s="31"/>
      <c r="BR299" s="31"/>
      <c r="BS299" s="31"/>
      <c r="BT299" s="31"/>
      <c r="BU299" s="31"/>
      <c r="BV299" s="31"/>
      <c r="BW299" s="31"/>
      <c r="BX299" s="31"/>
    </row>
    <row r="300" spans="2:76" outlineLevel="1">
      <c r="B300" s="147"/>
      <c r="C300" s="495">
        <v>5.0999999999999996</v>
      </c>
      <c r="D300" s="544" t="str">
        <f>X!$C$139</f>
        <v>Kälteproduktion Profil</v>
      </c>
      <c r="E300" s="52"/>
      <c r="F300" s="52"/>
      <c r="G300" s="52"/>
      <c r="H300" s="52"/>
      <c r="I300" s="52"/>
      <c r="J300" s="52"/>
      <c r="K300" s="52"/>
      <c r="L300" s="52"/>
      <c r="M300" s="52"/>
      <c r="N300" s="52"/>
      <c r="O300" s="52"/>
      <c r="P300" s="55"/>
      <c r="Q300" s="52"/>
      <c r="R300" s="52"/>
      <c r="S300" s="1449" t="str">
        <f>R122</f>
        <v>Frühling</v>
      </c>
      <c r="T300" s="1449"/>
      <c r="U300" s="1449"/>
      <c r="V300" s="52"/>
      <c r="W300" s="1449" t="str">
        <f>V122</f>
        <v>Sommer</v>
      </c>
      <c r="X300" s="1449"/>
      <c r="Y300" s="1449"/>
      <c r="Z300" s="52"/>
      <c r="AA300" s="1449" t="str">
        <f>Z122</f>
        <v>Herbst</v>
      </c>
      <c r="AB300" s="1449"/>
      <c r="AC300" s="1449"/>
      <c r="AD300" s="52"/>
      <c r="AE300" s="1449" t="str">
        <f>AD122</f>
        <v>Winter</v>
      </c>
      <c r="AF300" s="1449"/>
      <c r="AG300" s="1449"/>
      <c r="AH300" s="52"/>
      <c r="AI300" s="1449" t="str">
        <f>AI122</f>
        <v>Jahr</v>
      </c>
      <c r="AJ300" s="1449"/>
      <c r="AK300" s="1449"/>
      <c r="AL300" s="406"/>
      <c r="AM300" s="406"/>
      <c r="AN300" s="52"/>
      <c r="AO300" s="52"/>
      <c r="AP300" s="52"/>
      <c r="AQ300" s="1449" t="str">
        <f>AQ122</f>
        <v>Frühling</v>
      </c>
      <c r="AR300" s="1449"/>
      <c r="AS300" s="1449"/>
      <c r="AT300" s="52"/>
      <c r="AU300" s="1449" t="str">
        <f>AU122</f>
        <v>Sommer</v>
      </c>
      <c r="AV300" s="1449"/>
      <c r="AW300" s="1449"/>
      <c r="AX300" s="52"/>
      <c r="AY300" s="1449" t="str">
        <f>AY122</f>
        <v>Herbst</v>
      </c>
      <c r="AZ300" s="1449"/>
      <c r="BA300" s="1449"/>
      <c r="BB300" s="52"/>
      <c r="BC300" s="1449" t="str">
        <f>BC122</f>
        <v>Winter</v>
      </c>
      <c r="BD300" s="1449"/>
      <c r="BE300" s="1449"/>
      <c r="BF300" s="52"/>
      <c r="BG300" s="1449" t="str">
        <f>BG122</f>
        <v>Jahr</v>
      </c>
      <c r="BH300" s="1449"/>
      <c r="BI300" s="1449"/>
      <c r="BJ300" s="152"/>
    </row>
    <row r="301" spans="2:76" s="28" customFormat="1" ht="6" customHeight="1" outlineLevel="1">
      <c r="B301" s="117"/>
      <c r="C301" s="474"/>
      <c r="D301" s="98"/>
      <c r="E301" s="98"/>
      <c r="F301" s="98"/>
      <c r="G301" s="98"/>
      <c r="H301" s="98"/>
      <c r="I301" s="98"/>
      <c r="J301" s="98"/>
      <c r="K301" s="98"/>
      <c r="L301" s="98"/>
      <c r="M301" s="98"/>
      <c r="N301" s="98"/>
      <c r="O301" s="98"/>
      <c r="P301" s="122"/>
      <c r="Q301" s="98"/>
      <c r="R301" s="98"/>
      <c r="S301" s="135"/>
      <c r="T301" s="135"/>
      <c r="U301" s="135"/>
      <c r="V301" s="135"/>
      <c r="W301" s="135"/>
      <c r="X301" s="135"/>
      <c r="Y301" s="135"/>
      <c r="Z301" s="135"/>
      <c r="AA301" s="135"/>
      <c r="AB301" s="135"/>
      <c r="AC301" s="135"/>
      <c r="AD301" s="135"/>
      <c r="AE301" s="135"/>
      <c r="AF301" s="135"/>
      <c r="AG301" s="135"/>
      <c r="AH301" s="135"/>
      <c r="AI301" s="135"/>
      <c r="AJ301" s="135"/>
      <c r="AK301" s="135"/>
      <c r="AL301" s="405"/>
      <c r="AM301" s="405"/>
      <c r="AN301" s="135"/>
      <c r="AO301" s="135"/>
      <c r="AP301" s="135"/>
      <c r="AQ301" s="135"/>
      <c r="AR301" s="135"/>
      <c r="AS301" s="135"/>
      <c r="AT301" s="98"/>
      <c r="AU301" s="98"/>
      <c r="AV301" s="55"/>
      <c r="AW301" s="55"/>
      <c r="AX301" s="55"/>
      <c r="AY301" s="55"/>
      <c r="AZ301" s="55"/>
      <c r="BA301" s="55"/>
      <c r="BB301" s="55"/>
      <c r="BC301" s="55"/>
      <c r="BD301" s="55"/>
      <c r="BE301" s="55"/>
      <c r="BF301" s="55"/>
      <c r="BG301" s="55"/>
      <c r="BH301" s="55"/>
      <c r="BI301" s="55"/>
      <c r="BJ301" s="121"/>
      <c r="BP301" s="31"/>
      <c r="BQ301" s="31"/>
      <c r="BR301" s="31"/>
      <c r="BS301" s="31"/>
      <c r="BT301" s="31"/>
      <c r="BU301" s="31"/>
      <c r="BV301" s="31"/>
      <c r="BW301" s="31"/>
      <c r="BX301" s="31"/>
    </row>
    <row r="302" spans="2:76" s="28" customFormat="1" ht="17.100000000000001" customHeight="1" outlineLevel="1">
      <c r="B302" s="117"/>
      <c r="C302" s="489"/>
      <c r="D302" s="535" t="str">
        <f>X!$C$140</f>
        <v>Kälteleistung</v>
      </c>
      <c r="E302" s="98"/>
      <c r="F302" s="98"/>
      <c r="G302" s="98"/>
      <c r="H302" s="98"/>
      <c r="I302" s="98"/>
      <c r="J302" s="98"/>
      <c r="K302" s="98"/>
      <c r="L302" s="98"/>
      <c r="M302" s="98"/>
      <c r="N302" s="98"/>
      <c r="O302" s="98"/>
      <c r="P302" s="122" t="s">
        <v>106</v>
      </c>
      <c r="Q302" s="98"/>
      <c r="R302" s="98"/>
      <c r="S302" s="1458">
        <f>S160</f>
        <v>0</v>
      </c>
      <c r="T302" s="1458"/>
      <c r="U302" s="1458"/>
      <c r="V302" s="174"/>
      <c r="W302" s="1458">
        <f>W160</f>
        <v>0</v>
      </c>
      <c r="X302" s="1458"/>
      <c r="Y302" s="1458"/>
      <c r="Z302" s="175"/>
      <c r="AA302" s="1458">
        <f>AA160</f>
        <v>0</v>
      </c>
      <c r="AB302" s="1458"/>
      <c r="AC302" s="1458"/>
      <c r="AD302" s="175"/>
      <c r="AE302" s="1458">
        <f>AE160</f>
        <v>0</v>
      </c>
      <c r="AF302" s="1458"/>
      <c r="AG302" s="1458"/>
      <c r="AH302" s="158"/>
      <c r="AI302" s="1462"/>
      <c r="AJ302" s="1462"/>
      <c r="AK302" s="1462"/>
      <c r="AL302" s="412"/>
      <c r="AM302" s="412"/>
      <c r="AN302" s="135"/>
      <c r="AO302" s="135"/>
      <c r="AP302" s="135"/>
      <c r="AQ302" s="1458">
        <f>AQ160</f>
        <v>0</v>
      </c>
      <c r="AR302" s="1458"/>
      <c r="AS302" s="1458"/>
      <c r="AT302" s="174"/>
      <c r="AU302" s="1458">
        <f>AU160</f>
        <v>0</v>
      </c>
      <c r="AV302" s="1458"/>
      <c r="AW302" s="1458"/>
      <c r="AX302" s="175"/>
      <c r="AY302" s="1458">
        <f>AY160</f>
        <v>0</v>
      </c>
      <c r="AZ302" s="1458"/>
      <c r="BA302" s="1458"/>
      <c r="BB302" s="175"/>
      <c r="BC302" s="1458">
        <f>BC160</f>
        <v>0</v>
      </c>
      <c r="BD302" s="1458"/>
      <c r="BE302" s="1458"/>
      <c r="BF302" s="158"/>
      <c r="BG302" s="1462"/>
      <c r="BH302" s="1462"/>
      <c r="BI302" s="1462"/>
      <c r="BJ302" s="121"/>
      <c r="BP302" s="116"/>
      <c r="BQ302" s="116"/>
      <c r="BR302" s="116"/>
      <c r="BS302" s="116"/>
      <c r="BT302" s="116"/>
      <c r="BU302" s="116"/>
      <c r="BV302" s="116"/>
      <c r="BW302" s="116"/>
      <c r="BX302" s="116"/>
    </row>
    <row r="303" spans="2:76" s="28" customFormat="1" ht="17.100000000000001" customHeight="1" outlineLevel="1">
      <c r="B303" s="117"/>
      <c r="C303" s="489"/>
      <c r="D303" s="535" t="str">
        <f>X!$C$260</f>
        <v>Vollbetriebsstunden pro Tag</v>
      </c>
      <c r="E303" s="98"/>
      <c r="F303" s="98"/>
      <c r="G303" s="98"/>
      <c r="H303" s="98"/>
      <c r="I303" s="98"/>
      <c r="J303" s="98"/>
      <c r="K303" s="98"/>
      <c r="L303" s="98"/>
      <c r="M303" s="98"/>
      <c r="N303" s="98"/>
      <c r="O303" s="98"/>
      <c r="P303" s="122" t="s">
        <v>139</v>
      </c>
      <c r="Q303" s="98"/>
      <c r="R303" s="98"/>
      <c r="S303" s="1458">
        <f>S176</f>
        <v>0</v>
      </c>
      <c r="T303" s="1458"/>
      <c r="U303" s="1458"/>
      <c r="V303" s="174"/>
      <c r="W303" s="1458">
        <f>W176</f>
        <v>0</v>
      </c>
      <c r="X303" s="1458"/>
      <c r="Y303" s="1458"/>
      <c r="Z303" s="175"/>
      <c r="AA303" s="1458">
        <f>AA176</f>
        <v>0</v>
      </c>
      <c r="AB303" s="1458"/>
      <c r="AC303" s="1458"/>
      <c r="AD303" s="175"/>
      <c r="AE303" s="1458">
        <f>AE176</f>
        <v>0</v>
      </c>
      <c r="AF303" s="1458"/>
      <c r="AG303" s="1458"/>
      <c r="AH303" s="158"/>
      <c r="AI303" s="1462">
        <f>AVERAGE(S303:AG303)</f>
        <v>0</v>
      </c>
      <c r="AJ303" s="1462"/>
      <c r="AK303" s="1462"/>
      <c r="AL303" s="412"/>
      <c r="AM303" s="412"/>
      <c r="AN303" s="135"/>
      <c r="AO303" s="135"/>
      <c r="AP303" s="135"/>
      <c r="AQ303" s="1458">
        <f>AQ176</f>
        <v>0</v>
      </c>
      <c r="AR303" s="1458"/>
      <c r="AS303" s="1458"/>
      <c r="AT303" s="174"/>
      <c r="AU303" s="1458">
        <f>AU176</f>
        <v>0</v>
      </c>
      <c r="AV303" s="1458"/>
      <c r="AW303" s="1458"/>
      <c r="AX303" s="175"/>
      <c r="AY303" s="1458">
        <f>AY176</f>
        <v>0</v>
      </c>
      <c r="AZ303" s="1458"/>
      <c r="BA303" s="1458"/>
      <c r="BB303" s="175"/>
      <c r="BC303" s="1458">
        <f>BC176</f>
        <v>0</v>
      </c>
      <c r="BD303" s="1458"/>
      <c r="BE303" s="1458"/>
      <c r="BF303" s="158"/>
      <c r="BG303" s="1462">
        <f>AVERAGE(AQ303:BE303)</f>
        <v>0</v>
      </c>
      <c r="BH303" s="1462"/>
      <c r="BI303" s="1462"/>
      <c r="BJ303" s="121"/>
    </row>
    <row r="304" spans="2:76" s="28" customFormat="1" ht="17.100000000000001" customHeight="1" outlineLevel="1">
      <c r="B304" s="117"/>
      <c r="C304" s="489"/>
      <c r="D304" s="547" t="str">
        <f>X!$C$259</f>
        <v>Vollbetriebsstunden pro Quartal</v>
      </c>
      <c r="E304" s="98"/>
      <c r="F304" s="98"/>
      <c r="G304" s="98"/>
      <c r="H304" s="98"/>
      <c r="I304" s="98"/>
      <c r="J304" s="98"/>
      <c r="K304" s="98"/>
      <c r="L304" s="98"/>
      <c r="M304" s="98"/>
      <c r="N304" s="98"/>
      <c r="O304" s="98"/>
      <c r="P304" s="122" t="s">
        <v>139</v>
      </c>
      <c r="Q304" s="98"/>
      <c r="R304" s="98"/>
      <c r="S304" s="1451">
        <f>S611*S303</f>
        <v>0</v>
      </c>
      <c r="T304" s="1451"/>
      <c r="U304" s="1451"/>
      <c r="V304" s="216"/>
      <c r="W304" s="1451">
        <f>W611*W303</f>
        <v>0</v>
      </c>
      <c r="X304" s="1451"/>
      <c r="Y304" s="1451"/>
      <c r="Z304" s="217"/>
      <c r="AA304" s="1451">
        <f>AA611*AA303</f>
        <v>0</v>
      </c>
      <c r="AB304" s="1451"/>
      <c r="AC304" s="1451"/>
      <c r="AD304" s="217"/>
      <c r="AE304" s="1451">
        <f>AE611*AE303</f>
        <v>0</v>
      </c>
      <c r="AF304" s="1451"/>
      <c r="AG304" s="1451"/>
      <c r="AH304" s="218"/>
      <c r="AI304" s="1514">
        <f>SUM(S304:AG304)</f>
        <v>0</v>
      </c>
      <c r="AJ304" s="1514"/>
      <c r="AK304" s="1514"/>
      <c r="AL304" s="416"/>
      <c r="AM304" s="416"/>
      <c r="AN304" s="135"/>
      <c r="AO304" s="135"/>
      <c r="AP304" s="135"/>
      <c r="AQ304" s="1451">
        <f>AQ611*AQ303</f>
        <v>0</v>
      </c>
      <c r="AR304" s="1451"/>
      <c r="AS304" s="1451"/>
      <c r="AT304" s="216"/>
      <c r="AU304" s="1451">
        <f>AU611*AU303</f>
        <v>0</v>
      </c>
      <c r="AV304" s="1451"/>
      <c r="AW304" s="1451"/>
      <c r="AX304" s="217"/>
      <c r="AY304" s="1451">
        <f>AY611*AY303</f>
        <v>0</v>
      </c>
      <c r="AZ304" s="1451"/>
      <c r="BA304" s="1451"/>
      <c r="BB304" s="217"/>
      <c r="BC304" s="1451">
        <f>BC611*BC303</f>
        <v>0</v>
      </c>
      <c r="BD304" s="1451"/>
      <c r="BE304" s="1451"/>
      <c r="BF304" s="218"/>
      <c r="BG304" s="1514">
        <f>SUM(AQ304:BE304)</f>
        <v>0</v>
      </c>
      <c r="BH304" s="1514"/>
      <c r="BI304" s="1514"/>
      <c r="BJ304" s="121"/>
      <c r="BP304" s="139"/>
      <c r="BQ304" s="139"/>
      <c r="BR304" s="139"/>
      <c r="BS304" s="139"/>
      <c r="BT304" s="139"/>
      <c r="BU304" s="139"/>
      <c r="BV304" s="139"/>
      <c r="BW304" s="139"/>
      <c r="BX304" s="139"/>
    </row>
    <row r="305" spans="2:76" s="155" customFormat="1" ht="17.100000000000001" customHeight="1" outlineLevel="1">
      <c r="B305" s="154"/>
      <c r="C305" s="491"/>
      <c r="D305" s="1036" t="str">
        <f>X!C344</f>
        <v>Kältebedarf</v>
      </c>
      <c r="E305" s="666"/>
      <c r="F305" s="194"/>
      <c r="G305" s="194"/>
      <c r="H305" s="194"/>
      <c r="I305" s="194"/>
      <c r="J305" s="194"/>
      <c r="K305" s="194"/>
      <c r="L305" s="194"/>
      <c r="M305" s="194"/>
      <c r="N305" s="194"/>
      <c r="O305" s="194"/>
      <c r="P305" s="195" t="s">
        <v>199</v>
      </c>
      <c r="Q305" s="194"/>
      <c r="R305" s="1534">
        <f>IF(S302*S304&gt;10000,ROUND(S302*S304,-3),ROUND(S302*S304,-2))</f>
        <v>0</v>
      </c>
      <c r="S305" s="1534"/>
      <c r="T305" s="1534"/>
      <c r="U305" s="1534"/>
      <c r="V305" s="1534">
        <f>IF(W302*W304&gt;10000,ROUND(W302*W304,-3),ROUND(W302*W304,-2))</f>
        <v>0</v>
      </c>
      <c r="W305" s="1534"/>
      <c r="X305" s="1534"/>
      <c r="Y305" s="1534"/>
      <c r="Z305" s="1534">
        <f>IF(AA302*AA304&gt;10000,ROUND(AA302*AA304,-3),ROUND(AA302*AA304,-2))</f>
        <v>0</v>
      </c>
      <c r="AA305" s="1534"/>
      <c r="AB305" s="1534"/>
      <c r="AC305" s="1534"/>
      <c r="AD305" s="1534">
        <f>IF(AE302*AE304&gt;10000,ROUND(AE302*AE304,-3),ROUND(AE302*AE304,-2))</f>
        <v>0</v>
      </c>
      <c r="AE305" s="1534"/>
      <c r="AF305" s="1534"/>
      <c r="AG305" s="1534"/>
      <c r="AH305" s="1534">
        <f>SUM(R305:AG305)</f>
        <v>0</v>
      </c>
      <c r="AI305" s="1534"/>
      <c r="AJ305" s="1534"/>
      <c r="AK305" s="1534"/>
      <c r="AL305" s="408"/>
      <c r="AM305" s="597"/>
      <c r="AN305" s="594"/>
      <c r="AO305" s="594"/>
      <c r="AP305" s="1535">
        <f>IF(AQ302*AQ304&gt;10000,ROUND(AQ302*AQ304,-3),ROUND(AQ302*AQ304,-2))</f>
        <v>0</v>
      </c>
      <c r="AQ305" s="1535"/>
      <c r="AR305" s="1535"/>
      <c r="AS305" s="1535"/>
      <c r="AT305" s="1535">
        <f>IF(AU302*AU304&gt;10000,ROUND(AU302*AU304,-3),ROUND(AU302*AU304,-2))</f>
        <v>0</v>
      </c>
      <c r="AU305" s="1535"/>
      <c r="AV305" s="1535"/>
      <c r="AW305" s="1535"/>
      <c r="AX305" s="1535">
        <f>IF(AY302*AY304&gt;10000,ROUND(AY302*AY304,-3),ROUND(AY302*AY304,-2))</f>
        <v>0</v>
      </c>
      <c r="AY305" s="1535"/>
      <c r="AZ305" s="1535"/>
      <c r="BA305" s="1535"/>
      <c r="BB305" s="1535">
        <f>IF(BC302*BC304&gt;10000,ROUND(BC302*BC304,-3),ROUND(BC302*BC304,-2))</f>
        <v>0</v>
      </c>
      <c r="BC305" s="1535"/>
      <c r="BD305" s="1535"/>
      <c r="BE305" s="1535"/>
      <c r="BF305" s="1535">
        <f>SUM(AP305:BE305)</f>
        <v>0</v>
      </c>
      <c r="BG305" s="1535"/>
      <c r="BH305" s="1535"/>
      <c r="BI305" s="1535"/>
      <c r="BJ305" s="157"/>
      <c r="BL305" s="28"/>
      <c r="BP305" s="28"/>
      <c r="BQ305" s="28"/>
      <c r="BR305" s="28"/>
      <c r="BS305" s="28"/>
      <c r="BT305" s="28"/>
      <c r="BU305" s="28"/>
      <c r="BV305" s="28"/>
      <c r="BW305" s="28"/>
      <c r="BX305" s="28"/>
    </row>
    <row r="306" spans="2:76" s="732" customFormat="1" ht="17.100000000000001" customHeight="1" outlineLevel="1">
      <c r="B306" s="724"/>
      <c r="C306" s="725"/>
      <c r="D306" s="726"/>
      <c r="E306" s="759" t="str">
        <f>X!C345</f>
        <v>mit Free-Cooling</v>
      </c>
      <c r="F306" s="727"/>
      <c r="G306" s="727"/>
      <c r="H306" s="727"/>
      <c r="I306" s="727"/>
      <c r="J306" s="727"/>
      <c r="K306" s="727"/>
      <c r="L306" s="727"/>
      <c r="M306" s="727"/>
      <c r="N306" s="727"/>
      <c r="O306" s="727"/>
      <c r="P306" s="728" t="s">
        <v>199</v>
      </c>
      <c r="Q306" s="727"/>
      <c r="R306" s="1461"/>
      <c r="S306" s="1461"/>
      <c r="T306" s="1461"/>
      <c r="U306" s="1461"/>
      <c r="V306" s="1461"/>
      <c r="W306" s="1461"/>
      <c r="X306" s="1461"/>
      <c r="Y306" s="1461"/>
      <c r="Z306" s="1461"/>
      <c r="AA306" s="1461"/>
      <c r="AB306" s="1461"/>
      <c r="AC306" s="1461"/>
      <c r="AD306" s="1461"/>
      <c r="AE306" s="1461"/>
      <c r="AF306" s="1461"/>
      <c r="AG306" s="1461"/>
      <c r="AH306" s="1674">
        <f>S774</f>
        <v>0</v>
      </c>
      <c r="AI306" s="1674"/>
      <c r="AJ306" s="1674"/>
      <c r="AK306" s="1674"/>
      <c r="AL306" s="729"/>
      <c r="AM306" s="729"/>
      <c r="AN306" s="730"/>
      <c r="AO306" s="730"/>
      <c r="AP306" s="1461"/>
      <c r="AQ306" s="1461"/>
      <c r="AR306" s="1461"/>
      <c r="AS306" s="1461"/>
      <c r="AT306" s="1461"/>
      <c r="AU306" s="1461"/>
      <c r="AV306" s="1461"/>
      <c r="AW306" s="1461"/>
      <c r="AX306" s="1461"/>
      <c r="AY306" s="1461"/>
      <c r="AZ306" s="1461"/>
      <c r="BA306" s="1461"/>
      <c r="BB306" s="1461"/>
      <c r="BC306" s="1461"/>
      <c r="BD306" s="1461"/>
      <c r="BE306" s="1461"/>
      <c r="BF306" s="1674">
        <f>AQ774</f>
        <v>0</v>
      </c>
      <c r="BG306" s="1674"/>
      <c r="BH306" s="1674"/>
      <c r="BI306" s="1674"/>
      <c r="BJ306" s="731"/>
      <c r="BL306" s="28"/>
      <c r="BP306" s="220"/>
      <c r="BQ306" s="220"/>
      <c r="BR306" s="220"/>
      <c r="BS306" s="220"/>
      <c r="BT306" s="220"/>
      <c r="BU306" s="220"/>
      <c r="BV306" s="220"/>
      <c r="BW306" s="220"/>
      <c r="BX306" s="220"/>
    </row>
    <row r="307" spans="2:76" s="732" customFormat="1" ht="17.100000000000001" customHeight="1" outlineLevel="1">
      <c r="B307" s="724"/>
      <c r="C307" s="725"/>
      <c r="E307" s="959" t="str">
        <f>X!$C$159</f>
        <v>mit Kältemaschine</v>
      </c>
      <c r="F307" s="727"/>
      <c r="G307" s="727"/>
      <c r="H307" s="727"/>
      <c r="I307" s="727"/>
      <c r="J307" s="727"/>
      <c r="K307" s="727"/>
      <c r="L307" s="727"/>
      <c r="M307" s="727"/>
      <c r="N307" s="727"/>
      <c r="O307" s="727"/>
      <c r="P307" s="728" t="s">
        <v>199</v>
      </c>
      <c r="Q307" s="727"/>
      <c r="R307" s="1461"/>
      <c r="S307" s="1461"/>
      <c r="T307" s="1461"/>
      <c r="U307" s="1461"/>
      <c r="V307" s="1461"/>
      <c r="W307" s="1461"/>
      <c r="X307" s="1461"/>
      <c r="Y307" s="1461"/>
      <c r="Z307" s="1461"/>
      <c r="AA307" s="1461"/>
      <c r="AB307" s="1461"/>
      <c r="AC307" s="1461"/>
      <c r="AD307" s="1461"/>
      <c r="AE307" s="1461"/>
      <c r="AF307" s="1461"/>
      <c r="AG307" s="1461"/>
      <c r="AH307" s="1536">
        <f>AH305-AH306</f>
        <v>0</v>
      </c>
      <c r="AI307" s="1536"/>
      <c r="AJ307" s="1536"/>
      <c r="AK307" s="1536"/>
      <c r="AL307" s="729"/>
      <c r="AM307" s="729"/>
      <c r="AN307" s="730"/>
      <c r="AO307" s="730"/>
      <c r="AP307" s="1461"/>
      <c r="AQ307" s="1461"/>
      <c r="AR307" s="1461"/>
      <c r="AS307" s="1461"/>
      <c r="AT307" s="1461"/>
      <c r="AU307" s="1461"/>
      <c r="AV307" s="1461"/>
      <c r="AW307" s="1461"/>
      <c r="AX307" s="1461"/>
      <c r="AY307" s="1461"/>
      <c r="AZ307" s="1461"/>
      <c r="BA307" s="1461"/>
      <c r="BB307" s="1461"/>
      <c r="BC307" s="1461"/>
      <c r="BD307" s="1461"/>
      <c r="BE307" s="1461"/>
      <c r="BF307" s="1587">
        <f>BF305-BF306</f>
        <v>0</v>
      </c>
      <c r="BG307" s="1587"/>
      <c r="BH307" s="1587"/>
      <c r="BI307" s="1587"/>
      <c r="BJ307" s="731"/>
      <c r="BL307" s="28"/>
      <c r="BP307" s="220"/>
      <c r="BQ307" s="220"/>
      <c r="BR307" s="220"/>
      <c r="BS307" s="220"/>
      <c r="BT307" s="220"/>
      <c r="BU307" s="220"/>
      <c r="BV307" s="220"/>
      <c r="BW307" s="220"/>
      <c r="BX307" s="220"/>
    </row>
    <row r="308" spans="2:76" outlineLevel="1">
      <c r="B308" s="147"/>
      <c r="C308" s="477"/>
      <c r="D308" s="52"/>
      <c r="E308" s="52"/>
      <c r="F308" s="52"/>
      <c r="G308" s="52"/>
      <c r="H308" s="52"/>
      <c r="I308" s="52"/>
      <c r="J308" s="52"/>
      <c r="K308" s="52"/>
      <c r="L308" s="52"/>
      <c r="M308" s="52"/>
      <c r="N308" s="52"/>
      <c r="O308" s="52"/>
      <c r="P308" s="55"/>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152"/>
      <c r="BL308" s="28"/>
      <c r="BP308" s="28"/>
      <c r="BQ308" s="28"/>
      <c r="BR308" s="28"/>
      <c r="BS308" s="28"/>
      <c r="BT308" s="28"/>
      <c r="BU308" s="28"/>
      <c r="BV308" s="28"/>
      <c r="BW308" s="28"/>
      <c r="BX308" s="28"/>
    </row>
    <row r="309" spans="2:76" outlineLevel="1">
      <c r="B309" s="147"/>
      <c r="C309" s="495">
        <v>5.2</v>
      </c>
      <c r="D309" s="544" t="str">
        <f>X!$C$101</f>
        <v>Energieverbrauch Verdichter</v>
      </c>
      <c r="E309" s="52"/>
      <c r="F309" s="52"/>
      <c r="G309" s="52"/>
      <c r="H309" s="52"/>
      <c r="I309" s="52"/>
      <c r="J309" s="52"/>
      <c r="K309" s="52"/>
      <c r="L309" s="52"/>
      <c r="M309" s="52"/>
      <c r="N309" s="52"/>
      <c r="O309" s="52"/>
      <c r="P309" s="55"/>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152"/>
      <c r="BL309" s="28"/>
      <c r="BP309" s="28"/>
      <c r="BQ309" s="28"/>
      <c r="BR309" s="28"/>
      <c r="BS309" s="28"/>
      <c r="BT309" s="28"/>
      <c r="BU309" s="28"/>
      <c r="BV309" s="28"/>
      <c r="BW309" s="28"/>
      <c r="BX309" s="28"/>
    </row>
    <row r="310" spans="2:76" s="28" customFormat="1" ht="6" customHeight="1" outlineLevel="1">
      <c r="B310" s="117"/>
      <c r="C310" s="474"/>
      <c r="D310" s="98"/>
      <c r="E310" s="98"/>
      <c r="F310" s="98"/>
      <c r="G310" s="98"/>
      <c r="H310" s="98"/>
      <c r="I310" s="98"/>
      <c r="J310" s="98"/>
      <c r="K310" s="98"/>
      <c r="L310" s="98"/>
      <c r="M310" s="98"/>
      <c r="N310" s="98"/>
      <c r="O310" s="98"/>
      <c r="P310" s="122"/>
      <c r="Q310" s="98"/>
      <c r="R310" s="98"/>
      <c r="S310" s="135"/>
      <c r="T310" s="135"/>
      <c r="U310" s="135"/>
      <c r="V310" s="135"/>
      <c r="W310" s="135"/>
      <c r="X310" s="135"/>
      <c r="Y310" s="135"/>
      <c r="Z310" s="135"/>
      <c r="AA310" s="135"/>
      <c r="AB310" s="135"/>
      <c r="AC310" s="135"/>
      <c r="AD310" s="135"/>
      <c r="AE310" s="135"/>
      <c r="AF310" s="135"/>
      <c r="AG310" s="135"/>
      <c r="AH310" s="135"/>
      <c r="AI310" s="135"/>
      <c r="AJ310" s="135"/>
      <c r="AK310" s="135"/>
      <c r="AL310" s="405"/>
      <c r="AM310" s="405"/>
      <c r="AN310" s="135"/>
      <c r="AO310" s="135"/>
      <c r="AP310" s="135"/>
      <c r="AQ310" s="135"/>
      <c r="AR310" s="135"/>
      <c r="AS310" s="135"/>
      <c r="AT310" s="98"/>
      <c r="AU310" s="52"/>
      <c r="AV310" s="52"/>
      <c r="AW310" s="52"/>
      <c r="AX310" s="52"/>
      <c r="AY310" s="52"/>
      <c r="AZ310" s="52"/>
      <c r="BA310" s="52"/>
      <c r="BB310" s="52"/>
      <c r="BC310" s="55"/>
      <c r="BD310" s="55"/>
      <c r="BE310" s="55"/>
      <c r="BF310" s="55"/>
      <c r="BG310" s="55"/>
      <c r="BH310" s="55"/>
      <c r="BI310" s="55"/>
      <c r="BJ310" s="121"/>
    </row>
    <row r="311" spans="2:76" s="1267" customFormat="1" ht="17.100000000000001" hidden="1" customHeight="1" outlineLevel="2">
      <c r="B311" s="1256"/>
      <c r="C311" s="1257"/>
      <c r="D311" s="1258" t="str">
        <f>X!$C$180</f>
        <v>mittlere Kälteleistung Verdichter</v>
      </c>
      <c r="E311" s="1259"/>
      <c r="F311" s="1259"/>
      <c r="G311" s="1259"/>
      <c r="H311" s="1259"/>
      <c r="I311" s="1259"/>
      <c r="J311" s="1259"/>
      <c r="K311" s="1259"/>
      <c r="L311" s="1259"/>
      <c r="M311" s="1259"/>
      <c r="N311" s="1259"/>
      <c r="O311" s="1259"/>
      <c r="P311" s="1260" t="s">
        <v>106</v>
      </c>
      <c r="Q311" s="1259"/>
      <c r="R311" s="1259"/>
      <c r="S311" s="1513">
        <f>S160</f>
        <v>0</v>
      </c>
      <c r="T311" s="1513"/>
      <c r="U311" s="1513"/>
      <c r="V311" s="1261"/>
      <c r="W311" s="1513">
        <f>W160</f>
        <v>0</v>
      </c>
      <c r="X311" s="1513"/>
      <c r="Y311" s="1513"/>
      <c r="Z311" s="1262"/>
      <c r="AA311" s="1513">
        <f>AA160</f>
        <v>0</v>
      </c>
      <c r="AB311" s="1513"/>
      <c r="AC311" s="1513"/>
      <c r="AD311" s="1262"/>
      <c r="AE311" s="1513">
        <f>AE160</f>
        <v>0</v>
      </c>
      <c r="AF311" s="1513"/>
      <c r="AG311" s="1513"/>
      <c r="AH311" s="1263"/>
      <c r="AI311" s="1588">
        <f>AVERAGE(S311:AG311)</f>
        <v>0</v>
      </c>
      <c r="AJ311" s="1588"/>
      <c r="AK311" s="1588"/>
      <c r="AL311" s="1264"/>
      <c r="AM311" s="1264"/>
      <c r="AN311" s="1265"/>
      <c r="AO311" s="1265"/>
      <c r="AP311" s="1265"/>
      <c r="AQ311" s="1513">
        <f>AQ160</f>
        <v>0</v>
      </c>
      <c r="AR311" s="1513"/>
      <c r="AS311" s="1513"/>
      <c r="AT311" s="1261"/>
      <c r="AU311" s="1513">
        <f>AU160</f>
        <v>0</v>
      </c>
      <c r="AV311" s="1513"/>
      <c r="AW311" s="1513"/>
      <c r="AX311" s="1262"/>
      <c r="AY311" s="1513">
        <f>AY160</f>
        <v>0</v>
      </c>
      <c r="AZ311" s="1513"/>
      <c r="BA311" s="1513"/>
      <c r="BB311" s="1262"/>
      <c r="BC311" s="1513">
        <f>BC160</f>
        <v>0</v>
      </c>
      <c r="BD311" s="1513"/>
      <c r="BE311" s="1513"/>
      <c r="BF311" s="1263"/>
      <c r="BG311" s="1588">
        <f>AVERAGE(AQ311:BE311)</f>
        <v>0</v>
      </c>
      <c r="BH311" s="1588"/>
      <c r="BI311" s="1588"/>
      <c r="BJ311" s="1266"/>
      <c r="BV311" s="1268" t="s">
        <v>1086</v>
      </c>
    </row>
    <row r="312" spans="2:76" s="28" customFormat="1" ht="17.100000000000001" customHeight="1" outlineLevel="1" collapsed="1">
      <c r="B312" s="117"/>
      <c r="C312" s="489"/>
      <c r="D312" s="547" t="str">
        <f>D304</f>
        <v>Vollbetriebsstunden pro Quartal</v>
      </c>
      <c r="E312" s="98"/>
      <c r="F312" s="98"/>
      <c r="G312" s="98"/>
      <c r="H312" s="98"/>
      <c r="I312" s="98"/>
      <c r="J312" s="98"/>
      <c r="K312" s="98"/>
      <c r="L312" s="98"/>
      <c r="M312" s="98"/>
      <c r="N312" s="98"/>
      <c r="O312" s="98"/>
      <c r="P312" s="122" t="s">
        <v>139</v>
      </c>
      <c r="Q312" s="98"/>
      <c r="R312" s="98"/>
      <c r="S312" s="1451">
        <f>S304</f>
        <v>0</v>
      </c>
      <c r="T312" s="1451"/>
      <c r="U312" s="1451"/>
      <c r="V312" s="216"/>
      <c r="W312" s="1451">
        <f>W304</f>
        <v>0</v>
      </c>
      <c r="X312" s="1451"/>
      <c r="Y312" s="1451"/>
      <c r="Z312" s="217"/>
      <c r="AA312" s="1451">
        <f>AA304</f>
        <v>0</v>
      </c>
      <c r="AB312" s="1451"/>
      <c r="AC312" s="1451"/>
      <c r="AD312" s="217"/>
      <c r="AE312" s="1451">
        <f>AE304</f>
        <v>0</v>
      </c>
      <c r="AF312" s="1451"/>
      <c r="AG312" s="1451"/>
      <c r="AH312" s="218"/>
      <c r="AI312" s="1514">
        <f>SUM(S312:AG312)</f>
        <v>0</v>
      </c>
      <c r="AJ312" s="1514"/>
      <c r="AK312" s="1514"/>
      <c r="AL312" s="416"/>
      <c r="AM312" s="416"/>
      <c r="AN312" s="218"/>
      <c r="AO312" s="218"/>
      <c r="AP312" s="218"/>
      <c r="AQ312" s="1451">
        <f>AQ304</f>
        <v>0</v>
      </c>
      <c r="AR312" s="1451"/>
      <c r="AS312" s="1451"/>
      <c r="AT312" s="216"/>
      <c r="AU312" s="1451">
        <f>AU304</f>
        <v>0</v>
      </c>
      <c r="AV312" s="1451"/>
      <c r="AW312" s="1451"/>
      <c r="AX312" s="217"/>
      <c r="AY312" s="1451">
        <f>AY304</f>
        <v>0</v>
      </c>
      <c r="AZ312" s="1451"/>
      <c r="BA312" s="1451"/>
      <c r="BB312" s="217"/>
      <c r="BC312" s="1451">
        <f>BC304</f>
        <v>0</v>
      </c>
      <c r="BD312" s="1451"/>
      <c r="BE312" s="1451"/>
      <c r="BF312" s="218"/>
      <c r="BG312" s="1514">
        <f>SUM(AQ312:BE312)</f>
        <v>0</v>
      </c>
      <c r="BH312" s="1514"/>
      <c r="BI312" s="1514"/>
      <c r="BJ312" s="121"/>
    </row>
    <row r="313" spans="2:76" s="28" customFormat="1" ht="17.100000000000001" customHeight="1" outlineLevel="1">
      <c r="B313" s="117"/>
      <c r="C313" s="489"/>
      <c r="D313" s="98"/>
      <c r="E313" s="98"/>
      <c r="F313" s="98"/>
      <c r="G313" s="98"/>
      <c r="H313" s="98"/>
      <c r="I313" s="98"/>
      <c r="J313" s="98"/>
      <c r="K313" s="98"/>
      <c r="L313" s="98"/>
      <c r="M313" s="98"/>
      <c r="N313" s="98"/>
      <c r="O313" s="98"/>
      <c r="P313" s="122"/>
      <c r="Q313" s="98"/>
      <c r="R313" s="98"/>
      <c r="S313" s="174"/>
      <c r="T313" s="174"/>
      <c r="U313" s="174"/>
      <c r="V313" s="174"/>
      <c r="W313" s="174"/>
      <c r="X313" s="174"/>
      <c r="Y313" s="174"/>
      <c r="Z313" s="175"/>
      <c r="AA313" s="174"/>
      <c r="AB313" s="174"/>
      <c r="AC313" s="174"/>
      <c r="AD313" s="175"/>
      <c r="AE313" s="174"/>
      <c r="AF313" s="174"/>
      <c r="AG313" s="174"/>
      <c r="AH313" s="158"/>
      <c r="AI313" s="191"/>
      <c r="AJ313" s="191"/>
      <c r="AK313" s="191"/>
      <c r="AL313" s="412"/>
      <c r="AM313" s="412"/>
      <c r="AN313" s="135"/>
      <c r="AO313" s="135"/>
      <c r="AP313" s="135"/>
      <c r="AQ313" s="174"/>
      <c r="AR313" s="174"/>
      <c r="AS313" s="174"/>
      <c r="AT313" s="174"/>
      <c r="AU313" s="174"/>
      <c r="AV313" s="174"/>
      <c r="AW313" s="174"/>
      <c r="AX313" s="175"/>
      <c r="AY313" s="174"/>
      <c r="AZ313" s="174"/>
      <c r="BA313" s="174"/>
      <c r="BB313" s="175"/>
      <c r="BC313" s="174"/>
      <c r="BD313" s="174"/>
      <c r="BE313" s="174"/>
      <c r="BF313" s="158"/>
      <c r="BG313" s="191"/>
      <c r="BH313" s="191"/>
      <c r="BI313" s="191"/>
      <c r="BJ313" s="121"/>
    </row>
    <row r="314" spans="2:76" s="28" customFormat="1" ht="17.100000000000001" customHeight="1" outlineLevel="1">
      <c r="B314" s="117"/>
      <c r="C314" s="489"/>
      <c r="D314" s="535" t="str">
        <f>X!$C$89</f>
        <v>elektrische Leistungsaufnahme</v>
      </c>
      <c r="E314" s="98"/>
      <c r="F314" s="98"/>
      <c r="G314" s="98"/>
      <c r="H314" s="98"/>
      <c r="I314" s="98"/>
      <c r="J314" s="98"/>
      <c r="K314" s="98"/>
      <c r="L314" s="98"/>
      <c r="M314" s="98"/>
      <c r="N314" s="98"/>
      <c r="O314" s="98"/>
      <c r="P314" s="122" t="s">
        <v>106</v>
      </c>
      <c r="Q314" s="98"/>
      <c r="R314" s="98"/>
      <c r="S314" s="1505">
        <f>S148</f>
        <v>0</v>
      </c>
      <c r="T314" s="1505"/>
      <c r="U314" s="1505"/>
      <c r="V314" s="135"/>
      <c r="W314" s="1505">
        <f>W148</f>
        <v>0</v>
      </c>
      <c r="X314" s="1505"/>
      <c r="Y314" s="1505"/>
      <c r="Z314" s="52"/>
      <c r="AA314" s="1505">
        <f>AA148</f>
        <v>0</v>
      </c>
      <c r="AB314" s="1505"/>
      <c r="AC314" s="1505"/>
      <c r="AD314" s="52"/>
      <c r="AE314" s="1505">
        <f>AE148</f>
        <v>0</v>
      </c>
      <c r="AF314" s="1505"/>
      <c r="AG314" s="1505"/>
      <c r="AH314" s="135"/>
      <c r="AI314" s="135"/>
      <c r="AJ314" s="135"/>
      <c r="AK314" s="135"/>
      <c r="AL314" s="405"/>
      <c r="AM314" s="405"/>
      <c r="AN314" s="135"/>
      <c r="AO314" s="135"/>
      <c r="AP314" s="135"/>
      <c r="AQ314" s="1505">
        <f>AQ148</f>
        <v>0</v>
      </c>
      <c r="AR314" s="1505"/>
      <c r="AS314" s="1505"/>
      <c r="AT314" s="135"/>
      <c r="AU314" s="1505">
        <f>AU148</f>
        <v>0</v>
      </c>
      <c r="AV314" s="1505"/>
      <c r="AW314" s="1505"/>
      <c r="AX314" s="52"/>
      <c r="AY314" s="1505">
        <f>AY148</f>
        <v>0</v>
      </c>
      <c r="AZ314" s="1505"/>
      <c r="BA314" s="1505"/>
      <c r="BB314" s="52"/>
      <c r="BC314" s="1505">
        <f>BC148</f>
        <v>0</v>
      </c>
      <c r="BD314" s="1505"/>
      <c r="BE314" s="1505"/>
      <c r="BF314" s="135"/>
      <c r="BG314" s="135"/>
      <c r="BH314" s="135"/>
      <c r="BI314" s="135"/>
      <c r="BJ314" s="121"/>
      <c r="BP314" s="31"/>
      <c r="BQ314" s="31"/>
      <c r="BR314" s="31"/>
      <c r="BS314" s="31"/>
      <c r="BT314" s="31"/>
      <c r="BU314" s="31"/>
      <c r="BV314" s="31"/>
      <c r="BW314" s="31"/>
      <c r="BX314" s="31"/>
    </row>
    <row r="315" spans="2:76" s="220" customFormat="1" ht="17.100000000000001" customHeight="1" outlineLevel="1">
      <c r="B315" s="219"/>
      <c r="C315" s="512"/>
      <c r="D315" s="547" t="str">
        <f>X!$C$245</f>
        <v>Verbesserung im Teillastbetrieb</v>
      </c>
      <c r="E315" s="170"/>
      <c r="F315" s="170"/>
      <c r="G315" s="170"/>
      <c r="H315" s="170"/>
      <c r="I315" s="170"/>
      <c r="J315" s="170"/>
      <c r="K315" s="170"/>
      <c r="L315" s="170"/>
      <c r="M315" s="170"/>
      <c r="N315" s="170"/>
      <c r="O315" s="170"/>
      <c r="P315" s="171" t="s">
        <v>30</v>
      </c>
      <c r="Q315" s="170"/>
      <c r="R315" s="170"/>
      <c r="S315" s="1504">
        <f>AI652</f>
        <v>0</v>
      </c>
      <c r="T315" s="1504"/>
      <c r="U315" s="1504"/>
      <c r="V315" s="221"/>
      <c r="W315" s="1504">
        <f>S315</f>
        <v>0</v>
      </c>
      <c r="X315" s="1504"/>
      <c r="Y315" s="1504"/>
      <c r="Z315" s="86"/>
      <c r="AA315" s="1504">
        <f>W315</f>
        <v>0</v>
      </c>
      <c r="AB315" s="1504"/>
      <c r="AC315" s="1504"/>
      <c r="AD315" s="86"/>
      <c r="AE315" s="1504">
        <f>AA315</f>
        <v>0</v>
      </c>
      <c r="AF315" s="1504"/>
      <c r="AG315" s="1504"/>
      <c r="AH315" s="221"/>
      <c r="AI315" s="221"/>
      <c r="AJ315" s="221"/>
      <c r="AK315" s="221"/>
      <c r="AL315" s="418"/>
      <c r="AM315" s="418"/>
      <c r="AN315" s="221"/>
      <c r="AO315" s="221"/>
      <c r="AP315" s="221"/>
      <c r="AQ315" s="1504">
        <f>BG652</f>
        <v>0</v>
      </c>
      <c r="AR315" s="1504"/>
      <c r="AS315" s="1504"/>
      <c r="AT315" s="221"/>
      <c r="AU315" s="1504">
        <f>AQ315</f>
        <v>0</v>
      </c>
      <c r="AV315" s="1504"/>
      <c r="AW315" s="1504"/>
      <c r="AX315" s="86"/>
      <c r="AY315" s="1504">
        <f>AU315</f>
        <v>0</v>
      </c>
      <c r="AZ315" s="1504"/>
      <c r="BA315" s="1504"/>
      <c r="BB315" s="86"/>
      <c r="BC315" s="1504">
        <f>AY315</f>
        <v>0</v>
      </c>
      <c r="BD315" s="1504"/>
      <c r="BE315" s="1504"/>
      <c r="BF315" s="221"/>
      <c r="BG315" s="221"/>
      <c r="BH315" s="221"/>
      <c r="BI315" s="221"/>
      <c r="BJ315" s="222"/>
      <c r="BP315" s="31"/>
      <c r="BQ315" s="31"/>
      <c r="BR315" s="31"/>
      <c r="BS315" s="31"/>
      <c r="BT315" s="31"/>
      <c r="BU315" s="31"/>
      <c r="BV315" s="31"/>
      <c r="BW315" s="31"/>
      <c r="BX315" s="31"/>
    </row>
    <row r="316" spans="2:76" s="28" customFormat="1" ht="17.100000000000001" customHeight="1" outlineLevel="1">
      <c r="B316" s="117"/>
      <c r="C316" s="489"/>
      <c r="D316" s="535" t="str">
        <f>X!$C$41</f>
        <v>Beaufschlagung Steuerung</v>
      </c>
      <c r="E316" s="98"/>
      <c r="F316" s="98"/>
      <c r="G316" s="98"/>
      <c r="H316" s="98"/>
      <c r="I316" s="98"/>
      <c r="J316" s="98"/>
      <c r="K316" s="98"/>
      <c r="L316" s="98"/>
      <c r="M316" s="98"/>
      <c r="N316" s="98"/>
      <c r="O316" s="98"/>
      <c r="P316" s="122" t="s">
        <v>30</v>
      </c>
      <c r="Q316" s="98"/>
      <c r="R316" s="98"/>
      <c r="S316" s="1533">
        <f>AI632</f>
        <v>0.25</v>
      </c>
      <c r="T316" s="1533"/>
      <c r="U316" s="1533"/>
      <c r="V316" s="135"/>
      <c r="W316" s="1533">
        <f>S316</f>
        <v>0.25</v>
      </c>
      <c r="X316" s="1533"/>
      <c r="Y316" s="1533"/>
      <c r="Z316" s="52"/>
      <c r="AA316" s="1533">
        <f>W316</f>
        <v>0.25</v>
      </c>
      <c r="AB316" s="1533"/>
      <c r="AC316" s="1533"/>
      <c r="AD316" s="52"/>
      <c r="AE316" s="1533">
        <f>AA316</f>
        <v>0.25</v>
      </c>
      <c r="AF316" s="1533"/>
      <c r="AG316" s="1533"/>
      <c r="AH316" s="135"/>
      <c r="AI316" s="135"/>
      <c r="AJ316" s="135"/>
      <c r="AK316" s="135"/>
      <c r="AL316" s="405"/>
      <c r="AM316" s="405"/>
      <c r="AN316" s="135"/>
      <c r="AO316" s="135"/>
      <c r="AP316" s="135"/>
      <c r="AQ316" s="1533">
        <f>BG632</f>
        <v>0.25</v>
      </c>
      <c r="AR316" s="1533"/>
      <c r="AS316" s="1533"/>
      <c r="AT316" s="135"/>
      <c r="AU316" s="1533">
        <f>AQ316</f>
        <v>0.25</v>
      </c>
      <c r="AV316" s="1533"/>
      <c r="AW316" s="1533"/>
      <c r="AX316" s="52"/>
      <c r="AY316" s="1533">
        <f>AU316</f>
        <v>0.25</v>
      </c>
      <c r="AZ316" s="1533"/>
      <c r="BA316" s="1533"/>
      <c r="BB316" s="52"/>
      <c r="BC316" s="1533">
        <f>AY316</f>
        <v>0.25</v>
      </c>
      <c r="BD316" s="1533"/>
      <c r="BE316" s="1533"/>
      <c r="BF316" s="135"/>
      <c r="BG316" s="135"/>
      <c r="BH316" s="135"/>
      <c r="BI316" s="135"/>
      <c r="BJ316" s="121"/>
      <c r="BL316" s="220"/>
      <c r="BP316" s="31"/>
      <c r="BQ316" s="31"/>
      <c r="BR316" s="31"/>
      <c r="BS316" s="31"/>
      <c r="BT316" s="31"/>
      <c r="BU316" s="31"/>
      <c r="BV316" s="31"/>
      <c r="BW316" s="31"/>
      <c r="BX316" s="31"/>
    </row>
    <row r="317" spans="2:76" s="28" customFormat="1" ht="17.100000000000001" customHeight="1" outlineLevel="1">
      <c r="B317" s="117"/>
      <c r="C317" s="489"/>
      <c r="D317" s="535" t="str">
        <f>X!$C$90</f>
        <v>elektrische Leistungsaufnahme (effektiv)</v>
      </c>
      <c r="E317" s="98"/>
      <c r="F317" s="98"/>
      <c r="G317" s="98"/>
      <c r="H317" s="98"/>
      <c r="I317" s="98"/>
      <c r="J317" s="98"/>
      <c r="K317" s="98"/>
      <c r="L317" s="98"/>
      <c r="M317" s="98"/>
      <c r="N317" s="98"/>
      <c r="O317" s="98"/>
      <c r="P317" s="122" t="s">
        <v>106</v>
      </c>
      <c r="Q317" s="98"/>
      <c r="R317" s="98"/>
      <c r="S317" s="1505">
        <f>S314/(1+S315)*(1+S316)</f>
        <v>0</v>
      </c>
      <c r="T317" s="1505"/>
      <c r="U317" s="1505"/>
      <c r="V317" s="135"/>
      <c r="W317" s="1505">
        <f>W314/(1+W315)*(1+W316)</f>
        <v>0</v>
      </c>
      <c r="X317" s="1505"/>
      <c r="Y317" s="1505"/>
      <c r="Z317" s="52"/>
      <c r="AA317" s="1505">
        <f>AA314/(1+AA315)*(1+AA316)</f>
        <v>0</v>
      </c>
      <c r="AB317" s="1505"/>
      <c r="AC317" s="1505"/>
      <c r="AD317" s="52"/>
      <c r="AE317" s="1505">
        <f>AE314/(1+AE315)*(1+AE316)</f>
        <v>0</v>
      </c>
      <c r="AF317" s="1505"/>
      <c r="AG317" s="1505"/>
      <c r="AH317" s="135"/>
      <c r="AI317" s="135"/>
      <c r="AJ317" s="135"/>
      <c r="AK317" s="135"/>
      <c r="AL317" s="405"/>
      <c r="AM317" s="405"/>
      <c r="AN317" s="135"/>
      <c r="AO317" s="135"/>
      <c r="AP317" s="135"/>
      <c r="AQ317" s="1505">
        <f>AQ314/(1+AQ315)*(1+AQ316)</f>
        <v>0</v>
      </c>
      <c r="AR317" s="1505"/>
      <c r="AS317" s="1505"/>
      <c r="AT317" s="135"/>
      <c r="AU317" s="1505">
        <f>AU314/(1+AU315)*(1+AU316)</f>
        <v>0</v>
      </c>
      <c r="AV317" s="1505"/>
      <c r="AW317" s="1505"/>
      <c r="AX317" s="52"/>
      <c r="AY317" s="1505">
        <f>AY314/(1+AY315)*(1+AY316)</f>
        <v>0</v>
      </c>
      <c r="AZ317" s="1505"/>
      <c r="BA317" s="1505"/>
      <c r="BB317" s="52"/>
      <c r="BC317" s="1505">
        <f>BC314/(1+BC315)*(1+BC316)</f>
        <v>0</v>
      </c>
      <c r="BD317" s="1505"/>
      <c r="BE317" s="1505"/>
      <c r="BF317" s="135"/>
      <c r="BG317" s="135"/>
      <c r="BH317" s="135"/>
      <c r="BI317" s="135"/>
      <c r="BJ317" s="121"/>
      <c r="BL317" s="220"/>
    </row>
    <row r="318" spans="2:76" s="28" customFormat="1" ht="17.100000000000001" customHeight="1" outlineLevel="1">
      <c r="B318" s="117"/>
      <c r="C318" s="489"/>
      <c r="D318" s="1036" t="str">
        <f>X!C346</f>
        <v>Stromverbrauch Verdichter</v>
      </c>
      <c r="E318" s="666"/>
      <c r="F318" s="666"/>
      <c r="G318" s="194"/>
      <c r="H318" s="194"/>
      <c r="I318" s="194"/>
      <c r="J318" s="194"/>
      <c r="K318" s="194"/>
      <c r="L318" s="194"/>
      <c r="M318" s="194"/>
      <c r="N318" s="194"/>
      <c r="O318" s="194"/>
      <c r="P318" s="195" t="s">
        <v>22</v>
      </c>
      <c r="Q318" s="194"/>
      <c r="R318" s="1534">
        <f>IF(S312*S317&gt;10000,ROUND(S312*S317,-3),ROUND(S312*S317,-2))</f>
        <v>0</v>
      </c>
      <c r="S318" s="1534"/>
      <c r="T318" s="1534"/>
      <c r="U318" s="1534"/>
      <c r="V318" s="1534">
        <f>IF(W312*W317&gt;10000,ROUND(W312*W317,-3),ROUND(W312*W317,-2))</f>
        <v>0</v>
      </c>
      <c r="W318" s="1534"/>
      <c r="X318" s="1534"/>
      <c r="Y318" s="1534"/>
      <c r="Z318" s="1534">
        <f>IF(AA312*AA317&gt;10000,ROUND(AA312*AA317,-3),ROUND(AA312*AA317,-2))</f>
        <v>0</v>
      </c>
      <c r="AA318" s="1534"/>
      <c r="AB318" s="1534"/>
      <c r="AC318" s="1534"/>
      <c r="AD318" s="1534">
        <f>IF(AE312*AE317&gt;10000,ROUND(AE312*AE317,-3),ROUND(AE312*AE317,-2))</f>
        <v>0</v>
      </c>
      <c r="AE318" s="1534"/>
      <c r="AF318" s="1534"/>
      <c r="AG318" s="1534"/>
      <c r="AH318" s="1536">
        <f>SUM(R318:AG318)</f>
        <v>0</v>
      </c>
      <c r="AI318" s="1536"/>
      <c r="AJ318" s="1536"/>
      <c r="AK318" s="1536"/>
      <c r="AL318" s="696"/>
      <c r="AM318" s="696"/>
      <c r="AN318" s="594"/>
      <c r="AO318" s="594"/>
      <c r="AP318" s="1535">
        <f>IF(AQ312*AQ317&gt;10000,ROUND(AQ312*AQ317,-3),ROUND(AQ312*AQ317,-2))</f>
        <v>0</v>
      </c>
      <c r="AQ318" s="1535"/>
      <c r="AR318" s="1535"/>
      <c r="AS318" s="1535"/>
      <c r="AT318" s="1535">
        <f>IF(AU312*AU317&gt;10000,ROUND(AU312*AU317,-3),ROUND(AU312*AU317,-2))</f>
        <v>0</v>
      </c>
      <c r="AU318" s="1535"/>
      <c r="AV318" s="1535"/>
      <c r="AW318" s="1535"/>
      <c r="AX318" s="1535">
        <f>IF(AY312*AY317&gt;10000,ROUND(AY312*AY317,-3),ROUND(AY312*AY317,-2))</f>
        <v>0</v>
      </c>
      <c r="AY318" s="1535"/>
      <c r="AZ318" s="1535"/>
      <c r="BA318" s="1535"/>
      <c r="BB318" s="1535">
        <f>IF(BC312*BC317&gt;10000,ROUND(BC312*BC317,-3),ROUND(BC312*BC317,-2))</f>
        <v>0</v>
      </c>
      <c r="BC318" s="1535"/>
      <c r="BD318" s="1535"/>
      <c r="BE318" s="1535"/>
      <c r="BF318" s="1587">
        <f>SUM(AP318:BE318)</f>
        <v>0</v>
      </c>
      <c r="BG318" s="1587"/>
      <c r="BH318" s="1587"/>
      <c r="BI318" s="1587"/>
      <c r="BJ318" s="121"/>
      <c r="BL318" s="220"/>
    </row>
    <row r="319" spans="2:76" s="732" customFormat="1" ht="17.100000000000001" customHeight="1" outlineLevel="1">
      <c r="B319" s="724"/>
      <c r="C319" s="725"/>
      <c r="D319" s="726"/>
      <c r="E319" s="759" t="str">
        <f>X!C347</f>
        <v>Reduktion dank Free-Cooling</v>
      </c>
      <c r="F319" s="727"/>
      <c r="G319" s="727"/>
      <c r="H319" s="727"/>
      <c r="I319" s="727"/>
      <c r="J319" s="727"/>
      <c r="K319" s="727"/>
      <c r="L319" s="727"/>
      <c r="M319" s="727"/>
      <c r="N319" s="727"/>
      <c r="O319" s="727"/>
      <c r="P319" s="758" t="s">
        <v>22</v>
      </c>
      <c r="Q319" s="759"/>
      <c r="R319" s="1590"/>
      <c r="S319" s="1590"/>
      <c r="T319" s="1590"/>
      <c r="U319" s="1590"/>
      <c r="V319" s="1590"/>
      <c r="W319" s="1590"/>
      <c r="X319" s="1590"/>
      <c r="Y319" s="1590"/>
      <c r="Z319" s="1590"/>
      <c r="AA319" s="1590"/>
      <c r="AB319" s="1590"/>
      <c r="AC319" s="1590"/>
      <c r="AD319" s="1590"/>
      <c r="AE319" s="1590"/>
      <c r="AF319" s="1590"/>
      <c r="AG319" s="1590"/>
      <c r="AH319" s="1678">
        <f>-S768</f>
        <v>0</v>
      </c>
      <c r="AI319" s="1678"/>
      <c r="AJ319" s="1678"/>
      <c r="AK319" s="1678"/>
      <c r="AL319" s="696"/>
      <c r="AM319" s="729"/>
      <c r="AN319" s="730"/>
      <c r="AO319" s="730"/>
      <c r="AP319" s="1461"/>
      <c r="AQ319" s="1461"/>
      <c r="AR319" s="1461"/>
      <c r="AS319" s="1461"/>
      <c r="AT319" s="1461"/>
      <c r="AU319" s="1461"/>
      <c r="AV319" s="1461"/>
      <c r="AW319" s="1461"/>
      <c r="AX319" s="1461"/>
      <c r="AY319" s="1461"/>
      <c r="AZ319" s="1461"/>
      <c r="BA319" s="1461"/>
      <c r="BB319" s="1461"/>
      <c r="BC319" s="1461"/>
      <c r="BD319" s="1461"/>
      <c r="BE319" s="1461"/>
      <c r="BF319" s="1678">
        <f>-AQ768</f>
        <v>0</v>
      </c>
      <c r="BG319" s="1678"/>
      <c r="BH319" s="1678"/>
      <c r="BI319" s="1678"/>
      <c r="BJ319" s="731"/>
      <c r="BL319" s="220"/>
      <c r="BP319" s="220"/>
      <c r="BQ319" s="220"/>
      <c r="BR319" s="220"/>
      <c r="BS319" s="220"/>
      <c r="BT319" s="220"/>
      <c r="BU319" s="220"/>
      <c r="BV319" s="220"/>
      <c r="BW319" s="220"/>
      <c r="BX319" s="220"/>
    </row>
    <row r="320" spans="2:76" s="732" customFormat="1" ht="17.100000000000001" customHeight="1" outlineLevel="1">
      <c r="B320" s="724"/>
      <c r="C320" s="725"/>
      <c r="D320" s="726"/>
      <c r="E320" s="759" t="str">
        <f>X!C348</f>
        <v>Mehrverbrauch Wärmenutzung</v>
      </c>
      <c r="F320" s="727"/>
      <c r="G320" s="727"/>
      <c r="H320" s="727"/>
      <c r="I320" s="727"/>
      <c r="J320" s="727"/>
      <c r="K320" s="727"/>
      <c r="L320" s="727"/>
      <c r="M320" s="727"/>
      <c r="N320" s="727"/>
      <c r="O320" s="727"/>
      <c r="P320" s="758" t="s">
        <v>22</v>
      </c>
      <c r="Q320" s="759"/>
      <c r="R320" s="1679"/>
      <c r="S320" s="1679"/>
      <c r="T320" s="1679"/>
      <c r="U320" s="1679"/>
      <c r="V320" s="1679"/>
      <c r="W320" s="1679"/>
      <c r="X320" s="1679"/>
      <c r="Y320" s="1679"/>
      <c r="Z320" s="1679"/>
      <c r="AA320" s="1679"/>
      <c r="AB320" s="1679"/>
      <c r="AC320" s="1679"/>
      <c r="AD320" s="1679"/>
      <c r="AE320" s="1679"/>
      <c r="AF320" s="1679"/>
      <c r="AG320" s="1679"/>
      <c r="AH320" s="1590">
        <f>AH860</f>
        <v>0</v>
      </c>
      <c r="AI320" s="1590"/>
      <c r="AJ320" s="1590"/>
      <c r="AK320" s="1590"/>
      <c r="AL320" s="743"/>
      <c r="AM320" s="742"/>
      <c r="AN320" s="730"/>
      <c r="AO320" s="730"/>
      <c r="AP320" s="1669"/>
      <c r="AQ320" s="1669"/>
      <c r="AR320" s="1669"/>
      <c r="AS320" s="1669"/>
      <c r="AT320" s="1669"/>
      <c r="AU320" s="1669"/>
      <c r="AV320" s="1669"/>
      <c r="AW320" s="1669"/>
      <c r="AX320" s="1669"/>
      <c r="AY320" s="1669"/>
      <c r="AZ320" s="1669"/>
      <c r="BA320" s="1669"/>
      <c r="BB320" s="1669"/>
      <c r="BC320" s="1669"/>
      <c r="BD320" s="1669"/>
      <c r="BE320" s="1669"/>
      <c r="BF320" s="1590">
        <f>BF860</f>
        <v>0</v>
      </c>
      <c r="BG320" s="1590"/>
      <c r="BH320" s="1590"/>
      <c r="BI320" s="1590"/>
      <c r="BJ320" s="731"/>
      <c r="BL320" s="220"/>
      <c r="BP320" s="220"/>
      <c r="BQ320" s="220"/>
      <c r="BR320" s="220"/>
      <c r="BS320" s="220"/>
      <c r="BT320" s="220"/>
      <c r="BU320" s="220"/>
      <c r="BV320" s="220"/>
      <c r="BW320" s="220"/>
      <c r="BX320" s="220"/>
    </row>
    <row r="321" spans="2:76" s="732" customFormat="1" ht="17.100000000000001" customHeight="1" outlineLevel="1">
      <c r="B321" s="724"/>
      <c r="C321" s="725"/>
      <c r="E321" s="959" t="str">
        <f>D318</f>
        <v>Stromverbrauch Verdichter</v>
      </c>
      <c r="F321" s="727"/>
      <c r="G321" s="727"/>
      <c r="H321" s="727"/>
      <c r="I321" s="727"/>
      <c r="J321" s="727"/>
      <c r="K321" s="727"/>
      <c r="L321" s="727"/>
      <c r="M321" s="727"/>
      <c r="N321" s="727"/>
      <c r="O321" s="727"/>
      <c r="P321" s="728" t="s">
        <v>22</v>
      </c>
      <c r="Q321" s="727"/>
      <c r="R321" s="1461"/>
      <c r="S321" s="1461"/>
      <c r="T321" s="1461"/>
      <c r="U321" s="1461"/>
      <c r="V321" s="1461"/>
      <c r="W321" s="1461"/>
      <c r="X321" s="1461"/>
      <c r="Y321" s="1461"/>
      <c r="Z321" s="1461"/>
      <c r="AA321" s="1461"/>
      <c r="AB321" s="1461"/>
      <c r="AC321" s="1461"/>
      <c r="AD321" s="1461"/>
      <c r="AE321" s="1461"/>
      <c r="AF321" s="1461"/>
      <c r="AG321" s="1461"/>
      <c r="AH321" s="1536">
        <f>SUM(AH318:AK320)</f>
        <v>0</v>
      </c>
      <c r="AI321" s="1536"/>
      <c r="AJ321" s="1536"/>
      <c r="AK321" s="1536"/>
      <c r="AL321" s="729"/>
      <c r="AM321" s="729"/>
      <c r="AN321" s="730"/>
      <c r="AO321" s="730"/>
      <c r="AP321" s="1461"/>
      <c r="AQ321" s="1461"/>
      <c r="AR321" s="1461"/>
      <c r="AS321" s="1461"/>
      <c r="AT321" s="1461"/>
      <c r="AU321" s="1461"/>
      <c r="AV321" s="1461"/>
      <c r="AW321" s="1461"/>
      <c r="AX321" s="1461"/>
      <c r="AY321" s="1461"/>
      <c r="AZ321" s="1461"/>
      <c r="BA321" s="1461"/>
      <c r="BB321" s="1461"/>
      <c r="BC321" s="1461"/>
      <c r="BD321" s="1461"/>
      <c r="BE321" s="1461"/>
      <c r="BF321" s="1536">
        <f>SUM(BF318:BI320)</f>
        <v>0</v>
      </c>
      <c r="BG321" s="1536"/>
      <c r="BH321" s="1536"/>
      <c r="BI321" s="1536"/>
      <c r="BJ321" s="731"/>
      <c r="BL321" s="220"/>
      <c r="BP321" s="220"/>
      <c r="BQ321" s="220"/>
      <c r="BR321" s="220"/>
      <c r="BS321" s="220"/>
      <c r="BT321" s="220"/>
      <c r="BU321" s="220"/>
      <c r="BV321" s="220"/>
      <c r="BW321" s="220"/>
      <c r="BX321" s="220"/>
    </row>
    <row r="322" spans="2:76" outlineLevel="1">
      <c r="B322" s="147"/>
      <c r="C322" s="477"/>
      <c r="D322" s="52"/>
      <c r="E322" s="52"/>
      <c r="F322" s="52"/>
      <c r="G322" s="52"/>
      <c r="H322" s="52"/>
      <c r="I322" s="52"/>
      <c r="J322" s="52"/>
      <c r="K322" s="52"/>
      <c r="L322" s="52"/>
      <c r="M322" s="52"/>
      <c r="N322" s="52"/>
      <c r="O322" s="52"/>
      <c r="P322" s="55"/>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669"/>
      <c r="BG322" s="669"/>
      <c r="BH322" s="669"/>
      <c r="BI322" s="669"/>
      <c r="BJ322" s="152"/>
      <c r="BL322" s="220"/>
      <c r="BP322" s="28"/>
      <c r="BQ322" s="28"/>
      <c r="BR322" s="28"/>
      <c r="BS322" s="28"/>
      <c r="BT322" s="28"/>
      <c r="BU322" s="28"/>
      <c r="BV322" s="28"/>
      <c r="BW322" s="28"/>
      <c r="BX322" s="28"/>
    </row>
    <row r="323" spans="2:76" outlineLevel="1">
      <c r="B323" s="147"/>
      <c r="C323" s="477"/>
      <c r="D323" s="52"/>
      <c r="E323" s="52"/>
      <c r="F323" s="52"/>
      <c r="G323" s="52"/>
      <c r="H323" s="52"/>
      <c r="I323" s="52"/>
      <c r="J323" s="52"/>
      <c r="K323" s="52"/>
      <c r="L323" s="52"/>
      <c r="M323" s="52"/>
      <c r="N323" s="52"/>
      <c r="O323" s="52"/>
      <c r="P323" s="55"/>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152"/>
      <c r="BL323" s="220"/>
      <c r="BP323" s="28"/>
      <c r="BQ323" s="28"/>
      <c r="BR323" s="28"/>
      <c r="BS323" s="28"/>
      <c r="BT323" s="28"/>
      <c r="BU323" s="28"/>
      <c r="BV323" s="28"/>
      <c r="BW323" s="28"/>
      <c r="BX323" s="28"/>
    </row>
    <row r="324" spans="2:76" outlineLevel="1">
      <c r="B324" s="147"/>
      <c r="C324" s="495">
        <v>5.3</v>
      </c>
      <c r="D324" s="544" t="str">
        <f>X!$C$99</f>
        <v>Energieverbrauch Hilfsbetriebe «warme Seite»</v>
      </c>
      <c r="E324" s="52"/>
      <c r="F324" s="52"/>
      <c r="G324" s="52"/>
      <c r="H324" s="52"/>
      <c r="I324" s="52"/>
      <c r="J324" s="52"/>
      <c r="K324" s="52"/>
      <c r="L324" s="52"/>
      <c r="M324" s="52"/>
      <c r="N324" s="52"/>
      <c r="O324" s="52"/>
      <c r="P324" s="55"/>
      <c r="Q324" s="52"/>
      <c r="R324" s="52"/>
      <c r="S324" s="1540" t="s">
        <v>150</v>
      </c>
      <c r="T324" s="1540"/>
      <c r="U324" s="1540"/>
      <c r="V324" s="101"/>
      <c r="W324" s="1580" t="str">
        <f>X!$C$205</f>
        <v>Regelung</v>
      </c>
      <c r="X324" s="1540"/>
      <c r="Y324" s="1540"/>
      <c r="Z324" s="101"/>
      <c r="AA324" s="1580" t="str">
        <f>X!$C$192</f>
        <v>Pe (korr.)</v>
      </c>
      <c r="AB324" s="1540"/>
      <c r="AC324" s="1540"/>
      <c r="AD324" s="52"/>
      <c r="AE324" s="1580" t="str">
        <f>X!$C$192</f>
        <v>Pe (korr.)</v>
      </c>
      <c r="AF324" s="1540"/>
      <c r="AG324" s="1540"/>
      <c r="AH324" s="52"/>
      <c r="AI324" s="52"/>
      <c r="AJ324" s="52"/>
      <c r="AK324" s="52"/>
      <c r="AL324" s="52"/>
      <c r="AM324" s="52"/>
      <c r="AN324" s="52"/>
      <c r="AO324" s="52"/>
      <c r="AP324" s="52"/>
      <c r="AQ324" s="1540" t="s">
        <v>150</v>
      </c>
      <c r="AR324" s="1540"/>
      <c r="AS324" s="1540"/>
      <c r="AT324" s="101"/>
      <c r="AU324" s="1580" t="str">
        <f>X!$C$205</f>
        <v>Regelung</v>
      </c>
      <c r="AV324" s="1540"/>
      <c r="AW324" s="1540"/>
      <c r="AX324" s="101"/>
      <c r="AY324" s="1580" t="str">
        <f>X!$C$192</f>
        <v>Pe (korr.)</v>
      </c>
      <c r="AZ324" s="1540"/>
      <c r="BA324" s="1540"/>
      <c r="BB324" s="52"/>
      <c r="BC324" s="1580" t="str">
        <f>X!$C$192</f>
        <v>Pe (korr.)</v>
      </c>
      <c r="BD324" s="1540"/>
      <c r="BE324" s="1540"/>
      <c r="BF324" s="52"/>
      <c r="BG324" s="52"/>
      <c r="BH324" s="52"/>
      <c r="BI324" s="52"/>
      <c r="BJ324" s="152"/>
      <c r="BP324" s="28"/>
      <c r="BQ324" s="28"/>
      <c r="BR324" s="28"/>
      <c r="BS324" s="28"/>
      <c r="BT324" s="28"/>
      <c r="BU324" s="28"/>
      <c r="BV324" s="28"/>
      <c r="BW324" s="28"/>
      <c r="BX324" s="28"/>
    </row>
    <row r="325" spans="2:76" s="28" customFormat="1" ht="6" customHeight="1" outlineLevel="1">
      <c r="B325" s="117"/>
      <c r="C325" s="474"/>
      <c r="D325" s="98"/>
      <c r="E325" s="98"/>
      <c r="F325" s="98"/>
      <c r="G325" s="98"/>
      <c r="H325" s="98"/>
      <c r="I325" s="98"/>
      <c r="J325" s="98"/>
      <c r="K325" s="98"/>
      <c r="L325" s="98"/>
      <c r="M325" s="98"/>
      <c r="N325" s="98"/>
      <c r="O325" s="98"/>
      <c r="P325" s="122"/>
      <c r="Q325" s="98"/>
      <c r="R325" s="98"/>
      <c r="S325" s="135"/>
      <c r="T325" s="135"/>
      <c r="U325" s="135"/>
      <c r="V325" s="135"/>
      <c r="W325" s="135"/>
      <c r="X325" s="135"/>
      <c r="Y325" s="135"/>
      <c r="Z325" s="52"/>
      <c r="AA325" s="52"/>
      <c r="AB325" s="52"/>
      <c r="AC325" s="52"/>
      <c r="AD325" s="52"/>
      <c r="AE325" s="52"/>
      <c r="AF325" s="52"/>
      <c r="AG325" s="52"/>
      <c r="AH325" s="52"/>
      <c r="AI325" s="52"/>
      <c r="AJ325" s="52"/>
      <c r="AK325" s="52"/>
      <c r="AL325" s="52"/>
      <c r="AM325" s="52"/>
      <c r="AN325" s="52"/>
      <c r="AO325" s="135"/>
      <c r="AP325" s="135"/>
      <c r="AQ325" s="135"/>
      <c r="AR325" s="135"/>
      <c r="AS325" s="135"/>
      <c r="AT325" s="135"/>
      <c r="AU325" s="135"/>
      <c r="AV325" s="135"/>
      <c r="AW325" s="135"/>
      <c r="AX325" s="52"/>
      <c r="AY325" s="52"/>
      <c r="AZ325" s="52"/>
      <c r="BA325" s="52"/>
      <c r="BB325" s="52"/>
      <c r="BC325" s="52"/>
      <c r="BD325" s="52"/>
      <c r="BE325" s="52"/>
      <c r="BF325" s="52"/>
      <c r="BG325" s="52"/>
      <c r="BH325" s="52"/>
      <c r="BI325" s="52"/>
      <c r="BJ325" s="152"/>
      <c r="BP325" s="31"/>
      <c r="BQ325" s="31"/>
      <c r="BR325" s="31"/>
      <c r="BS325" s="31"/>
      <c r="BT325" s="31"/>
      <c r="BU325" s="31"/>
      <c r="BV325" s="31"/>
      <c r="BW325" s="31"/>
      <c r="BX325" s="31"/>
    </row>
    <row r="326" spans="2:76" s="155" customFormat="1" ht="17.100000000000001" customHeight="1" outlineLevel="1">
      <c r="B326" s="154"/>
      <c r="C326" s="491"/>
      <c r="D326" s="160" t="str">
        <f>D66</f>
        <v>Wärmeträgerpumpen</v>
      </c>
      <c r="E326" s="160"/>
      <c r="F326" s="160"/>
      <c r="G326" s="160"/>
      <c r="H326" s="160"/>
      <c r="I326" s="160"/>
      <c r="J326" s="160"/>
      <c r="K326" s="160"/>
      <c r="L326" s="160"/>
      <c r="M326" s="160"/>
      <c r="N326" s="160"/>
      <c r="O326" s="122"/>
      <c r="P326" s="122" t="s">
        <v>106</v>
      </c>
      <c r="Q326" s="122"/>
      <c r="R326" s="122"/>
      <c r="S326" s="1452">
        <f>S66</f>
        <v>0</v>
      </c>
      <c r="T326" s="1452"/>
      <c r="U326" s="1452"/>
      <c r="V326" s="135"/>
      <c r="W326" s="1453">
        <f>-AK462</f>
        <v>0</v>
      </c>
      <c r="X326" s="1454"/>
      <c r="Y326" s="1454"/>
      <c r="Z326" s="91"/>
      <c r="AA326" s="1452">
        <f>S326*(1+W326)</f>
        <v>0</v>
      </c>
      <c r="AB326" s="1452"/>
      <c r="AC326" s="1452"/>
      <c r="AD326" s="52"/>
      <c r="AE326" s="52"/>
      <c r="AF326" s="52"/>
      <c r="AG326" s="52"/>
      <c r="AH326" s="52"/>
      <c r="AI326" s="52"/>
      <c r="AJ326" s="52"/>
      <c r="AK326" s="52"/>
      <c r="AL326" s="52"/>
      <c r="AM326" s="52"/>
      <c r="AN326" s="52"/>
      <c r="AO326" s="98"/>
      <c r="AP326" s="98"/>
      <c r="AQ326" s="1452">
        <f>AQ66</f>
        <v>0</v>
      </c>
      <c r="AR326" s="1452"/>
      <c r="AS326" s="1452"/>
      <c r="AT326" s="135"/>
      <c r="AU326" s="1453">
        <f>-BI462</f>
        <v>0</v>
      </c>
      <c r="AV326" s="1454"/>
      <c r="AW326" s="1454"/>
      <c r="AX326" s="91"/>
      <c r="AY326" s="1452">
        <f>AQ326*(1+AU326)</f>
        <v>0</v>
      </c>
      <c r="AZ326" s="1452"/>
      <c r="BA326" s="1452"/>
      <c r="BB326" s="52"/>
      <c r="BC326" s="52"/>
      <c r="BD326" s="52"/>
      <c r="BE326" s="52"/>
      <c r="BF326" s="52"/>
      <c r="BG326" s="52"/>
      <c r="BH326" s="52"/>
      <c r="BI326" s="52"/>
      <c r="BJ326" s="152"/>
      <c r="BP326" s="31"/>
      <c r="BQ326" s="31"/>
      <c r="BR326" s="31"/>
      <c r="BS326" s="31"/>
      <c r="BT326" s="31"/>
      <c r="BU326" s="31"/>
      <c r="BV326" s="31"/>
      <c r="BW326" s="31"/>
      <c r="BX326" s="31"/>
    </row>
    <row r="327" spans="2:76" s="28" customFormat="1" ht="17.100000000000001" customHeight="1" outlineLevel="1">
      <c r="B327" s="117"/>
      <c r="C327" s="489"/>
      <c r="D327" s="160" t="str">
        <f>D68</f>
        <v>Intern-Pumpen für die Besprühung</v>
      </c>
      <c r="E327" s="160"/>
      <c r="F327" s="160"/>
      <c r="G327" s="160"/>
      <c r="H327" s="160"/>
      <c r="I327" s="160"/>
      <c r="J327" s="160"/>
      <c r="K327" s="160"/>
      <c r="L327" s="160"/>
      <c r="M327" s="160"/>
      <c r="N327" s="160"/>
      <c r="O327" s="98"/>
      <c r="P327" s="122" t="s">
        <v>106</v>
      </c>
      <c r="Q327" s="98"/>
      <c r="R327" s="98"/>
      <c r="S327" s="1452">
        <f>S68</f>
        <v>0</v>
      </c>
      <c r="T327" s="1452"/>
      <c r="U327" s="1452"/>
      <c r="V327" s="135"/>
      <c r="W327" s="1453">
        <f>-AK472</f>
        <v>0</v>
      </c>
      <c r="X327" s="1454"/>
      <c r="Y327" s="1454"/>
      <c r="Z327" s="91"/>
      <c r="AA327" s="1452">
        <f>S327*(1+W327)</f>
        <v>0</v>
      </c>
      <c r="AB327" s="1452"/>
      <c r="AC327" s="1452"/>
      <c r="AD327" s="52"/>
      <c r="AE327" s="52"/>
      <c r="AF327" s="52"/>
      <c r="AG327" s="52"/>
      <c r="AH327" s="52"/>
      <c r="AI327" s="52"/>
      <c r="AJ327" s="52"/>
      <c r="AK327" s="52"/>
      <c r="AL327" s="52"/>
      <c r="AM327" s="52"/>
      <c r="AN327" s="52"/>
      <c r="AO327" s="98"/>
      <c r="AP327" s="98"/>
      <c r="AQ327" s="1452">
        <f>AQ68</f>
        <v>0</v>
      </c>
      <c r="AR327" s="1452"/>
      <c r="AS327" s="1452"/>
      <c r="AT327" s="135"/>
      <c r="AU327" s="1453">
        <f>-BI472</f>
        <v>0</v>
      </c>
      <c r="AV327" s="1454"/>
      <c r="AW327" s="1454"/>
      <c r="AX327" s="91"/>
      <c r="AY327" s="1452">
        <f>AQ327*(1+AU327)</f>
        <v>0</v>
      </c>
      <c r="AZ327" s="1452"/>
      <c r="BA327" s="1452"/>
      <c r="BB327" s="52"/>
      <c r="BC327" s="52"/>
      <c r="BD327" s="52"/>
      <c r="BE327" s="52"/>
      <c r="BF327" s="52"/>
      <c r="BG327" s="52"/>
      <c r="BH327" s="52"/>
      <c r="BI327" s="52"/>
      <c r="BJ327" s="152"/>
    </row>
    <row r="328" spans="2:76" s="28" customFormat="1" ht="17.100000000000001" customHeight="1" outlineLevel="1">
      <c r="B328" s="117"/>
      <c r="C328" s="489"/>
      <c r="D328" s="160" t="str">
        <f>D70</f>
        <v>Ventilatoren Rückkühler/Verflüssiger</v>
      </c>
      <c r="E328" s="160"/>
      <c r="F328" s="160"/>
      <c r="G328" s="160"/>
      <c r="H328" s="160"/>
      <c r="I328" s="160"/>
      <c r="J328" s="160"/>
      <c r="K328" s="160"/>
      <c r="L328" s="160"/>
      <c r="M328" s="160"/>
      <c r="N328" s="160"/>
      <c r="O328" s="98"/>
      <c r="P328" s="122" t="s">
        <v>106</v>
      </c>
      <c r="Q328" s="98"/>
      <c r="R328" s="98"/>
      <c r="S328" s="1452">
        <f>S70</f>
        <v>0</v>
      </c>
      <c r="T328" s="1452"/>
      <c r="U328" s="1452"/>
      <c r="V328" s="135"/>
      <c r="W328" s="1453">
        <f>-AK482</f>
        <v>0</v>
      </c>
      <c r="X328" s="1454"/>
      <c r="Y328" s="1454"/>
      <c r="Z328" s="91"/>
      <c r="AA328" s="1452">
        <f>S328*(1+W328)</f>
        <v>0</v>
      </c>
      <c r="AB328" s="1452"/>
      <c r="AC328" s="1452"/>
      <c r="AD328" s="52"/>
      <c r="AE328" s="52"/>
      <c r="AF328" s="52"/>
      <c r="AG328" s="52"/>
      <c r="AH328" s="52"/>
      <c r="AI328" s="52"/>
      <c r="AJ328" s="52"/>
      <c r="AK328" s="52"/>
      <c r="AL328" s="52"/>
      <c r="AM328" s="52"/>
      <c r="AN328" s="52"/>
      <c r="AO328" s="98"/>
      <c r="AP328" s="98"/>
      <c r="AQ328" s="1452">
        <f>AQ70</f>
        <v>0</v>
      </c>
      <c r="AR328" s="1452"/>
      <c r="AS328" s="1452"/>
      <c r="AT328" s="135"/>
      <c r="AU328" s="1453">
        <f>-BI482</f>
        <v>0</v>
      </c>
      <c r="AV328" s="1454"/>
      <c r="AW328" s="1454"/>
      <c r="AX328" s="91"/>
      <c r="AY328" s="1452">
        <f>AQ328*(1+AU328)</f>
        <v>0</v>
      </c>
      <c r="AZ328" s="1452"/>
      <c r="BA328" s="1452"/>
      <c r="BB328" s="52"/>
      <c r="BC328" s="52"/>
      <c r="BD328" s="52"/>
      <c r="BE328" s="52"/>
      <c r="BF328" s="52"/>
      <c r="BG328" s="52"/>
      <c r="BH328" s="52"/>
      <c r="BI328" s="52"/>
      <c r="BJ328" s="152"/>
      <c r="BP328" s="155"/>
      <c r="BQ328" s="155"/>
      <c r="BR328" s="155"/>
      <c r="BS328" s="155"/>
      <c r="BT328" s="155"/>
      <c r="BU328" s="155"/>
      <c r="BV328" s="155"/>
      <c r="BW328" s="155"/>
      <c r="BX328" s="155"/>
    </row>
    <row r="329" spans="2:76" s="28" customFormat="1" ht="17.100000000000001" customHeight="1" outlineLevel="1">
      <c r="B329" s="117"/>
      <c r="C329" s="489"/>
      <c r="D329" s="1472" t="str">
        <f>IF(D72="","",D72)</f>
        <v/>
      </c>
      <c r="E329" s="1472"/>
      <c r="F329" s="1472"/>
      <c r="G329" s="1472"/>
      <c r="H329" s="1472"/>
      <c r="I329" s="1472"/>
      <c r="J329" s="1472"/>
      <c r="K329" s="1472"/>
      <c r="L329" s="1472"/>
      <c r="M329" s="1472"/>
      <c r="N329" s="1472"/>
      <c r="O329" s="98"/>
      <c r="P329" s="122" t="s">
        <v>106</v>
      </c>
      <c r="Q329" s="98"/>
      <c r="R329" s="98"/>
      <c r="S329" s="1452">
        <f>S72</f>
        <v>0</v>
      </c>
      <c r="T329" s="1452"/>
      <c r="U329" s="1452"/>
      <c r="V329" s="135"/>
      <c r="W329" s="1453">
        <f>-AK492</f>
        <v>0</v>
      </c>
      <c r="X329" s="1454"/>
      <c r="Y329" s="1454"/>
      <c r="Z329" s="91"/>
      <c r="AA329" s="1452">
        <f>S329*(1+W329)</f>
        <v>0</v>
      </c>
      <c r="AB329" s="1452"/>
      <c r="AC329" s="1452"/>
      <c r="AD329" s="52"/>
      <c r="AE329" s="52"/>
      <c r="AF329" s="52"/>
      <c r="AG329" s="52"/>
      <c r="AH329" s="52"/>
      <c r="AI329" s="52"/>
      <c r="AJ329" s="52"/>
      <c r="AK329" s="52"/>
      <c r="AL329" s="52"/>
      <c r="AM329" s="52"/>
      <c r="AN329" s="52"/>
      <c r="AO329" s="98"/>
      <c r="AP329" s="98"/>
      <c r="AQ329" s="1452">
        <f>AQ72</f>
        <v>0</v>
      </c>
      <c r="AR329" s="1452"/>
      <c r="AS329" s="1452"/>
      <c r="AT329" s="135"/>
      <c r="AU329" s="1453">
        <f>-BI492</f>
        <v>0</v>
      </c>
      <c r="AV329" s="1454"/>
      <c r="AW329" s="1454"/>
      <c r="AX329" s="91"/>
      <c r="AY329" s="1452">
        <f>AQ329*(1+AU329)</f>
        <v>0</v>
      </c>
      <c r="AZ329" s="1452"/>
      <c r="BA329" s="1452"/>
      <c r="BB329" s="52"/>
      <c r="BC329" s="52"/>
      <c r="BD329" s="52"/>
      <c r="BE329" s="52"/>
      <c r="BF329" s="52"/>
      <c r="BG329" s="52"/>
      <c r="BH329" s="52"/>
      <c r="BI329" s="52"/>
      <c r="BJ329" s="152"/>
      <c r="BP329" s="227"/>
      <c r="BQ329" s="227"/>
      <c r="BR329" s="227"/>
      <c r="BS329" s="227"/>
      <c r="BT329" s="227"/>
      <c r="BU329" s="227"/>
      <c r="BV329" s="227"/>
      <c r="BW329" s="227"/>
      <c r="BX329" s="227"/>
    </row>
    <row r="330" spans="2:76" s="28" customFormat="1" ht="17.100000000000001" customHeight="1" outlineLevel="1">
      <c r="B330" s="117"/>
      <c r="C330" s="489"/>
      <c r="D330" s="1473" t="str">
        <f>IF(D110="","",D110)</f>
        <v/>
      </c>
      <c r="E330" s="1473"/>
      <c r="F330" s="1473"/>
      <c r="G330" s="1473"/>
      <c r="H330" s="1473"/>
      <c r="I330" s="1473"/>
      <c r="J330" s="1473"/>
      <c r="K330" s="1473"/>
      <c r="L330" s="1473"/>
      <c r="M330" s="1473"/>
      <c r="N330" s="1473"/>
      <c r="O330" s="793"/>
      <c r="P330" s="792" t="s">
        <v>106</v>
      </c>
      <c r="Q330" s="793"/>
      <c r="R330" s="793"/>
      <c r="S330" s="1474">
        <f>IF(W99=0,S110,0)</f>
        <v>0</v>
      </c>
      <c r="T330" s="1474"/>
      <c r="U330" s="1474"/>
      <c r="V330" s="955"/>
      <c r="W330" s="1455">
        <f>IF(W99=1,0,IF(U501=D499,-$AK502,$AK502))</f>
        <v>0</v>
      </c>
      <c r="X330" s="1456"/>
      <c r="Y330" s="1456"/>
      <c r="Z330" s="945"/>
      <c r="AA330" s="1457"/>
      <c r="AB330" s="1457"/>
      <c r="AC330" s="1457"/>
      <c r="AD330" s="350"/>
      <c r="AE330" s="1457">
        <f>S330*(1+W330)</f>
        <v>0</v>
      </c>
      <c r="AF330" s="1457"/>
      <c r="AG330" s="1457"/>
      <c r="AH330" s="350"/>
      <c r="AI330" s="350"/>
      <c r="AJ330" s="350"/>
      <c r="AK330" s="350"/>
      <c r="AL330" s="52"/>
      <c r="AM330" s="52"/>
      <c r="AN330" s="52"/>
      <c r="AO330" s="98"/>
      <c r="AP330" s="98"/>
      <c r="AQ330" s="1474">
        <f>IF(AU99=0,AQ110,0)</f>
        <v>0</v>
      </c>
      <c r="AR330" s="1474"/>
      <c r="AS330" s="1474"/>
      <c r="AT330" s="955"/>
      <c r="AU330" s="1455">
        <f>IF(AU99=1,0,IF(AU110=$D459,-$AK459,$AK458))</f>
        <v>0</v>
      </c>
      <c r="AV330" s="1456"/>
      <c r="AW330" s="1456"/>
      <c r="AX330" s="945"/>
      <c r="AY330" s="1457"/>
      <c r="AZ330" s="1457"/>
      <c r="BA330" s="1457"/>
      <c r="BB330" s="350"/>
      <c r="BC330" s="1457">
        <f>AQ330*(1+AU330)</f>
        <v>0</v>
      </c>
      <c r="BD330" s="1457"/>
      <c r="BE330" s="1457"/>
      <c r="BF330" s="350"/>
      <c r="BG330" s="350"/>
      <c r="BH330" s="350"/>
      <c r="BI330" s="350"/>
      <c r="BJ330" s="152"/>
      <c r="BP330" s="227"/>
      <c r="BQ330" s="227"/>
      <c r="BR330" s="227"/>
      <c r="BS330" s="227"/>
      <c r="BT330" s="227"/>
      <c r="BU330" s="227"/>
      <c r="BV330" s="227"/>
      <c r="BW330" s="227"/>
      <c r="BX330" s="227"/>
    </row>
    <row r="331" spans="2:76" s="155" customFormat="1" ht="17.100000000000001" customHeight="1" outlineLevel="1">
      <c r="B331" s="154"/>
      <c r="C331" s="491"/>
      <c r="D331" s="548" t="str">
        <f>X!$C$232</f>
        <v>Total</v>
      </c>
      <c r="E331" s="169"/>
      <c r="F331" s="169"/>
      <c r="G331" s="169"/>
      <c r="H331" s="169"/>
      <c r="I331" s="169"/>
      <c r="J331" s="169"/>
      <c r="K331" s="169"/>
      <c r="L331" s="169"/>
      <c r="M331" s="169"/>
      <c r="N331" s="169"/>
      <c r="O331" s="144"/>
      <c r="P331" s="190" t="s">
        <v>106</v>
      </c>
      <c r="Q331" s="144"/>
      <c r="R331" s="144"/>
      <c r="S331" s="1462"/>
      <c r="T331" s="1462"/>
      <c r="U331" s="1462"/>
      <c r="V331" s="173"/>
      <c r="W331" s="1537"/>
      <c r="X331" s="1537"/>
      <c r="Y331" s="1537"/>
      <c r="Z331" s="223"/>
      <c r="AA331" s="1452">
        <f>SUM(AA326:AC329)</f>
        <v>0</v>
      </c>
      <c r="AB331" s="1452"/>
      <c r="AC331" s="1452"/>
      <c r="AD331" s="224"/>
      <c r="AE331" s="1452">
        <f>SUM(AE326:AG330)</f>
        <v>0</v>
      </c>
      <c r="AF331" s="1452"/>
      <c r="AG331" s="1452"/>
      <c r="AH331" s="224"/>
      <c r="AI331" s="224"/>
      <c r="AJ331" s="224"/>
      <c r="AK331" s="224"/>
      <c r="AL331" s="224"/>
      <c r="AM331" s="224"/>
      <c r="AN331" s="224"/>
      <c r="AO331" s="144"/>
      <c r="AP331" s="144"/>
      <c r="AQ331" s="1462"/>
      <c r="AR331" s="1462"/>
      <c r="AS331" s="1462"/>
      <c r="AT331" s="173"/>
      <c r="AU331" s="1537"/>
      <c r="AV331" s="1537"/>
      <c r="AW331" s="1537"/>
      <c r="AX331" s="223"/>
      <c r="AY331" s="1452">
        <f>SUM(AY326:BA329)</f>
        <v>0</v>
      </c>
      <c r="AZ331" s="1452"/>
      <c r="BA331" s="1452"/>
      <c r="BB331" s="224"/>
      <c r="BC331" s="1452">
        <f>SUM(BC326:BE330)</f>
        <v>0</v>
      </c>
      <c r="BD331" s="1452"/>
      <c r="BE331" s="1452"/>
      <c r="BF331" s="224"/>
      <c r="BG331" s="224"/>
      <c r="BH331" s="224"/>
      <c r="BI331" s="224"/>
      <c r="BJ331" s="225"/>
      <c r="BL331" s="28"/>
      <c r="BP331" s="227"/>
      <c r="BQ331" s="227"/>
      <c r="BR331" s="227"/>
      <c r="BS331" s="227"/>
      <c r="BT331" s="227"/>
      <c r="BU331" s="227"/>
      <c r="BV331" s="227"/>
      <c r="BW331" s="227"/>
      <c r="BX331" s="227"/>
    </row>
    <row r="332" spans="2:76" s="28" customFormat="1" ht="17.100000000000001" customHeight="1" outlineLevel="2">
      <c r="B332" s="117"/>
      <c r="C332" s="952"/>
      <c r="D332" s="160"/>
      <c r="E332" s="160"/>
      <c r="F332" s="160"/>
      <c r="G332" s="160"/>
      <c r="H332" s="160"/>
      <c r="I332" s="160"/>
      <c r="J332" s="160"/>
      <c r="K332" s="160"/>
      <c r="L332" s="160"/>
      <c r="M332" s="160"/>
      <c r="N332" s="160"/>
      <c r="O332" s="98"/>
      <c r="P332" s="122"/>
      <c r="Q332" s="98"/>
      <c r="R332" s="98"/>
      <c r="S332" s="159"/>
      <c r="T332" s="159"/>
      <c r="U332" s="159"/>
      <c r="V332" s="950"/>
      <c r="W332" s="978"/>
      <c r="X332" s="979"/>
      <c r="Y332" s="979"/>
      <c r="Z332" s="943"/>
      <c r="AA332" s="159"/>
      <c r="AB332" s="159"/>
      <c r="AC332" s="159"/>
      <c r="AD332" s="52"/>
      <c r="AE332" s="52"/>
      <c r="AF332" s="52"/>
      <c r="AG332" s="52"/>
      <c r="AH332" s="52"/>
      <c r="AI332" s="52"/>
      <c r="AJ332" s="52"/>
      <c r="AK332" s="52"/>
      <c r="AL332" s="52"/>
      <c r="AM332" s="52"/>
      <c r="AN332" s="52"/>
      <c r="AO332" s="98"/>
      <c r="AP332" s="98"/>
      <c r="AQ332" s="159"/>
      <c r="AR332" s="159"/>
      <c r="AS332" s="159"/>
      <c r="AT332" s="950"/>
      <c r="AU332" s="978"/>
      <c r="AV332" s="979"/>
      <c r="AW332" s="979"/>
      <c r="AX332" s="943"/>
      <c r="AY332" s="159"/>
      <c r="AZ332" s="159"/>
      <c r="BA332" s="159"/>
      <c r="BB332" s="52"/>
      <c r="BC332" s="52"/>
      <c r="BD332" s="52"/>
      <c r="BE332" s="52"/>
      <c r="BF332" s="52"/>
      <c r="BG332" s="52"/>
      <c r="BH332" s="52"/>
      <c r="BI332" s="52"/>
      <c r="BJ332" s="152"/>
      <c r="BP332" s="155"/>
      <c r="BQ332" s="155"/>
      <c r="BR332" s="155"/>
      <c r="BS332" s="155"/>
      <c r="BT332" s="155"/>
      <c r="BU332" s="155"/>
      <c r="BV332" s="155"/>
      <c r="BW332" s="155"/>
      <c r="BX332" s="155"/>
    </row>
    <row r="333" spans="2:76" s="28" customFormat="1" ht="17.100000000000001" customHeight="1" outlineLevel="2">
      <c r="B333" s="117"/>
      <c r="C333" s="952"/>
      <c r="D333" s="160" t="s">
        <v>976</v>
      </c>
      <c r="E333" s="160"/>
      <c r="F333" s="160"/>
      <c r="G333" s="160"/>
      <c r="H333" s="160"/>
      <c r="I333" s="160"/>
      <c r="J333" s="160"/>
      <c r="K333" s="160"/>
      <c r="L333" s="160"/>
      <c r="M333" s="160"/>
      <c r="N333" s="160"/>
      <c r="O333" s="98"/>
      <c r="P333" s="122"/>
      <c r="Q333" s="98"/>
      <c r="R333" s="98"/>
      <c r="S333" s="159"/>
      <c r="T333" s="159"/>
      <c r="U333" s="159"/>
      <c r="V333" s="950"/>
      <c r="W333" s="978"/>
      <c r="X333" s="979"/>
      <c r="Y333" s="979"/>
      <c r="Z333" s="943"/>
      <c r="AA333" s="159"/>
      <c r="AB333" s="159"/>
      <c r="AC333" s="159"/>
      <c r="AD333" s="52"/>
      <c r="AE333" s="1462"/>
      <c r="AF333" s="1462"/>
      <c r="AG333" s="1462"/>
      <c r="AH333" s="52"/>
      <c r="AI333" s="52"/>
      <c r="AJ333" s="52"/>
      <c r="AK333" s="52"/>
      <c r="AL333" s="52"/>
      <c r="AM333" s="52"/>
      <c r="AN333" s="52"/>
      <c r="AO333" s="98"/>
      <c r="AP333" s="98"/>
      <c r="AQ333" s="159"/>
      <c r="AR333" s="159"/>
      <c r="AS333" s="159"/>
      <c r="AT333" s="950"/>
      <c r="AU333" s="978"/>
      <c r="AV333" s="979"/>
      <c r="AW333" s="979"/>
      <c r="AX333" s="943"/>
      <c r="AY333" s="159"/>
      <c r="AZ333" s="159"/>
      <c r="BA333" s="159"/>
      <c r="BB333" s="52"/>
      <c r="BC333" s="52"/>
      <c r="BD333" s="52"/>
      <c r="BE333" s="52"/>
      <c r="BF333" s="52"/>
      <c r="BG333" s="52"/>
      <c r="BH333" s="52"/>
      <c r="BI333" s="52"/>
      <c r="BJ333" s="152"/>
      <c r="BP333" s="155"/>
      <c r="BQ333" s="155"/>
      <c r="BR333" s="155"/>
      <c r="BS333" s="155"/>
      <c r="BT333" s="155"/>
      <c r="BU333" s="155"/>
      <c r="BV333" s="155"/>
      <c r="BW333" s="155"/>
      <c r="BX333" s="155"/>
    </row>
    <row r="334" spans="2:76" s="28" customFormat="1" ht="17.100000000000001" customHeight="1" outlineLevel="2">
      <c r="B334" s="117"/>
      <c r="C334" s="952"/>
      <c r="D334" s="160"/>
      <c r="E334" s="160" t="s">
        <v>816</v>
      </c>
      <c r="F334" s="160"/>
      <c r="G334" s="160"/>
      <c r="H334" s="160"/>
      <c r="I334" s="160"/>
      <c r="J334" s="160"/>
      <c r="K334" s="160"/>
      <c r="L334" s="160"/>
      <c r="M334" s="160"/>
      <c r="N334" s="160"/>
      <c r="O334" s="98"/>
      <c r="P334" s="122"/>
      <c r="Q334" s="98"/>
      <c r="R334" s="98"/>
      <c r="S334" s="1448">
        <f>W100</f>
        <v>0</v>
      </c>
      <c r="T334" s="1448"/>
      <c r="U334" s="1448"/>
      <c r="V334" s="950"/>
      <c r="W334" s="978"/>
      <c r="X334" s="979"/>
      <c r="Y334" s="979"/>
      <c r="Z334" s="943"/>
      <c r="AA334" s="1448">
        <f>S764</f>
        <v>0</v>
      </c>
      <c r="AB334" s="1448"/>
      <c r="AC334" s="1448"/>
      <c r="AD334" s="52"/>
      <c r="AE334" s="1445">
        <f>S334*AA334*AA348</f>
        <v>0</v>
      </c>
      <c r="AF334" s="1463"/>
      <c r="AG334" s="1463"/>
      <c r="AH334" s="52"/>
      <c r="AI334" s="52"/>
      <c r="AJ334" s="52"/>
      <c r="AK334" s="52"/>
      <c r="AL334" s="52"/>
      <c r="AM334" s="52"/>
      <c r="AN334" s="52"/>
      <c r="AO334" s="98"/>
      <c r="AP334" s="98"/>
      <c r="AQ334" s="1448">
        <f>AU100</f>
        <v>0</v>
      </c>
      <c r="AR334" s="1448"/>
      <c r="AS334" s="1448"/>
      <c r="AT334" s="950"/>
      <c r="AU334" s="978"/>
      <c r="AV334" s="979"/>
      <c r="AW334" s="979"/>
      <c r="AX334" s="943"/>
      <c r="AY334" s="1448">
        <f>AQ764</f>
        <v>0</v>
      </c>
      <c r="AZ334" s="1448"/>
      <c r="BA334" s="1448"/>
      <c r="BB334" s="52"/>
      <c r="BC334" s="1445">
        <f>AQ334*AY334*AY348</f>
        <v>0</v>
      </c>
      <c r="BD334" s="1463"/>
      <c r="BE334" s="1463"/>
      <c r="BF334" s="52"/>
      <c r="BG334" s="52"/>
      <c r="BH334" s="52"/>
      <c r="BI334" s="52"/>
      <c r="BJ334" s="152"/>
      <c r="BP334" s="155"/>
      <c r="BQ334" s="155"/>
      <c r="BR334" s="155"/>
      <c r="BS334" s="155"/>
      <c r="BT334" s="155"/>
      <c r="BU334" s="155"/>
      <c r="BV334" s="155"/>
      <c r="BW334" s="155"/>
      <c r="BX334" s="155"/>
    </row>
    <row r="335" spans="2:76" s="28" customFormat="1" ht="17.100000000000001" customHeight="1" outlineLevel="2">
      <c r="B335" s="117"/>
      <c r="C335" s="952"/>
      <c r="D335" s="160"/>
      <c r="E335" s="160" t="str">
        <f>X!C312</f>
        <v>Wärmenutzung</v>
      </c>
      <c r="F335" s="160"/>
      <c r="G335" s="160"/>
      <c r="H335" s="160"/>
      <c r="I335" s="160"/>
      <c r="J335" s="160"/>
      <c r="K335" s="160"/>
      <c r="L335" s="160"/>
      <c r="M335" s="160"/>
      <c r="N335" s="160"/>
      <c r="O335" s="98"/>
      <c r="P335" s="122"/>
      <c r="Q335" s="98"/>
      <c r="R335" s="98"/>
      <c r="S335" s="1448">
        <f>W101</f>
        <v>0</v>
      </c>
      <c r="T335" s="1448"/>
      <c r="U335" s="1448"/>
      <c r="V335" s="950"/>
      <c r="W335" s="978"/>
      <c r="X335" s="979"/>
      <c r="Y335" s="979"/>
      <c r="Z335" s="943"/>
      <c r="AA335" s="1448">
        <f>AI856</f>
        <v>0</v>
      </c>
      <c r="AB335" s="1448"/>
      <c r="AC335" s="1448"/>
      <c r="AD335" s="52"/>
      <c r="AE335" s="1445">
        <f>S335*AA335*AA348</f>
        <v>0</v>
      </c>
      <c r="AF335" s="1463"/>
      <c r="AG335" s="1463"/>
      <c r="AH335" s="52"/>
      <c r="AI335" s="52"/>
      <c r="AJ335" s="52"/>
      <c r="AK335" s="52"/>
      <c r="AL335" s="52"/>
      <c r="AM335" s="52"/>
      <c r="AN335" s="52"/>
      <c r="AO335" s="98"/>
      <c r="AP335" s="98"/>
      <c r="AQ335" s="1448">
        <f>AU101</f>
        <v>0</v>
      </c>
      <c r="AR335" s="1448"/>
      <c r="AS335" s="1448"/>
      <c r="AT335" s="950"/>
      <c r="AU335" s="978"/>
      <c r="AV335" s="979"/>
      <c r="AW335" s="979"/>
      <c r="AX335" s="943"/>
      <c r="AY335" s="1448">
        <f>BG856</f>
        <v>0</v>
      </c>
      <c r="AZ335" s="1448"/>
      <c r="BA335" s="1448"/>
      <c r="BB335" s="52"/>
      <c r="BC335" s="1445">
        <f>AQ335*AY335*AY348</f>
        <v>0</v>
      </c>
      <c r="BD335" s="1463"/>
      <c r="BE335" s="1463"/>
      <c r="BF335" s="52"/>
      <c r="BG335" s="52"/>
      <c r="BH335" s="52"/>
      <c r="BI335" s="52"/>
      <c r="BJ335" s="152"/>
      <c r="BP335" s="155"/>
      <c r="BQ335" s="155"/>
      <c r="BR335" s="155"/>
      <c r="BS335" s="155"/>
      <c r="BT335" s="155"/>
      <c r="BU335" s="155"/>
      <c r="BV335" s="155"/>
      <c r="BW335" s="155"/>
      <c r="BX335" s="155"/>
    </row>
    <row r="336" spans="2:76" s="28" customFormat="1" ht="6" customHeight="1" outlineLevel="1">
      <c r="B336" s="117"/>
      <c r="C336" s="474"/>
      <c r="D336" s="98"/>
      <c r="E336" s="98"/>
      <c r="F336" s="98"/>
      <c r="G336" s="55"/>
      <c r="H336" s="98"/>
      <c r="I336" s="98"/>
      <c r="J336" s="98"/>
      <c r="K336" s="98"/>
      <c r="L336" s="98"/>
      <c r="M336" s="98"/>
      <c r="N336" s="98"/>
      <c r="O336" s="98"/>
      <c r="P336" s="122"/>
      <c r="Q336" s="98"/>
      <c r="R336" s="98"/>
      <c r="S336" s="135"/>
      <c r="T336" s="135"/>
      <c r="U336" s="135"/>
      <c r="V336" s="135"/>
      <c r="W336" s="135"/>
      <c r="X336" s="135"/>
      <c r="Y336" s="135"/>
      <c r="Z336" s="91"/>
      <c r="AA336" s="135"/>
      <c r="AB336" s="135"/>
      <c r="AC336" s="135"/>
      <c r="AD336" s="52"/>
      <c r="AE336" s="52"/>
      <c r="AF336" s="52"/>
      <c r="AG336" s="52"/>
      <c r="AH336" s="52"/>
      <c r="AI336" s="52"/>
      <c r="AJ336" s="52"/>
      <c r="AK336" s="52"/>
      <c r="AL336" s="52"/>
      <c r="AM336" s="52"/>
      <c r="AN336" s="52"/>
      <c r="AO336" s="98"/>
      <c r="AP336" s="98"/>
      <c r="AQ336" s="135"/>
      <c r="AR336" s="135"/>
      <c r="AS336" s="135"/>
      <c r="AT336" s="135"/>
      <c r="AU336" s="135"/>
      <c r="AV336" s="135"/>
      <c r="AW336" s="135"/>
      <c r="AX336" s="91"/>
      <c r="AY336" s="135"/>
      <c r="AZ336" s="135"/>
      <c r="BA336" s="135"/>
      <c r="BB336" s="52"/>
      <c r="BC336" s="52"/>
      <c r="BD336" s="52"/>
      <c r="BE336" s="52"/>
      <c r="BF336" s="52"/>
      <c r="BG336" s="52"/>
      <c r="BH336" s="52"/>
      <c r="BI336" s="52"/>
      <c r="BJ336" s="152"/>
      <c r="BP336" s="31"/>
      <c r="BQ336" s="31"/>
      <c r="BR336" s="31"/>
      <c r="BS336" s="31"/>
      <c r="BT336" s="31"/>
      <c r="BU336" s="31"/>
      <c r="BV336" s="31"/>
      <c r="BW336" s="31"/>
      <c r="BX336" s="31"/>
    </row>
    <row r="337" spans="2:76" s="227" customFormat="1" ht="17.100000000000001" customHeight="1" outlineLevel="1">
      <c r="B337" s="226"/>
      <c r="C337" s="513"/>
      <c r="D337" s="538" t="str">
        <f>X!$C$163</f>
        <v>Laufzeit</v>
      </c>
      <c r="E337" s="160"/>
      <c r="F337" s="160"/>
      <c r="G337" s="160"/>
      <c r="H337" s="160"/>
      <c r="I337" s="160"/>
      <c r="J337" s="160"/>
      <c r="K337" s="160"/>
      <c r="L337" s="160"/>
      <c r="M337" s="160"/>
      <c r="N337" s="160"/>
      <c r="O337" s="98"/>
      <c r="P337" s="122" t="s">
        <v>152</v>
      </c>
      <c r="Q337" s="98"/>
      <c r="R337" s="98"/>
      <c r="S337" s="1452"/>
      <c r="T337" s="1452"/>
      <c r="U337" s="1452"/>
      <c r="V337" s="135"/>
      <c r="W337" s="1463"/>
      <c r="X337" s="1463"/>
      <c r="Y337" s="1463"/>
      <c r="Z337" s="228"/>
      <c r="AA337" s="1445">
        <f>AI304</f>
        <v>0</v>
      </c>
      <c r="AB337" s="1463"/>
      <c r="AC337" s="1463"/>
      <c r="AD337" s="64"/>
      <c r="AE337" s="1445">
        <f>ROUND(SUM(AE334:AG335),-1)</f>
        <v>0</v>
      </c>
      <c r="AF337" s="1463"/>
      <c r="AG337" s="1463"/>
      <c r="AH337" s="64"/>
      <c r="AI337" s="64"/>
      <c r="AJ337" s="64"/>
      <c r="AK337" s="64"/>
      <c r="AL337" s="64"/>
      <c r="AM337" s="64"/>
      <c r="AN337" s="64"/>
      <c r="AO337" s="98"/>
      <c r="AP337" s="98"/>
      <c r="AQ337" s="1452"/>
      <c r="AR337" s="1452"/>
      <c r="AS337" s="1452"/>
      <c r="AT337" s="135"/>
      <c r="AU337" s="1463"/>
      <c r="AV337" s="1463"/>
      <c r="AW337" s="1463"/>
      <c r="AX337" s="228"/>
      <c r="AY337" s="1445">
        <f>BG304</f>
        <v>0</v>
      </c>
      <c r="AZ337" s="1463"/>
      <c r="BA337" s="1463"/>
      <c r="BB337" s="64"/>
      <c r="BC337" s="1445">
        <f>ROUND(SUM(BC334:BE335),-1)</f>
        <v>0</v>
      </c>
      <c r="BD337" s="1463"/>
      <c r="BE337" s="1463"/>
      <c r="BF337" s="64"/>
      <c r="BG337" s="64"/>
      <c r="BH337" s="64"/>
      <c r="BI337" s="64"/>
      <c r="BJ337" s="229"/>
      <c r="BL337" s="28"/>
      <c r="BP337" s="31"/>
      <c r="BQ337" s="31"/>
      <c r="BR337" s="31"/>
      <c r="BS337" s="31"/>
      <c r="BT337" s="31"/>
      <c r="BU337" s="31"/>
      <c r="BV337" s="31"/>
      <c r="BW337" s="31"/>
      <c r="BX337" s="31"/>
    </row>
    <row r="338" spans="2:76" s="736" customFormat="1" ht="17.100000000000001" customHeight="1" outlineLevel="1">
      <c r="B338" s="733"/>
      <c r="C338" s="266"/>
      <c r="D338" s="981" t="str">
        <f>D331</f>
        <v>Total</v>
      </c>
      <c r="E338" s="981"/>
      <c r="F338" s="981"/>
      <c r="G338" s="981"/>
      <c r="H338" s="981"/>
      <c r="I338" s="981"/>
      <c r="J338" s="981"/>
      <c r="K338" s="981"/>
      <c r="L338" s="981"/>
      <c r="M338" s="981"/>
      <c r="N338" s="981"/>
      <c r="O338" s="981"/>
      <c r="P338" s="981" t="s">
        <v>22</v>
      </c>
      <c r="Q338" s="981"/>
      <c r="R338" s="981"/>
      <c r="S338" s="1572"/>
      <c r="T338" s="1572"/>
      <c r="U338" s="1572"/>
      <c r="V338" s="954"/>
      <c r="W338" s="1573"/>
      <c r="X338" s="1573"/>
      <c r="Y338" s="1573"/>
      <c r="Z338" s="984"/>
      <c r="AA338" s="1535">
        <f>IF(AA331*AA337&gt;10000,ROUND(AA331*AA337,-3),ROUND(AA331*AA337,-2))</f>
        <v>0</v>
      </c>
      <c r="AB338" s="1535"/>
      <c r="AC338" s="1535"/>
      <c r="AD338" s="980"/>
      <c r="AE338" s="1535">
        <f>IF(AE331*AE337&gt;10000,ROUND(AE331*AE337,-3),ROUND(AE331*AE337,-2))</f>
        <v>0</v>
      </c>
      <c r="AF338" s="1535"/>
      <c r="AG338" s="1535"/>
      <c r="AH338" s="980"/>
      <c r="AI338" s="1468">
        <f>AA338+AE338</f>
        <v>0</v>
      </c>
      <c r="AJ338" s="1468"/>
      <c r="AK338" s="1468"/>
      <c r="AL338" s="734"/>
      <c r="AM338" s="734"/>
      <c r="AN338" s="734"/>
      <c r="AO338" s="169"/>
      <c r="AP338" s="169"/>
      <c r="AQ338" s="1572"/>
      <c r="AR338" s="1572"/>
      <c r="AS338" s="1572"/>
      <c r="AT338" s="954"/>
      <c r="AU338" s="1573"/>
      <c r="AV338" s="1573"/>
      <c r="AW338" s="1573"/>
      <c r="AX338" s="984"/>
      <c r="AY338" s="1468">
        <f>IF(AY331*AY337&gt;10000,ROUND(AY331*AY337,-3),ROUND(AY331*AY337,-2))</f>
        <v>0</v>
      </c>
      <c r="AZ338" s="1468"/>
      <c r="BA338" s="1468"/>
      <c r="BB338" s="980"/>
      <c r="BC338" s="1535">
        <f>IF(BC331*BC337&gt;10000,ROUND(BC331*BC337,-3),ROUND(BC331*BC337,-2))</f>
        <v>0</v>
      </c>
      <c r="BD338" s="1535"/>
      <c r="BE338" s="1535"/>
      <c r="BF338" s="980"/>
      <c r="BG338" s="1468">
        <f>AY338+BC338</f>
        <v>0</v>
      </c>
      <c r="BH338" s="1468"/>
      <c r="BI338" s="1468"/>
      <c r="BJ338" s="735"/>
      <c r="BL338" s="28"/>
      <c r="BP338" s="273"/>
      <c r="BQ338" s="273"/>
      <c r="BR338" s="273"/>
      <c r="BS338" s="273"/>
      <c r="BT338" s="273"/>
      <c r="BU338" s="273"/>
      <c r="BV338" s="273"/>
      <c r="BW338" s="273"/>
      <c r="BX338" s="273"/>
    </row>
    <row r="339" spans="2:76" outlineLevel="1">
      <c r="B339" s="147"/>
      <c r="C339" s="477"/>
      <c r="D339" s="52"/>
      <c r="E339" s="52"/>
      <c r="F339" s="52"/>
      <c r="G339" s="52"/>
      <c r="H339" s="52"/>
      <c r="I339" s="52"/>
      <c r="J339" s="52"/>
      <c r="K339" s="52"/>
      <c r="L339" s="52"/>
      <c r="M339" s="52"/>
      <c r="N339" s="52"/>
      <c r="O339" s="52"/>
      <c r="P339" s="55"/>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152"/>
      <c r="BL339" s="28"/>
      <c r="BP339" s="28"/>
      <c r="BQ339" s="28"/>
      <c r="BR339" s="28"/>
      <c r="BS339" s="28"/>
      <c r="BT339" s="28"/>
      <c r="BU339" s="28"/>
      <c r="BV339" s="28"/>
      <c r="BW339" s="28"/>
      <c r="BX339" s="28"/>
    </row>
    <row r="340" spans="2:76" outlineLevel="1">
      <c r="B340" s="147"/>
      <c r="C340" s="477"/>
      <c r="D340" s="52"/>
      <c r="E340" s="52"/>
      <c r="F340" s="52"/>
      <c r="G340" s="52"/>
      <c r="H340" s="52"/>
      <c r="I340" s="52"/>
      <c r="J340" s="52"/>
      <c r="K340" s="52"/>
      <c r="L340" s="52"/>
      <c r="M340" s="52"/>
      <c r="N340" s="52"/>
      <c r="O340" s="52"/>
      <c r="P340" s="55"/>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152"/>
      <c r="BL340" s="28"/>
      <c r="BP340" s="227"/>
      <c r="BQ340" s="227"/>
      <c r="BR340" s="227"/>
      <c r="BS340" s="227"/>
      <c r="BT340" s="227"/>
      <c r="BU340" s="227"/>
      <c r="BV340" s="227"/>
      <c r="BW340" s="227"/>
      <c r="BX340" s="227"/>
    </row>
    <row r="341" spans="2:76" outlineLevel="1">
      <c r="B341" s="147"/>
      <c r="C341" s="495">
        <v>5.4</v>
      </c>
      <c r="D341" s="544" t="str">
        <f>X!$C$98</f>
        <v>Energieverbrauch Hilfsbetriebe «kalte Seite»</v>
      </c>
      <c r="E341" s="52"/>
      <c r="F341" s="52"/>
      <c r="G341" s="52"/>
      <c r="H341" s="52"/>
      <c r="I341" s="52"/>
      <c r="J341" s="52"/>
      <c r="K341" s="52"/>
      <c r="L341" s="52"/>
      <c r="M341" s="52"/>
      <c r="N341" s="52"/>
      <c r="O341" s="52"/>
      <c r="P341" s="55"/>
      <c r="Q341" s="52"/>
      <c r="R341" s="52"/>
      <c r="S341" s="1540" t="s">
        <v>150</v>
      </c>
      <c r="T341" s="1540"/>
      <c r="U341" s="1540"/>
      <c r="V341" s="101"/>
      <c r="W341" s="1540" t="str">
        <f>W324</f>
        <v>Regelung</v>
      </c>
      <c r="X341" s="1540"/>
      <c r="Y341" s="1540"/>
      <c r="Z341" s="101"/>
      <c r="AA341" s="1580" t="str">
        <f>X!$C$192</f>
        <v>Pe (korr.)</v>
      </c>
      <c r="AB341" s="1540"/>
      <c r="AC341" s="1540"/>
      <c r="AD341" s="101"/>
      <c r="AE341" s="101"/>
      <c r="AF341" s="101"/>
      <c r="AG341" s="101"/>
      <c r="AH341" s="101"/>
      <c r="AI341" s="101"/>
      <c r="AJ341" s="101"/>
      <c r="AK341" s="101"/>
      <c r="AL341" s="101"/>
      <c r="AM341" s="101"/>
      <c r="AN341" s="101"/>
      <c r="AO341" s="101"/>
      <c r="AP341" s="101"/>
      <c r="AQ341" s="1540" t="s">
        <v>150</v>
      </c>
      <c r="AR341" s="1540"/>
      <c r="AS341" s="1540"/>
      <c r="AT341" s="101"/>
      <c r="AU341" s="1540" t="str">
        <f>AU324</f>
        <v>Regelung</v>
      </c>
      <c r="AV341" s="1540"/>
      <c r="AW341" s="1540"/>
      <c r="AX341" s="101"/>
      <c r="AY341" s="1580" t="str">
        <f>X!$C$192</f>
        <v>Pe (korr.)</v>
      </c>
      <c r="AZ341" s="1540"/>
      <c r="BA341" s="1540"/>
      <c r="BB341" s="52"/>
      <c r="BC341" s="52"/>
      <c r="BD341" s="52"/>
      <c r="BE341" s="52"/>
      <c r="BF341" s="52"/>
      <c r="BG341" s="52"/>
      <c r="BH341" s="52"/>
      <c r="BI341" s="52"/>
      <c r="BJ341" s="152"/>
      <c r="BL341" s="28"/>
      <c r="BP341" s="227"/>
      <c r="BQ341" s="227"/>
      <c r="BR341" s="227"/>
      <c r="BS341" s="227"/>
      <c r="BT341" s="227"/>
      <c r="BU341" s="227"/>
      <c r="BV341" s="227"/>
      <c r="BW341" s="227"/>
      <c r="BX341" s="227"/>
    </row>
    <row r="342" spans="2:76" s="28" customFormat="1" ht="6" customHeight="1" outlineLevel="1">
      <c r="B342" s="117"/>
      <c r="C342" s="474"/>
      <c r="D342" s="98"/>
      <c r="E342" s="98"/>
      <c r="F342" s="98"/>
      <c r="G342" s="98"/>
      <c r="H342" s="98"/>
      <c r="I342" s="98"/>
      <c r="J342" s="98"/>
      <c r="K342" s="98"/>
      <c r="L342" s="98"/>
      <c r="M342" s="98"/>
      <c r="N342" s="98"/>
      <c r="O342" s="98"/>
      <c r="P342" s="122"/>
      <c r="Q342" s="98"/>
      <c r="R342" s="98"/>
      <c r="S342" s="135"/>
      <c r="T342" s="135"/>
      <c r="U342" s="135"/>
      <c r="V342" s="135"/>
      <c r="W342" s="135"/>
      <c r="X342" s="135"/>
      <c r="Y342" s="135"/>
      <c r="Z342" s="52"/>
      <c r="AA342" s="52"/>
      <c r="AB342" s="52"/>
      <c r="AC342" s="52"/>
      <c r="AD342" s="52"/>
      <c r="AE342" s="52"/>
      <c r="AF342" s="52"/>
      <c r="AG342" s="52"/>
      <c r="AH342" s="52"/>
      <c r="AI342" s="52"/>
      <c r="AJ342" s="52"/>
      <c r="AK342" s="52"/>
      <c r="AL342" s="52"/>
      <c r="AM342" s="52"/>
      <c r="AN342" s="52"/>
      <c r="AO342" s="135"/>
      <c r="AP342" s="135"/>
      <c r="AQ342" s="135"/>
      <c r="AR342" s="135"/>
      <c r="AS342" s="135"/>
      <c r="AT342" s="135"/>
      <c r="AU342" s="135"/>
      <c r="AV342" s="135"/>
      <c r="AW342" s="135"/>
      <c r="AX342" s="52"/>
      <c r="AY342" s="52"/>
      <c r="AZ342" s="52"/>
      <c r="BA342" s="52"/>
      <c r="BB342" s="52"/>
      <c r="BC342" s="52"/>
      <c r="BD342" s="52"/>
      <c r="BE342" s="52"/>
      <c r="BF342" s="52"/>
      <c r="BG342" s="52"/>
      <c r="BH342" s="52"/>
      <c r="BI342" s="52"/>
      <c r="BJ342" s="152"/>
      <c r="BP342" s="227"/>
      <c r="BQ342" s="227"/>
      <c r="BR342" s="227"/>
      <c r="BS342" s="227"/>
      <c r="BT342" s="227"/>
      <c r="BU342" s="227"/>
      <c r="BV342" s="227"/>
      <c r="BW342" s="227"/>
      <c r="BX342" s="227"/>
    </row>
    <row r="343" spans="2:76" s="155" customFormat="1" ht="17.100000000000001" customHeight="1" outlineLevel="1">
      <c r="B343" s="154"/>
      <c r="C343" s="491"/>
      <c r="D343" s="122" t="str">
        <f>D76</f>
        <v>Kälteträgerpumpen</v>
      </c>
      <c r="E343" s="122"/>
      <c r="F343" s="122"/>
      <c r="G343" s="156"/>
      <c r="H343" s="122"/>
      <c r="I343" s="122"/>
      <c r="J343" s="122"/>
      <c r="K343" s="122"/>
      <c r="L343" s="122"/>
      <c r="M343" s="122"/>
      <c r="N343" s="122"/>
      <c r="O343" s="122"/>
      <c r="P343" s="122" t="s">
        <v>106</v>
      </c>
      <c r="Q343" s="122"/>
      <c r="R343" s="122"/>
      <c r="S343" s="1452">
        <f>S76</f>
        <v>0</v>
      </c>
      <c r="T343" s="1452"/>
      <c r="U343" s="1452"/>
      <c r="V343" s="135"/>
      <c r="W343" s="1538">
        <f>-AK517</f>
        <v>0</v>
      </c>
      <c r="X343" s="1539"/>
      <c r="Y343" s="1539"/>
      <c r="Z343" s="91"/>
      <c r="AA343" s="1452">
        <f>S343*(1+W343)</f>
        <v>0</v>
      </c>
      <c r="AB343" s="1452"/>
      <c r="AC343" s="1452"/>
      <c r="AD343" s="52"/>
      <c r="AE343" s="52"/>
      <c r="AF343" s="52"/>
      <c r="AG343" s="52"/>
      <c r="AH343" s="52"/>
      <c r="AI343" s="52"/>
      <c r="AJ343" s="52"/>
      <c r="AK343" s="52"/>
      <c r="AL343" s="52"/>
      <c r="AM343" s="52"/>
      <c r="AN343" s="52"/>
      <c r="AO343" s="98"/>
      <c r="AP343" s="98"/>
      <c r="AQ343" s="1452">
        <f>AQ76</f>
        <v>0</v>
      </c>
      <c r="AR343" s="1452"/>
      <c r="AS343" s="1452"/>
      <c r="AT343" s="135"/>
      <c r="AU343" s="1538">
        <f>-BI517</f>
        <v>0</v>
      </c>
      <c r="AV343" s="1539"/>
      <c r="AW343" s="1539"/>
      <c r="AX343" s="91"/>
      <c r="AY343" s="1452">
        <f>AQ343*(1+AU343)</f>
        <v>0</v>
      </c>
      <c r="AZ343" s="1452"/>
      <c r="BA343" s="1452"/>
      <c r="BB343" s="52"/>
      <c r="BC343" s="52"/>
      <c r="BD343" s="52"/>
      <c r="BE343" s="52"/>
      <c r="BF343" s="52"/>
      <c r="BG343" s="52"/>
      <c r="BH343" s="52"/>
      <c r="BI343" s="52"/>
      <c r="BJ343" s="152"/>
      <c r="BL343" s="28"/>
      <c r="BP343" s="31"/>
      <c r="BQ343" s="31"/>
      <c r="BR343" s="31"/>
      <c r="BS343" s="31"/>
      <c r="BT343" s="31"/>
      <c r="BU343" s="31"/>
      <c r="BV343" s="31"/>
      <c r="BW343" s="31"/>
      <c r="BX343" s="31"/>
    </row>
    <row r="344" spans="2:76" s="155" customFormat="1" ht="17.100000000000001" customHeight="1" outlineLevel="1">
      <c r="B344" s="154"/>
      <c r="C344" s="491"/>
      <c r="D344" s="122" t="str">
        <f>D78</f>
        <v>Ventilatoren Kühler</v>
      </c>
      <c r="E344" s="122"/>
      <c r="F344" s="122"/>
      <c r="G344" s="156"/>
      <c r="H344" s="122"/>
      <c r="I344" s="122"/>
      <c r="J344" s="122"/>
      <c r="K344" s="122"/>
      <c r="L344" s="122"/>
      <c r="M344" s="122"/>
      <c r="N344" s="122"/>
      <c r="O344" s="122"/>
      <c r="P344" s="122" t="s">
        <v>106</v>
      </c>
      <c r="Q344" s="122"/>
      <c r="R344" s="122"/>
      <c r="S344" s="1452">
        <f>S78</f>
        <v>0</v>
      </c>
      <c r="T344" s="1452"/>
      <c r="U344" s="1452"/>
      <c r="V344" s="135"/>
      <c r="W344" s="1538">
        <f>-AK527</f>
        <v>0</v>
      </c>
      <c r="X344" s="1539"/>
      <c r="Y344" s="1539"/>
      <c r="Z344" s="91"/>
      <c r="AA344" s="1452">
        <f>S344*(1+W344)</f>
        <v>0</v>
      </c>
      <c r="AB344" s="1452"/>
      <c r="AC344" s="1452"/>
      <c r="AD344" s="52"/>
      <c r="AE344" s="52"/>
      <c r="AF344" s="52"/>
      <c r="AG344" s="52"/>
      <c r="AH344" s="52"/>
      <c r="AI344" s="52"/>
      <c r="AJ344" s="52"/>
      <c r="AK344" s="52"/>
      <c r="AL344" s="52"/>
      <c r="AM344" s="52"/>
      <c r="AN344" s="52"/>
      <c r="AO344" s="98"/>
      <c r="AP344" s="98"/>
      <c r="AQ344" s="1452">
        <f>AQ78</f>
        <v>0</v>
      </c>
      <c r="AR344" s="1452"/>
      <c r="AS344" s="1452"/>
      <c r="AT344" s="135"/>
      <c r="AU344" s="1538">
        <f>-BI527</f>
        <v>0</v>
      </c>
      <c r="AV344" s="1539"/>
      <c r="AW344" s="1539"/>
      <c r="AX344" s="91"/>
      <c r="AY344" s="1452">
        <f>AQ344*(1+AU344)</f>
        <v>0</v>
      </c>
      <c r="AZ344" s="1452"/>
      <c r="BA344" s="1452"/>
      <c r="BB344" s="52"/>
      <c r="BC344" s="52"/>
      <c r="BD344" s="52"/>
      <c r="BE344" s="52"/>
      <c r="BF344" s="52"/>
      <c r="BG344" s="52"/>
      <c r="BH344" s="52"/>
      <c r="BI344" s="52"/>
      <c r="BJ344" s="152"/>
      <c r="BL344" s="28"/>
      <c r="BP344" s="31"/>
      <c r="BQ344" s="31"/>
      <c r="BR344" s="31"/>
      <c r="BS344" s="31"/>
      <c r="BT344" s="31"/>
      <c r="BU344" s="31"/>
      <c r="BV344" s="31"/>
      <c r="BW344" s="31"/>
      <c r="BX344" s="31"/>
    </row>
    <row r="345" spans="2:76" s="28" customFormat="1" ht="17.100000000000001" customHeight="1" outlineLevel="1">
      <c r="B345" s="117"/>
      <c r="C345" s="489"/>
      <c r="D345" s="230">
        <f>D80</f>
        <v>0</v>
      </c>
      <c r="E345" s="230"/>
      <c r="F345" s="230"/>
      <c r="G345" s="231"/>
      <c r="H345" s="230"/>
      <c r="I345" s="230"/>
      <c r="J345" s="230"/>
      <c r="K345" s="230"/>
      <c r="L345" s="230"/>
      <c r="M345" s="230"/>
      <c r="N345" s="230"/>
      <c r="O345" s="230"/>
      <c r="P345" s="232" t="s">
        <v>106</v>
      </c>
      <c r="Q345" s="230"/>
      <c r="R345" s="230"/>
      <c r="S345" s="1576">
        <f>S80</f>
        <v>0</v>
      </c>
      <c r="T345" s="1576"/>
      <c r="U345" s="1576"/>
      <c r="V345" s="233"/>
      <c r="W345" s="1574">
        <f>-AK537</f>
        <v>0</v>
      </c>
      <c r="X345" s="1575"/>
      <c r="Y345" s="1575"/>
      <c r="Z345" s="234"/>
      <c r="AA345" s="1576">
        <f>S345*(1+W345)</f>
        <v>0</v>
      </c>
      <c r="AB345" s="1576"/>
      <c r="AC345" s="1576"/>
      <c r="AD345" s="52"/>
      <c r="AE345" s="52"/>
      <c r="AF345" s="52"/>
      <c r="AG345" s="52"/>
      <c r="AH345" s="52"/>
      <c r="AI345" s="52"/>
      <c r="AJ345" s="52"/>
      <c r="AK345" s="52"/>
      <c r="AL345" s="52"/>
      <c r="AM345" s="52"/>
      <c r="AN345" s="52"/>
      <c r="AO345" s="98"/>
      <c r="AP345" s="98"/>
      <c r="AQ345" s="1576">
        <f>AQ80</f>
        <v>0</v>
      </c>
      <c r="AR345" s="1576"/>
      <c r="AS345" s="1576"/>
      <c r="AT345" s="233"/>
      <c r="AU345" s="1574">
        <f>-BI537</f>
        <v>0</v>
      </c>
      <c r="AV345" s="1575"/>
      <c r="AW345" s="1575"/>
      <c r="AX345" s="234"/>
      <c r="AY345" s="1576">
        <f>AQ345*(1+AU345)</f>
        <v>0</v>
      </c>
      <c r="AZ345" s="1576"/>
      <c r="BA345" s="1576"/>
      <c r="BB345" s="52"/>
      <c r="BC345" s="52"/>
      <c r="BD345" s="52"/>
      <c r="BE345" s="52"/>
      <c r="BF345" s="52"/>
      <c r="BG345" s="52"/>
      <c r="BH345" s="52"/>
      <c r="BI345" s="52"/>
      <c r="BJ345" s="152"/>
      <c r="BP345" s="31"/>
      <c r="BQ345" s="31"/>
      <c r="BR345" s="31"/>
      <c r="BS345" s="31"/>
      <c r="BT345" s="31"/>
      <c r="BU345" s="31"/>
      <c r="BV345" s="31"/>
      <c r="BW345" s="31"/>
      <c r="BX345" s="31"/>
    </row>
    <row r="346" spans="2:76" s="155" customFormat="1" ht="17.100000000000001" customHeight="1" outlineLevel="1">
      <c r="B346" s="154"/>
      <c r="C346" s="491"/>
      <c r="D346" s="169" t="str">
        <f>D331</f>
        <v>Total</v>
      </c>
      <c r="E346" s="169"/>
      <c r="F346" s="169"/>
      <c r="G346" s="169"/>
      <c r="H346" s="169"/>
      <c r="I346" s="169"/>
      <c r="J346" s="169"/>
      <c r="K346" s="169"/>
      <c r="L346" s="169"/>
      <c r="M346" s="169"/>
      <c r="N346" s="169"/>
      <c r="O346" s="144"/>
      <c r="P346" s="190" t="s">
        <v>106</v>
      </c>
      <c r="Q346" s="144"/>
      <c r="R346" s="144"/>
      <c r="S346" s="1462"/>
      <c r="T346" s="1462"/>
      <c r="U346" s="1462"/>
      <c r="V346" s="173"/>
      <c r="W346" s="1537"/>
      <c r="X346" s="1537"/>
      <c r="Y346" s="1537"/>
      <c r="Z346" s="223"/>
      <c r="AA346" s="1452">
        <f>SUM(AA343:AC345)</f>
        <v>0</v>
      </c>
      <c r="AB346" s="1452"/>
      <c r="AC346" s="1452"/>
      <c r="AD346" s="224"/>
      <c r="AE346" s="224"/>
      <c r="AF346" s="224"/>
      <c r="AG346" s="224"/>
      <c r="AH346" s="224"/>
      <c r="AI346" s="224"/>
      <c r="AJ346" s="224"/>
      <c r="AK346" s="224"/>
      <c r="AL346" s="224"/>
      <c r="AM346" s="224"/>
      <c r="AN346" s="224"/>
      <c r="AO346" s="144"/>
      <c r="AP346" s="144"/>
      <c r="AQ346" s="1462"/>
      <c r="AR346" s="1462"/>
      <c r="AS346" s="1462"/>
      <c r="AT346" s="173"/>
      <c r="AU346" s="1537"/>
      <c r="AV346" s="1537"/>
      <c r="AW346" s="1537"/>
      <c r="AX346" s="223"/>
      <c r="AY346" s="1452">
        <f>SUM(AY343:BA345)</f>
        <v>0</v>
      </c>
      <c r="AZ346" s="1452"/>
      <c r="BA346" s="1452"/>
      <c r="BB346" s="224"/>
      <c r="BC346" s="224"/>
      <c r="BD346" s="224"/>
      <c r="BE346" s="224"/>
      <c r="BF346" s="224"/>
      <c r="BG346" s="224"/>
      <c r="BH346" s="224"/>
      <c r="BI346" s="224"/>
      <c r="BJ346" s="225"/>
      <c r="BL346" s="28"/>
      <c r="BP346" s="31"/>
      <c r="BQ346" s="31"/>
      <c r="BR346" s="31"/>
      <c r="BS346" s="31"/>
      <c r="BT346" s="31"/>
      <c r="BU346" s="31"/>
      <c r="BV346" s="31"/>
      <c r="BW346" s="31"/>
      <c r="BX346" s="31"/>
    </row>
    <row r="347" spans="2:76" s="28" customFormat="1" ht="6" customHeight="1" outlineLevel="1">
      <c r="B347" s="117"/>
      <c r="C347" s="489"/>
      <c r="D347" s="98"/>
      <c r="E347" s="98"/>
      <c r="F347" s="98"/>
      <c r="G347" s="55"/>
      <c r="H347" s="98"/>
      <c r="I347" s="98"/>
      <c r="J347" s="98"/>
      <c r="K347" s="98"/>
      <c r="L347" s="98"/>
      <c r="M347" s="98"/>
      <c r="N347" s="98"/>
      <c r="O347" s="98"/>
      <c r="P347" s="122"/>
      <c r="Q347" s="98"/>
      <c r="R347" s="98"/>
      <c r="S347" s="135"/>
      <c r="T347" s="135"/>
      <c r="U347" s="135"/>
      <c r="V347" s="135"/>
      <c r="W347" s="135"/>
      <c r="X347" s="135"/>
      <c r="Y347" s="135"/>
      <c r="Z347" s="91"/>
      <c r="AA347" s="135"/>
      <c r="AB347" s="135"/>
      <c r="AC347" s="135"/>
      <c r="AD347" s="52"/>
      <c r="AE347" s="52"/>
      <c r="AF347" s="52"/>
      <c r="AG347" s="52"/>
      <c r="AH347" s="52"/>
      <c r="AI347" s="52"/>
      <c r="AJ347" s="52"/>
      <c r="AK347" s="52"/>
      <c r="AL347" s="52"/>
      <c r="AM347" s="52"/>
      <c r="AN347" s="52"/>
      <c r="AO347" s="98"/>
      <c r="AP347" s="98"/>
      <c r="AQ347" s="135"/>
      <c r="AR347" s="135"/>
      <c r="AS347" s="135"/>
      <c r="AT347" s="135"/>
      <c r="AU347" s="135"/>
      <c r="AV347" s="135"/>
      <c r="AW347" s="135"/>
      <c r="AX347" s="91"/>
      <c r="AY347" s="135"/>
      <c r="AZ347" s="135"/>
      <c r="BA347" s="135"/>
      <c r="BB347" s="52"/>
      <c r="BC347" s="52"/>
      <c r="BD347" s="52"/>
      <c r="BE347" s="52"/>
      <c r="BF347" s="52"/>
      <c r="BG347" s="52"/>
      <c r="BH347" s="52"/>
      <c r="BI347" s="52"/>
      <c r="BJ347" s="152"/>
      <c r="BP347" s="31"/>
      <c r="BQ347" s="31"/>
      <c r="BR347" s="31"/>
      <c r="BS347" s="31"/>
      <c r="BT347" s="31"/>
      <c r="BU347" s="31"/>
      <c r="BV347" s="31"/>
      <c r="BW347" s="31"/>
      <c r="BX347" s="31"/>
    </row>
    <row r="348" spans="2:76" s="227" customFormat="1" ht="17.100000000000001" customHeight="1" outlineLevel="1">
      <c r="B348" s="226"/>
      <c r="C348" s="513"/>
      <c r="D348" s="160" t="str">
        <f>D337</f>
        <v>Laufzeit</v>
      </c>
      <c r="E348" s="160"/>
      <c r="F348" s="160"/>
      <c r="G348" s="160"/>
      <c r="H348" s="160"/>
      <c r="I348" s="160"/>
      <c r="J348" s="160"/>
      <c r="K348" s="160"/>
      <c r="L348" s="160"/>
      <c r="M348" s="160"/>
      <c r="N348" s="160"/>
      <c r="O348" s="98"/>
      <c r="P348" s="122" t="s">
        <v>152</v>
      </c>
      <c r="Q348" s="98"/>
      <c r="R348" s="98"/>
      <c r="S348" s="1452"/>
      <c r="T348" s="1452"/>
      <c r="U348" s="1452"/>
      <c r="V348" s="135"/>
      <c r="W348" s="1463"/>
      <c r="X348" s="1463"/>
      <c r="Y348" s="1463"/>
      <c r="Z348" s="228"/>
      <c r="AA348" s="1445">
        <f>AI304</f>
        <v>0</v>
      </c>
      <c r="AB348" s="1463"/>
      <c r="AC348" s="1463"/>
      <c r="AD348" s="64"/>
      <c r="AE348" s="64"/>
      <c r="AF348" s="64"/>
      <c r="AG348" s="64"/>
      <c r="AH348" s="64"/>
      <c r="AI348" s="64"/>
      <c r="AJ348" s="64"/>
      <c r="AK348" s="64"/>
      <c r="AL348" s="64"/>
      <c r="AM348" s="64"/>
      <c r="AN348" s="64"/>
      <c r="AO348" s="98"/>
      <c r="AP348" s="98"/>
      <c r="AQ348" s="1452"/>
      <c r="AR348" s="1452"/>
      <c r="AS348" s="1452"/>
      <c r="AT348" s="135"/>
      <c r="AU348" s="1463"/>
      <c r="AV348" s="1463"/>
      <c r="AW348" s="1463"/>
      <c r="AX348" s="228"/>
      <c r="AY348" s="1445">
        <f>BG304</f>
        <v>0</v>
      </c>
      <c r="AZ348" s="1463"/>
      <c r="BA348" s="1463"/>
      <c r="BB348" s="64"/>
      <c r="BC348" s="64"/>
      <c r="BD348" s="64"/>
      <c r="BE348" s="64"/>
      <c r="BF348" s="64"/>
      <c r="BG348" s="64"/>
      <c r="BH348" s="64"/>
      <c r="BI348" s="64"/>
      <c r="BJ348" s="229"/>
      <c r="BL348" s="28"/>
      <c r="BP348" s="31"/>
      <c r="BQ348" s="31"/>
      <c r="BR348" s="31"/>
      <c r="BS348" s="31"/>
      <c r="BT348" s="31"/>
      <c r="BU348" s="31"/>
      <c r="BV348" s="31"/>
      <c r="BW348" s="31"/>
      <c r="BX348" s="31"/>
    </row>
    <row r="349" spans="2:76" s="155" customFormat="1" ht="17.100000000000001" customHeight="1" outlineLevel="1">
      <c r="B349" s="154"/>
      <c r="C349" s="491"/>
      <c r="D349" s="235" t="str">
        <f>D338</f>
        <v>Total</v>
      </c>
      <c r="E349" s="235"/>
      <c r="F349" s="235"/>
      <c r="G349" s="235"/>
      <c r="H349" s="235"/>
      <c r="I349" s="235"/>
      <c r="J349" s="235"/>
      <c r="K349" s="235"/>
      <c r="L349" s="235"/>
      <c r="M349" s="235"/>
      <c r="N349" s="235"/>
      <c r="O349" s="194"/>
      <c r="P349" s="195" t="s">
        <v>22</v>
      </c>
      <c r="Q349" s="194"/>
      <c r="R349" s="194"/>
      <c r="S349" s="1578"/>
      <c r="T349" s="1578"/>
      <c r="U349" s="1578"/>
      <c r="V349" s="201"/>
      <c r="W349" s="1558"/>
      <c r="X349" s="1558"/>
      <c r="Y349" s="1558"/>
      <c r="Z349" s="236"/>
      <c r="AA349" s="1579">
        <f>IF(AA346*AA348&gt;10000,ROUND(AA346*AA348,-3),ROUND(AA346*AA348,-2))</f>
        <v>0</v>
      </c>
      <c r="AB349" s="1579"/>
      <c r="AC349" s="1579"/>
      <c r="AD349" s="224"/>
      <c r="AE349" s="224"/>
      <c r="AF349" s="224"/>
      <c r="AG349" s="224"/>
      <c r="AH349" s="224"/>
      <c r="AI349" s="224"/>
      <c r="AJ349" s="224"/>
      <c r="AK349" s="224"/>
      <c r="AL349" s="224"/>
      <c r="AM349" s="224"/>
      <c r="AN349" s="224"/>
      <c r="AO349" s="144"/>
      <c r="AP349" s="144"/>
      <c r="AQ349" s="1578"/>
      <c r="AR349" s="1578"/>
      <c r="AS349" s="1578"/>
      <c r="AT349" s="201"/>
      <c r="AU349" s="1558"/>
      <c r="AV349" s="1558"/>
      <c r="AW349" s="1558"/>
      <c r="AX349" s="236"/>
      <c r="AY349" s="1579">
        <f>IF(AY346*AY348&gt;10000,ROUND(AY346*AY348,-3),ROUND(AY346*AY348,-2))</f>
        <v>0</v>
      </c>
      <c r="AZ349" s="1579"/>
      <c r="BA349" s="1579"/>
      <c r="BB349" s="224"/>
      <c r="BC349" s="224"/>
      <c r="BD349" s="224"/>
      <c r="BE349" s="224"/>
      <c r="BF349" s="224"/>
      <c r="BG349" s="224"/>
      <c r="BH349" s="224"/>
      <c r="BI349" s="224"/>
      <c r="BJ349" s="225"/>
      <c r="BL349" s="28"/>
      <c r="BP349" s="31"/>
      <c r="BQ349" s="31"/>
      <c r="BR349" s="31"/>
      <c r="BS349" s="31"/>
      <c r="BT349" s="31"/>
      <c r="BU349" s="31"/>
      <c r="BV349" s="31"/>
      <c r="BW349" s="31"/>
      <c r="BX349" s="31"/>
    </row>
    <row r="350" spans="2:76" s="155" customFormat="1" ht="17.100000000000001" customHeight="1" outlineLevel="1">
      <c r="B350" s="154"/>
      <c r="C350" s="491"/>
      <c r="D350" s="169"/>
      <c r="E350" s="169"/>
      <c r="F350" s="169"/>
      <c r="G350" s="169"/>
      <c r="H350" s="169"/>
      <c r="I350" s="169"/>
      <c r="J350" s="169"/>
      <c r="K350" s="169"/>
      <c r="L350" s="169"/>
      <c r="M350" s="169"/>
      <c r="N350" s="169"/>
      <c r="O350" s="144"/>
      <c r="P350" s="190"/>
      <c r="Q350" s="144"/>
      <c r="R350" s="144"/>
      <c r="S350" s="744"/>
      <c r="T350" s="744"/>
      <c r="U350" s="744"/>
      <c r="V350" s="745"/>
      <c r="W350" s="745"/>
      <c r="X350" s="745"/>
      <c r="Y350" s="745"/>
      <c r="Z350" s="223"/>
      <c r="AA350" s="741"/>
      <c r="AB350" s="741"/>
      <c r="AC350" s="741"/>
      <c r="AD350" s="224"/>
      <c r="AE350" s="224"/>
      <c r="AF350" s="224"/>
      <c r="AG350" s="224"/>
      <c r="AH350" s="224"/>
      <c r="AI350" s="224"/>
      <c r="AJ350" s="224"/>
      <c r="AK350" s="224"/>
      <c r="AL350" s="224"/>
      <c r="AM350" s="224"/>
      <c r="AN350" s="224"/>
      <c r="AO350" s="144"/>
      <c r="AP350" s="144"/>
      <c r="AQ350" s="744"/>
      <c r="AR350" s="744"/>
      <c r="AS350" s="744"/>
      <c r="AT350" s="745"/>
      <c r="AU350" s="745"/>
      <c r="AV350" s="745"/>
      <c r="AW350" s="745"/>
      <c r="AX350" s="223"/>
      <c r="AY350" s="741"/>
      <c r="AZ350" s="741"/>
      <c r="BA350" s="741"/>
      <c r="BB350" s="224"/>
      <c r="BC350" s="224"/>
      <c r="BD350" s="224"/>
      <c r="BE350" s="224"/>
      <c r="BF350" s="224"/>
      <c r="BG350" s="224"/>
      <c r="BH350" s="224"/>
      <c r="BI350" s="224"/>
      <c r="BJ350" s="225"/>
      <c r="BL350" s="28"/>
      <c r="BP350" s="31"/>
      <c r="BQ350" s="31"/>
      <c r="BR350" s="31"/>
      <c r="BS350" s="31"/>
      <c r="BT350" s="31"/>
      <c r="BU350" s="31"/>
      <c r="BV350" s="31"/>
      <c r="BW350" s="31"/>
      <c r="BX350" s="31"/>
    </row>
    <row r="351" spans="2:76" s="155" customFormat="1" ht="17.100000000000001" customHeight="1" outlineLevel="1">
      <c r="B351" s="154"/>
      <c r="C351" s="491"/>
      <c r="D351" s="169"/>
      <c r="E351" s="169"/>
      <c r="F351" s="169"/>
      <c r="G351" s="169"/>
      <c r="H351" s="169"/>
      <c r="I351" s="169"/>
      <c r="J351" s="169"/>
      <c r="K351" s="169"/>
      <c r="L351" s="169"/>
      <c r="M351" s="169"/>
      <c r="N351" s="169"/>
      <c r="O351" s="144"/>
      <c r="P351" s="190"/>
      <c r="Q351" s="144"/>
      <c r="R351" s="144"/>
      <c r="S351" s="890"/>
      <c r="T351" s="890"/>
      <c r="U351" s="890"/>
      <c r="V351" s="891"/>
      <c r="W351" s="891"/>
      <c r="X351" s="891"/>
      <c r="Y351" s="891"/>
      <c r="Z351" s="223"/>
      <c r="AA351" s="893"/>
      <c r="AB351" s="893"/>
      <c r="AC351" s="893"/>
      <c r="AD351" s="224"/>
      <c r="AE351" s="224"/>
      <c r="AF351" s="224"/>
      <c r="AG351" s="224"/>
      <c r="AH351" s="224"/>
      <c r="AI351" s="224"/>
      <c r="AJ351" s="224"/>
      <c r="AK351" s="224"/>
      <c r="AL351" s="224"/>
      <c r="AM351" s="224"/>
      <c r="AN351" s="224"/>
      <c r="AO351" s="144"/>
      <c r="AP351" s="144"/>
      <c r="AQ351" s="890"/>
      <c r="AR351" s="890"/>
      <c r="AS351" s="890"/>
      <c r="AT351" s="891"/>
      <c r="AU351" s="891"/>
      <c r="AV351" s="891"/>
      <c r="AW351" s="891"/>
      <c r="AX351" s="223"/>
      <c r="AY351" s="893"/>
      <c r="AZ351" s="893"/>
      <c r="BA351" s="893"/>
      <c r="BB351" s="224"/>
      <c r="BC351" s="224"/>
      <c r="BD351" s="224"/>
      <c r="BE351" s="224"/>
      <c r="BF351" s="224"/>
      <c r="BG351" s="224"/>
      <c r="BH351" s="224"/>
      <c r="BI351" s="224"/>
      <c r="BJ351" s="225"/>
      <c r="BL351" s="28"/>
      <c r="BP351" s="31"/>
      <c r="BQ351" s="31"/>
      <c r="BR351" s="31"/>
      <c r="BS351" s="31"/>
      <c r="BT351" s="31"/>
      <c r="BU351" s="31"/>
      <c r="BV351" s="31"/>
      <c r="BW351" s="31"/>
      <c r="BX351" s="31"/>
    </row>
    <row r="352" spans="2:76" outlineLevel="1">
      <c r="B352" s="147"/>
      <c r="C352" s="495">
        <v>5.5</v>
      </c>
      <c r="D352" s="938" t="str">
        <f>X!C312</f>
        <v>Wärmenutzung</v>
      </c>
      <c r="E352" s="52"/>
      <c r="F352" s="52"/>
      <c r="G352" s="52"/>
      <c r="H352" s="52"/>
      <c r="I352" s="52"/>
      <c r="J352" s="52"/>
      <c r="K352" s="52"/>
      <c r="L352" s="52"/>
      <c r="M352" s="52"/>
      <c r="N352" s="52"/>
      <c r="O352" s="52"/>
      <c r="P352" s="640"/>
      <c r="Q352" s="52"/>
      <c r="R352" s="52"/>
      <c r="S352" s="1449" t="str">
        <f>S300</f>
        <v>Frühling</v>
      </c>
      <c r="T352" s="1449"/>
      <c r="U352" s="1449"/>
      <c r="V352" s="889"/>
      <c r="W352" s="1449" t="str">
        <f>W300</f>
        <v>Sommer</v>
      </c>
      <c r="X352" s="1449"/>
      <c r="Y352" s="1449"/>
      <c r="Z352" s="889"/>
      <c r="AA352" s="1449" t="str">
        <f>AA300</f>
        <v>Herbst</v>
      </c>
      <c r="AB352" s="1449"/>
      <c r="AC352" s="1449"/>
      <c r="AD352" s="889"/>
      <c r="AE352" s="1449" t="str">
        <f>AE300</f>
        <v>Winter</v>
      </c>
      <c r="AF352" s="1449"/>
      <c r="AG352" s="1449"/>
      <c r="AH352" s="889"/>
      <c r="AI352" s="1449" t="str">
        <f>AI300</f>
        <v>Jahr</v>
      </c>
      <c r="AJ352" s="1449"/>
      <c r="AK352" s="1449"/>
      <c r="AL352" s="889"/>
      <c r="AM352" s="889"/>
      <c r="AN352" s="52"/>
      <c r="AO352" s="52"/>
      <c r="AP352" s="52"/>
      <c r="AQ352" s="1449" t="str">
        <f>S352</f>
        <v>Frühling</v>
      </c>
      <c r="AR352" s="1449"/>
      <c r="AS352" s="1449"/>
      <c r="AT352" s="52"/>
      <c r="AU352" s="1449" t="str">
        <f>W352</f>
        <v>Sommer</v>
      </c>
      <c r="AV352" s="1449"/>
      <c r="AW352" s="1449"/>
      <c r="AX352" s="52"/>
      <c r="AY352" s="1449" t="str">
        <f>AA352</f>
        <v>Herbst</v>
      </c>
      <c r="AZ352" s="1449"/>
      <c r="BA352" s="1449"/>
      <c r="BB352" s="52"/>
      <c r="BC352" s="1449" t="str">
        <f>AE352</f>
        <v>Winter</v>
      </c>
      <c r="BD352" s="1449"/>
      <c r="BE352" s="1449"/>
      <c r="BF352" s="52"/>
      <c r="BG352" s="1449" t="str">
        <f>AI352</f>
        <v>Jahr</v>
      </c>
      <c r="BH352" s="1449"/>
      <c r="BI352" s="1449"/>
      <c r="BJ352" s="152"/>
      <c r="BL352" s="28"/>
    </row>
    <row r="353" spans="2:76" s="28" customFormat="1" ht="6" customHeight="1" outlineLevel="1">
      <c r="B353" s="117"/>
      <c r="C353" s="894"/>
      <c r="D353" s="170"/>
      <c r="E353" s="98"/>
      <c r="F353" s="98"/>
      <c r="G353" s="98"/>
      <c r="H353" s="98"/>
      <c r="I353" s="98"/>
      <c r="J353" s="98"/>
      <c r="K353" s="98"/>
      <c r="L353" s="98"/>
      <c r="M353" s="98"/>
      <c r="N353" s="98"/>
      <c r="O353" s="98"/>
      <c r="P353" s="122"/>
      <c r="Q353" s="98"/>
      <c r="R353" s="98"/>
      <c r="S353" s="892"/>
      <c r="T353" s="892"/>
      <c r="U353" s="892"/>
      <c r="V353" s="892"/>
      <c r="W353" s="892"/>
      <c r="X353" s="892"/>
      <c r="Y353" s="892"/>
      <c r="Z353" s="892"/>
      <c r="AA353" s="892"/>
      <c r="AB353" s="892"/>
      <c r="AC353" s="892"/>
      <c r="AD353" s="892"/>
      <c r="AE353" s="892"/>
      <c r="AF353" s="892"/>
      <c r="AG353" s="892"/>
      <c r="AH353" s="892"/>
      <c r="AI353" s="892"/>
      <c r="AJ353" s="892"/>
      <c r="AK353" s="892"/>
      <c r="AL353" s="892"/>
      <c r="AM353" s="892"/>
      <c r="AN353" s="892"/>
      <c r="AO353" s="892"/>
      <c r="AP353" s="892"/>
      <c r="AQ353" s="892"/>
      <c r="AR353" s="892"/>
      <c r="AS353" s="892"/>
      <c r="AT353" s="98"/>
      <c r="AU353" s="98"/>
      <c r="AV353" s="640"/>
      <c r="AW353" s="640"/>
      <c r="AX353" s="640"/>
      <c r="AY353" s="640"/>
      <c r="AZ353" s="640"/>
      <c r="BA353" s="640"/>
      <c r="BB353" s="640"/>
      <c r="BC353" s="640"/>
      <c r="BD353" s="640"/>
      <c r="BE353" s="640"/>
      <c r="BF353" s="640"/>
      <c r="BG353" s="640"/>
      <c r="BH353" s="640"/>
      <c r="BI353" s="640"/>
      <c r="BJ353" s="121"/>
      <c r="BP353" s="31"/>
      <c r="BQ353" s="31"/>
      <c r="BR353" s="31"/>
      <c r="BS353" s="31"/>
      <c r="BT353" s="31"/>
      <c r="BU353" s="31"/>
      <c r="BV353" s="31"/>
      <c r="BW353" s="31"/>
      <c r="BX353" s="31"/>
    </row>
    <row r="354" spans="2:76" s="925" customFormat="1" ht="17.100000000000001" customHeight="1" outlineLevel="1">
      <c r="B354" s="924"/>
      <c r="C354" s="887"/>
      <c r="D354" s="919" t="str">
        <f>X!C349</f>
        <v>Verfügbare Wärme</v>
      </c>
      <c r="F354" s="926"/>
      <c r="G354" s="926"/>
      <c r="H354" s="926"/>
      <c r="I354" s="926"/>
      <c r="J354" s="926"/>
      <c r="K354" s="926"/>
      <c r="L354" s="926"/>
      <c r="M354" s="926"/>
      <c r="N354" s="926"/>
      <c r="O354" s="926"/>
      <c r="P354" s="926" t="s">
        <v>199</v>
      </c>
      <c r="Q354" s="926"/>
      <c r="R354" s="1459">
        <f>R845</f>
        <v>0</v>
      </c>
      <c r="S354" s="1449"/>
      <c r="T354" s="1449"/>
      <c r="U354" s="1449"/>
      <c r="V354" s="1459">
        <f>V845</f>
        <v>0</v>
      </c>
      <c r="W354" s="1449"/>
      <c r="X354" s="1449"/>
      <c r="Y354" s="1449"/>
      <c r="Z354" s="1459">
        <f>Z845</f>
        <v>0</v>
      </c>
      <c r="AA354" s="1449"/>
      <c r="AB354" s="1449"/>
      <c r="AC354" s="1449"/>
      <c r="AD354" s="1459">
        <f>AD845</f>
        <v>0</v>
      </c>
      <c r="AE354" s="1449"/>
      <c r="AF354" s="1449"/>
      <c r="AG354" s="1449"/>
      <c r="AH354" s="1459">
        <f>AH845</f>
        <v>0</v>
      </c>
      <c r="AI354" s="1449"/>
      <c r="AJ354" s="1449"/>
      <c r="AK354" s="1449"/>
      <c r="AL354" s="927"/>
      <c r="AM354" s="927"/>
      <c r="AN354" s="929"/>
      <c r="AO354" s="929"/>
      <c r="AP354" s="1459">
        <f>AP845</f>
        <v>0</v>
      </c>
      <c r="AQ354" s="1449"/>
      <c r="AR354" s="1449"/>
      <c r="AS354" s="1449"/>
      <c r="AT354" s="1459">
        <f>AT845</f>
        <v>0</v>
      </c>
      <c r="AU354" s="1449"/>
      <c r="AV354" s="1449"/>
      <c r="AW354" s="1449"/>
      <c r="AX354" s="1459">
        <f>AX845</f>
        <v>0</v>
      </c>
      <c r="AY354" s="1449"/>
      <c r="AZ354" s="1449"/>
      <c r="BA354" s="1449"/>
      <c r="BB354" s="1459">
        <f>BB845</f>
        <v>0</v>
      </c>
      <c r="BC354" s="1449"/>
      <c r="BD354" s="1449"/>
      <c r="BE354" s="1449"/>
      <c r="BF354" s="1459">
        <f>BF845</f>
        <v>0</v>
      </c>
      <c r="BG354" s="1449"/>
      <c r="BH354" s="1449"/>
      <c r="BI354" s="1449"/>
      <c r="BJ354" s="930"/>
      <c r="BL354" s="28"/>
      <c r="BP354" s="920"/>
      <c r="BQ354" s="920"/>
      <c r="BR354" s="920"/>
      <c r="BS354" s="920"/>
      <c r="BT354" s="920"/>
      <c r="BU354" s="920"/>
      <c r="BV354" s="920"/>
      <c r="BW354" s="920"/>
      <c r="BX354" s="920"/>
    </row>
    <row r="355" spans="2:76" s="925" customFormat="1" ht="17.100000000000001" customHeight="1" outlineLevel="1">
      <c r="B355" s="924"/>
      <c r="C355" s="887"/>
      <c r="D355" s="919" t="str">
        <f>X!C350</f>
        <v>Wärmebedarf (Heizung, TWW, Prozesse)</v>
      </c>
      <c r="F355" s="926"/>
      <c r="G355" s="926"/>
      <c r="H355" s="926"/>
      <c r="I355" s="926"/>
      <c r="J355" s="926"/>
      <c r="K355" s="926"/>
      <c r="L355" s="926"/>
      <c r="M355" s="926"/>
      <c r="N355" s="926"/>
      <c r="O355" s="926"/>
      <c r="P355" s="926" t="s">
        <v>199</v>
      </c>
      <c r="Q355" s="926"/>
      <c r="R355" s="1459">
        <f>R837</f>
        <v>0</v>
      </c>
      <c r="S355" s="1449"/>
      <c r="T355" s="1449"/>
      <c r="U355" s="1449"/>
      <c r="V355" s="1459">
        <f>V837</f>
        <v>0</v>
      </c>
      <c r="W355" s="1449"/>
      <c r="X355" s="1449"/>
      <c r="Y355" s="1449"/>
      <c r="Z355" s="1459">
        <f>Z837</f>
        <v>0</v>
      </c>
      <c r="AA355" s="1449"/>
      <c r="AB355" s="1449"/>
      <c r="AC355" s="1449"/>
      <c r="AD355" s="1459">
        <f>AD837</f>
        <v>0</v>
      </c>
      <c r="AE355" s="1449"/>
      <c r="AF355" s="1449"/>
      <c r="AG355" s="1449"/>
      <c r="AH355" s="1459">
        <f>AH837</f>
        <v>0</v>
      </c>
      <c r="AI355" s="1449"/>
      <c r="AJ355" s="1449"/>
      <c r="AK355" s="1449"/>
      <c r="AL355" s="928"/>
      <c r="AM355" s="928"/>
      <c r="AN355" s="929"/>
      <c r="AO355" s="929"/>
      <c r="AP355" s="1459">
        <f>AP837</f>
        <v>0</v>
      </c>
      <c r="AQ355" s="1449"/>
      <c r="AR355" s="1449"/>
      <c r="AS355" s="1449"/>
      <c r="AT355" s="1459">
        <f>AT837</f>
        <v>0</v>
      </c>
      <c r="AU355" s="1449"/>
      <c r="AV355" s="1449"/>
      <c r="AW355" s="1449"/>
      <c r="AX355" s="1459">
        <f>AX837</f>
        <v>0</v>
      </c>
      <c r="AY355" s="1449"/>
      <c r="AZ355" s="1449"/>
      <c r="BA355" s="1449"/>
      <c r="BB355" s="1459">
        <f>BB837</f>
        <v>0</v>
      </c>
      <c r="BC355" s="1449"/>
      <c r="BD355" s="1449"/>
      <c r="BE355" s="1449"/>
      <c r="BF355" s="1459">
        <f>BF837</f>
        <v>0</v>
      </c>
      <c r="BG355" s="1449"/>
      <c r="BH355" s="1449"/>
      <c r="BI355" s="1449"/>
      <c r="BJ355" s="930"/>
      <c r="BL355" s="28"/>
      <c r="BP355" s="920"/>
      <c r="BQ355" s="920"/>
      <c r="BR355" s="920"/>
      <c r="BS355" s="920"/>
      <c r="BT355" s="920"/>
      <c r="BU355" s="920"/>
      <c r="BV355" s="920"/>
      <c r="BW355" s="920"/>
      <c r="BX355" s="920"/>
    </row>
    <row r="356" spans="2:76" s="799" customFormat="1" ht="17.100000000000001" customHeight="1" outlineLevel="1">
      <c r="B356" s="797"/>
      <c r="C356" s="859"/>
      <c r="D356" s="939" t="str">
        <f>X!C351</f>
        <v>Effektiv genutzte Wärme</v>
      </c>
      <c r="E356" s="937"/>
      <c r="F356" s="195"/>
      <c r="G356" s="195"/>
      <c r="H356" s="195"/>
      <c r="I356" s="195"/>
      <c r="J356" s="195"/>
      <c r="K356" s="195"/>
      <c r="L356" s="195"/>
      <c r="M356" s="195"/>
      <c r="N356" s="195"/>
      <c r="O356" s="195"/>
      <c r="P356" s="195" t="s">
        <v>199</v>
      </c>
      <c r="Q356" s="195"/>
      <c r="R356" s="1491">
        <f>R848</f>
        <v>0</v>
      </c>
      <c r="S356" s="1491"/>
      <c r="T356" s="1491"/>
      <c r="U356" s="1491"/>
      <c r="V356" s="1491">
        <f t="shared" ref="V356" si="15">V848</f>
        <v>0</v>
      </c>
      <c r="W356" s="1491"/>
      <c r="X356" s="1491"/>
      <c r="Y356" s="1491"/>
      <c r="Z356" s="1491">
        <f t="shared" ref="Z356" si="16">Z848</f>
        <v>0</v>
      </c>
      <c r="AA356" s="1491"/>
      <c r="AB356" s="1491"/>
      <c r="AC356" s="1491"/>
      <c r="AD356" s="1491">
        <f t="shared" ref="AD356" si="17">AD848</f>
        <v>0</v>
      </c>
      <c r="AE356" s="1491"/>
      <c r="AF356" s="1491"/>
      <c r="AG356" s="1491"/>
      <c r="AH356" s="1491">
        <f t="shared" ref="AH356" si="18">AH848</f>
        <v>0</v>
      </c>
      <c r="AI356" s="1491"/>
      <c r="AJ356" s="1491"/>
      <c r="AK356" s="1491"/>
      <c r="AL356" s="921"/>
      <c r="AM356" s="922"/>
      <c r="AN356" s="923"/>
      <c r="AO356" s="923"/>
      <c r="AP356" s="1491">
        <f>AP848</f>
        <v>0</v>
      </c>
      <c r="AQ356" s="1491"/>
      <c r="AR356" s="1491"/>
      <c r="AS356" s="1491"/>
      <c r="AT356" s="1491">
        <f t="shared" ref="AT356" si="19">AT848</f>
        <v>0</v>
      </c>
      <c r="AU356" s="1491"/>
      <c r="AV356" s="1491"/>
      <c r="AW356" s="1491"/>
      <c r="AX356" s="1491">
        <f t="shared" ref="AX356" si="20">AX848</f>
        <v>0</v>
      </c>
      <c r="AY356" s="1491"/>
      <c r="AZ356" s="1491"/>
      <c r="BA356" s="1491"/>
      <c r="BB356" s="1491">
        <f t="shared" ref="BB356" si="21">BB848</f>
        <v>0</v>
      </c>
      <c r="BC356" s="1491"/>
      <c r="BD356" s="1491"/>
      <c r="BE356" s="1491"/>
      <c r="BF356" s="1491">
        <f t="shared" ref="BF356" si="22">BF848</f>
        <v>0</v>
      </c>
      <c r="BG356" s="1491"/>
      <c r="BH356" s="1491"/>
      <c r="BI356" s="1491"/>
      <c r="BJ356" s="802"/>
      <c r="BL356" s="28"/>
    </row>
    <row r="357" spans="2:76" s="155" customFormat="1" ht="17.100000000000001" customHeight="1" outlineLevel="1">
      <c r="B357" s="154"/>
      <c r="C357" s="491"/>
      <c r="D357" s="169"/>
      <c r="E357" s="169"/>
      <c r="F357" s="169"/>
      <c r="G357" s="169"/>
      <c r="H357" s="169"/>
      <c r="I357" s="169"/>
      <c r="J357" s="169"/>
      <c r="K357" s="169"/>
      <c r="L357" s="169"/>
      <c r="M357" s="169"/>
      <c r="N357" s="169"/>
      <c r="O357" s="144"/>
      <c r="P357" s="190"/>
      <c r="Q357" s="144"/>
      <c r="R357" s="144"/>
      <c r="S357" s="890"/>
      <c r="T357" s="890"/>
      <c r="U357" s="890"/>
      <c r="V357" s="891"/>
      <c r="W357" s="891"/>
      <c r="X357" s="891"/>
      <c r="Y357" s="891"/>
      <c r="Z357" s="223"/>
      <c r="AA357" s="893"/>
      <c r="AB357" s="893"/>
      <c r="AC357" s="893"/>
      <c r="AD357" s="224"/>
      <c r="AE357" s="224"/>
      <c r="AF357" s="224"/>
      <c r="AG357" s="224"/>
      <c r="AH357" s="224"/>
      <c r="AI357" s="224"/>
      <c r="AJ357" s="224"/>
      <c r="AK357" s="224"/>
      <c r="AL357" s="224"/>
      <c r="AM357" s="224"/>
      <c r="AN357" s="224"/>
      <c r="AO357" s="144"/>
      <c r="AP357" s="144"/>
      <c r="AQ357" s="890"/>
      <c r="AR357" s="890"/>
      <c r="AS357" s="890"/>
      <c r="AT357" s="891"/>
      <c r="AU357" s="891"/>
      <c r="AV357" s="891"/>
      <c r="AW357" s="891"/>
      <c r="AX357" s="223"/>
      <c r="AY357" s="893"/>
      <c r="AZ357" s="893"/>
      <c r="BA357" s="893"/>
      <c r="BB357" s="224"/>
      <c r="BC357" s="224"/>
      <c r="BD357" s="224"/>
      <c r="BE357" s="224"/>
      <c r="BF357" s="224"/>
      <c r="BG357" s="224"/>
      <c r="BH357" s="224"/>
      <c r="BI357" s="224"/>
      <c r="BJ357" s="225"/>
      <c r="BL357" s="28"/>
      <c r="BP357" s="31"/>
      <c r="BQ357" s="31"/>
      <c r="BR357" s="31"/>
      <c r="BS357" s="31"/>
      <c r="BT357" s="31"/>
      <c r="BU357" s="31"/>
      <c r="BV357" s="31"/>
      <c r="BW357" s="31"/>
      <c r="BX357" s="31"/>
    </row>
    <row r="358" spans="2:76" outlineLevel="1">
      <c r="B358" s="147"/>
      <c r="C358" s="477"/>
      <c r="D358" s="52"/>
      <c r="E358" s="52"/>
      <c r="F358" s="52"/>
      <c r="G358" s="52"/>
      <c r="H358" s="52"/>
      <c r="I358" s="52"/>
      <c r="J358" s="52"/>
      <c r="K358" s="52"/>
      <c r="L358" s="52"/>
      <c r="M358" s="52"/>
      <c r="N358" s="52"/>
      <c r="O358" s="52"/>
      <c r="P358" s="55"/>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152"/>
      <c r="BL358" s="28"/>
    </row>
    <row r="359" spans="2:76" outlineLevel="1">
      <c r="B359" s="104"/>
      <c r="C359" s="502"/>
      <c r="D359" s="104"/>
      <c r="E359" s="104"/>
      <c r="F359" s="104"/>
      <c r="G359" s="104"/>
      <c r="H359" s="104"/>
      <c r="I359" s="104"/>
      <c r="J359" s="104"/>
      <c r="K359" s="104"/>
      <c r="L359" s="104"/>
      <c r="M359" s="104"/>
      <c r="N359" s="104"/>
      <c r="O359" s="104"/>
      <c r="P359" s="105"/>
      <c r="Q359" s="104"/>
      <c r="R359" s="104"/>
      <c r="S359" s="104"/>
      <c r="T359" s="104"/>
      <c r="U359" s="104"/>
      <c r="V359" s="104"/>
      <c r="W359" s="104"/>
      <c r="X359" s="104"/>
      <c r="Y359" s="104"/>
      <c r="Z359" s="104"/>
      <c r="AA359" s="104"/>
      <c r="AB359" s="104"/>
      <c r="AC359" s="104"/>
      <c r="AD359" s="104"/>
      <c r="AE359" s="104"/>
      <c r="AF359" s="104"/>
      <c r="AG359" s="104"/>
      <c r="AH359" s="104"/>
      <c r="AI359" s="104"/>
      <c r="AJ359" s="104"/>
      <c r="AK359" s="104"/>
      <c r="AL359" s="104"/>
      <c r="AM359" s="104"/>
      <c r="AN359" s="104"/>
      <c r="AO359" s="104"/>
      <c r="AP359" s="104"/>
      <c r="AQ359" s="104"/>
      <c r="AR359" s="104"/>
      <c r="AS359" s="104"/>
      <c r="AT359" s="104"/>
      <c r="AU359" s="104"/>
      <c r="AV359" s="104"/>
      <c r="AW359" s="104"/>
      <c r="AX359" s="104"/>
      <c r="AY359" s="104"/>
      <c r="AZ359" s="104"/>
      <c r="BA359" s="104"/>
      <c r="BB359" s="104"/>
      <c r="BC359" s="104"/>
      <c r="BD359" s="104"/>
      <c r="BE359" s="104"/>
      <c r="BF359" s="104"/>
      <c r="BG359" s="104"/>
      <c r="BH359" s="104"/>
      <c r="BI359" s="104"/>
      <c r="BJ359" s="104"/>
      <c r="BL359" s="28"/>
    </row>
    <row r="360" spans="2:76" outlineLevel="1">
      <c r="B360" s="127"/>
      <c r="C360" s="506"/>
      <c r="D360" s="127"/>
      <c r="E360" s="127"/>
      <c r="F360" s="127"/>
      <c r="G360" s="127"/>
      <c r="H360" s="127"/>
      <c r="I360" s="127"/>
      <c r="J360" s="127"/>
      <c r="K360" s="127"/>
      <c r="L360" s="127"/>
      <c r="M360" s="127"/>
      <c r="N360" s="127"/>
      <c r="O360" s="127"/>
      <c r="P360" s="126"/>
      <c r="Q360" s="127"/>
      <c r="R360" s="127"/>
      <c r="S360" s="127"/>
      <c r="T360" s="127"/>
      <c r="U360" s="127"/>
      <c r="V360" s="127"/>
      <c r="W360" s="127"/>
      <c r="X360" s="127"/>
      <c r="Y360" s="127"/>
      <c r="Z360" s="127"/>
      <c r="AA360" s="127"/>
      <c r="AB360" s="127"/>
      <c r="AC360" s="127"/>
      <c r="AD360" s="127"/>
      <c r="AE360" s="127"/>
      <c r="AF360" s="127"/>
      <c r="AG360" s="127"/>
      <c r="AH360" s="127"/>
      <c r="AI360" s="127"/>
      <c r="AJ360" s="127"/>
      <c r="AK360" s="127"/>
      <c r="AL360" s="127"/>
      <c r="AM360" s="127"/>
      <c r="AN360" s="127"/>
      <c r="AO360" s="127"/>
      <c r="AP360" s="127"/>
      <c r="AQ360" s="127"/>
      <c r="AR360" s="127"/>
      <c r="AS360" s="127"/>
      <c r="AT360" s="127"/>
      <c r="AU360" s="127"/>
      <c r="AV360" s="127"/>
      <c r="AW360" s="127"/>
      <c r="AX360" s="127"/>
      <c r="AY360" s="127"/>
      <c r="AZ360" s="127"/>
      <c r="BA360" s="127"/>
      <c r="BB360" s="127"/>
      <c r="BC360" s="127"/>
      <c r="BD360" s="127"/>
      <c r="BE360" s="127"/>
      <c r="BF360" s="127"/>
      <c r="BG360" s="127"/>
      <c r="BH360" s="127"/>
      <c r="BI360" s="127"/>
      <c r="BJ360" s="127"/>
      <c r="BL360" s="28"/>
    </row>
    <row r="361" spans="2:76" outlineLevel="1">
      <c r="B361" s="147"/>
      <c r="C361" s="477"/>
      <c r="D361" s="52"/>
      <c r="E361" s="52"/>
      <c r="F361" s="52"/>
      <c r="G361" s="52"/>
      <c r="H361" s="52"/>
      <c r="I361" s="52"/>
      <c r="J361" s="52"/>
      <c r="K361" s="52"/>
      <c r="L361" s="52"/>
      <c r="M361" s="52"/>
      <c r="N361" s="52"/>
      <c r="O361" s="52"/>
      <c r="P361" s="55"/>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152"/>
      <c r="BL361" s="28"/>
    </row>
    <row r="362" spans="2:76" outlineLevel="1">
      <c r="B362" s="147"/>
      <c r="C362" s="477"/>
      <c r="D362" s="52"/>
      <c r="E362" s="52"/>
      <c r="F362" s="52"/>
      <c r="G362" s="52"/>
      <c r="H362" s="52"/>
      <c r="I362" s="52"/>
      <c r="J362" s="52"/>
      <c r="K362" s="52"/>
      <c r="L362" s="52"/>
      <c r="M362" s="52"/>
      <c r="N362" s="52"/>
      <c r="O362" s="52"/>
      <c r="P362" s="55"/>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152"/>
      <c r="BL362" s="28"/>
    </row>
    <row r="363" spans="2:76" s="116" customFormat="1" ht="21" customHeight="1" outlineLevel="1">
      <c r="B363" s="107"/>
      <c r="C363" s="1037">
        <v>6</v>
      </c>
      <c r="D363" s="1038" t="str">
        <f>X!$C$53</f>
        <v>Berechnungen mit den Betriebszeiten des Planers</v>
      </c>
      <c r="E363" s="1039"/>
      <c r="F363" s="1039"/>
      <c r="G363" s="1040"/>
      <c r="H363" s="1040"/>
      <c r="I363" s="1040"/>
      <c r="J363" s="1040"/>
      <c r="K363" s="1040"/>
      <c r="L363" s="1040"/>
      <c r="M363" s="1040"/>
      <c r="N363" s="1040"/>
      <c r="O363" s="1040"/>
      <c r="P363" s="1040"/>
      <c r="Q363" s="1040"/>
      <c r="R363" s="1040"/>
      <c r="S363" s="1039"/>
      <c r="T363" s="1039"/>
      <c r="U363" s="1040"/>
      <c r="V363" s="1040"/>
      <c r="W363" s="1040"/>
      <c r="X363" s="1040"/>
      <c r="Y363" s="1040"/>
      <c r="Z363" s="1040"/>
      <c r="AA363" s="1040"/>
      <c r="AB363" s="1040"/>
      <c r="AC363" s="1040"/>
      <c r="AD363" s="1040"/>
      <c r="AE363" s="1040"/>
      <c r="AF363" s="1040"/>
      <c r="AG363" s="1040"/>
      <c r="AH363" s="1040"/>
      <c r="AI363" s="1040"/>
      <c r="AJ363" s="1040"/>
      <c r="AK363" s="1040"/>
      <c r="AL363" s="1040"/>
      <c r="AM363" s="1040"/>
      <c r="AN363" s="1040"/>
      <c r="AO363" s="1040"/>
      <c r="AP363" s="1040"/>
      <c r="AQ363" s="1039"/>
      <c r="AR363" s="1039"/>
      <c r="AS363" s="1040"/>
      <c r="AT363" s="1040"/>
      <c r="AU363" s="1040"/>
      <c r="AV363" s="1040"/>
      <c r="AW363" s="1040"/>
      <c r="AX363" s="1040"/>
      <c r="AY363" s="1040"/>
      <c r="AZ363" s="1040"/>
      <c r="BA363" s="1040"/>
      <c r="BB363" s="1040"/>
      <c r="BC363" s="1040"/>
      <c r="BD363" s="1040"/>
      <c r="BE363" s="1040"/>
      <c r="BF363" s="1040"/>
      <c r="BG363" s="1040"/>
      <c r="BH363" s="1040"/>
      <c r="BI363" s="1040"/>
      <c r="BJ363" s="115"/>
      <c r="BL363" s="28"/>
      <c r="BP363" s="31"/>
      <c r="BQ363" s="31"/>
      <c r="BR363" s="31"/>
      <c r="BS363" s="31"/>
      <c r="BT363" s="31"/>
      <c r="BU363" s="31"/>
      <c r="BV363" s="31"/>
      <c r="BW363" s="31"/>
      <c r="BX363" s="31"/>
    </row>
    <row r="364" spans="2:76" s="28" customFormat="1" ht="17.100000000000001" customHeight="1" outlineLevel="1">
      <c r="B364" s="117"/>
      <c r="C364" s="489"/>
      <c r="D364" s="98"/>
      <c r="E364" s="98"/>
      <c r="F364" s="98"/>
      <c r="G364" s="98"/>
      <c r="H364" s="98"/>
      <c r="I364" s="98"/>
      <c r="J364" s="98"/>
      <c r="K364" s="98"/>
      <c r="L364" s="98"/>
      <c r="M364" s="98"/>
      <c r="N364" s="98"/>
      <c r="O364" s="98"/>
      <c r="P364" s="122"/>
      <c r="Q364" s="98"/>
      <c r="R364" s="98"/>
      <c r="S364" s="135"/>
      <c r="T364" s="135"/>
      <c r="U364" s="135"/>
      <c r="V364" s="98"/>
      <c r="W364" s="136"/>
      <c r="X364" s="136"/>
      <c r="Y364" s="136"/>
      <c r="Z364" s="136"/>
      <c r="AA364" s="136"/>
      <c r="AB364" s="136"/>
      <c r="AC364" s="136"/>
      <c r="AD364" s="136"/>
      <c r="AE364" s="136"/>
      <c r="AF364" s="98"/>
      <c r="AG364" s="98"/>
      <c r="AH364" s="98"/>
      <c r="AI364" s="98"/>
      <c r="AJ364" s="98"/>
      <c r="AK364" s="98"/>
      <c r="AL364" s="98"/>
      <c r="AM364" s="98"/>
      <c r="AN364" s="98"/>
      <c r="AO364" s="98"/>
      <c r="AP364" s="98"/>
      <c r="AQ364" s="135"/>
      <c r="AR364" s="135"/>
      <c r="AS364" s="135"/>
      <c r="AT364" s="98"/>
      <c r="AU364" s="136"/>
      <c r="AV364" s="136"/>
      <c r="AW364" s="136"/>
      <c r="AX364" s="136"/>
      <c r="AY364" s="136"/>
      <c r="AZ364" s="136"/>
      <c r="BA364" s="136"/>
      <c r="BB364" s="136"/>
      <c r="BC364" s="136"/>
      <c r="BD364" s="55"/>
      <c r="BE364" s="55"/>
      <c r="BF364" s="55"/>
      <c r="BG364" s="55"/>
      <c r="BH364" s="52"/>
      <c r="BI364" s="55"/>
      <c r="BJ364" s="121"/>
    </row>
    <row r="365" spans="2:76" s="139" customFormat="1" ht="17.100000000000001" customHeight="1" outlineLevel="1">
      <c r="B365" s="137"/>
      <c r="C365" s="488"/>
      <c r="D365" s="138"/>
      <c r="E365" s="138"/>
      <c r="F365" s="138"/>
      <c r="S365" s="1041" t="str">
        <f>'1 System specification'!O132</f>
        <v>Variante A</v>
      </c>
      <c r="T365" s="1041"/>
      <c r="U365" s="1042"/>
      <c r="V365" s="1042"/>
      <c r="W365" s="1042"/>
      <c r="X365" s="1042"/>
      <c r="Y365" s="1042"/>
      <c r="Z365" s="1042"/>
      <c r="AA365" s="1042"/>
      <c r="AB365" s="1042"/>
      <c r="AC365" s="1042"/>
      <c r="AD365" s="1042"/>
      <c r="AE365" s="1042"/>
      <c r="AF365" s="1042"/>
      <c r="AG365" s="1042"/>
      <c r="AH365" s="1042"/>
      <c r="AI365" s="1042"/>
      <c r="AJ365" s="1042"/>
      <c r="AK365" s="1042"/>
      <c r="AL365" s="1043"/>
      <c r="AM365" s="1043"/>
      <c r="AN365" s="1044"/>
      <c r="AO365" s="1044"/>
      <c r="AP365" s="1044"/>
      <c r="AQ365" s="1041" t="str">
        <f>'1 System specification'!O133</f>
        <v/>
      </c>
      <c r="AR365" s="1041"/>
      <c r="AS365" s="1042"/>
      <c r="AT365" s="1042"/>
      <c r="AU365" s="1042"/>
      <c r="AV365" s="1042"/>
      <c r="AW365" s="1042"/>
      <c r="AX365" s="1042"/>
      <c r="AY365" s="1042"/>
      <c r="AZ365" s="1042"/>
      <c r="BA365" s="1042"/>
      <c r="BB365" s="1042"/>
      <c r="BC365" s="1042"/>
      <c r="BD365" s="1042"/>
      <c r="BE365" s="1042"/>
      <c r="BF365" s="1042"/>
      <c r="BG365" s="1042"/>
      <c r="BH365" s="1042"/>
      <c r="BI365" s="1042"/>
      <c r="BJ365" s="142"/>
      <c r="BL365" s="28"/>
      <c r="BP365" s="31"/>
      <c r="BQ365" s="31"/>
      <c r="BR365" s="31"/>
      <c r="BS365" s="31"/>
      <c r="BT365" s="31"/>
      <c r="BU365" s="31"/>
      <c r="BV365" s="31"/>
      <c r="BW365" s="31"/>
      <c r="BX365" s="31"/>
    </row>
    <row r="366" spans="2:76" s="28" customFormat="1" ht="9" customHeight="1" outlineLevel="1">
      <c r="B366" s="117"/>
      <c r="C366" s="474"/>
      <c r="D366" s="98"/>
      <c r="E366" s="98"/>
      <c r="F366" s="98"/>
      <c r="G366" s="98"/>
      <c r="H366" s="98"/>
      <c r="I366" s="98"/>
      <c r="J366" s="98"/>
      <c r="K366" s="98"/>
      <c r="L366" s="98"/>
      <c r="M366" s="98"/>
      <c r="N366" s="98"/>
      <c r="O366" s="98"/>
      <c r="P366" s="122"/>
      <c r="Q366" s="98"/>
      <c r="R366" s="98"/>
      <c r="S366" s="98"/>
      <c r="T366" s="98"/>
      <c r="U366" s="98"/>
      <c r="V366" s="98"/>
      <c r="W366" s="98"/>
      <c r="X366" s="98"/>
      <c r="Y366" s="98"/>
      <c r="Z366" s="98"/>
      <c r="AA366" s="55"/>
      <c r="AB366" s="55"/>
      <c r="AC366" s="55"/>
      <c r="AD366" s="55"/>
      <c r="AE366" s="55"/>
      <c r="AF366" s="55"/>
      <c r="AG366" s="55"/>
      <c r="AH366" s="55"/>
      <c r="AI366" s="55"/>
      <c r="AJ366" s="55"/>
      <c r="AK366" s="55"/>
      <c r="AL366" s="55"/>
      <c r="AM366" s="55"/>
      <c r="AN366" s="55"/>
      <c r="AO366" s="55"/>
      <c r="AP366" s="55"/>
      <c r="AQ366" s="55"/>
      <c r="AR366" s="55"/>
      <c r="AS366" s="55"/>
      <c r="AT366" s="120"/>
      <c r="AU366" s="55"/>
      <c r="AV366" s="55"/>
      <c r="AW366" s="55"/>
      <c r="AX366" s="55"/>
      <c r="AY366" s="55"/>
      <c r="AZ366" s="55"/>
      <c r="BA366" s="55"/>
      <c r="BB366" s="55"/>
      <c r="BC366" s="55"/>
      <c r="BD366" s="55"/>
      <c r="BE366" s="55"/>
      <c r="BF366" s="55"/>
      <c r="BG366" s="55"/>
      <c r="BH366" s="52"/>
      <c r="BI366" s="55"/>
      <c r="BJ366" s="121"/>
    </row>
    <row r="367" spans="2:76" s="28" customFormat="1" ht="17.100000000000001" customHeight="1" outlineLevel="1">
      <c r="B367" s="117"/>
      <c r="C367" s="474"/>
      <c r="D367" s="98"/>
      <c r="E367" s="98"/>
      <c r="F367" s="98"/>
      <c r="G367" s="98"/>
      <c r="H367" s="98"/>
      <c r="I367" s="98"/>
      <c r="J367" s="98"/>
      <c r="K367" s="98"/>
      <c r="L367" s="98"/>
      <c r="M367" s="98"/>
      <c r="N367" s="98"/>
      <c r="O367" s="98"/>
      <c r="P367" s="122"/>
      <c r="Q367" s="98"/>
      <c r="R367" s="98"/>
      <c r="S367" s="98"/>
      <c r="T367" s="98"/>
      <c r="U367" s="98"/>
      <c r="V367" s="98"/>
      <c r="W367" s="98"/>
      <c r="X367" s="98"/>
      <c r="Y367" s="98"/>
      <c r="Z367" s="98"/>
      <c r="AA367" s="55"/>
      <c r="AB367" s="55"/>
      <c r="AC367" s="55"/>
      <c r="AD367" s="55"/>
      <c r="AE367" s="55"/>
      <c r="AF367" s="55"/>
      <c r="AG367" s="55"/>
      <c r="AH367" s="55"/>
      <c r="AI367" s="55"/>
      <c r="AJ367" s="55"/>
      <c r="AK367" s="55"/>
      <c r="AL367" s="55"/>
      <c r="AM367" s="55"/>
      <c r="AN367" s="55"/>
      <c r="AO367" s="55"/>
      <c r="AP367" s="55"/>
      <c r="AQ367" s="55"/>
      <c r="AR367" s="55"/>
      <c r="AS367" s="55"/>
      <c r="AT367" s="120"/>
      <c r="AU367" s="55"/>
      <c r="AV367" s="55"/>
      <c r="AW367" s="55"/>
      <c r="AX367" s="55"/>
      <c r="AY367" s="55"/>
      <c r="AZ367" s="55"/>
      <c r="BA367" s="55"/>
      <c r="BB367" s="55"/>
      <c r="BC367" s="55"/>
      <c r="BD367" s="55"/>
      <c r="BE367" s="55"/>
      <c r="BF367" s="55"/>
      <c r="BG367" s="55"/>
      <c r="BH367" s="52"/>
      <c r="BI367" s="55"/>
      <c r="BJ367" s="121"/>
    </row>
    <row r="368" spans="2:76" outlineLevel="1">
      <c r="B368" s="147"/>
      <c r="C368" s="1045">
        <v>6.1</v>
      </c>
      <c r="D368" s="1047" t="str">
        <f>X!$C$138</f>
        <v>Kälteproduktion Planer-Werte</v>
      </c>
      <c r="E368" s="1046"/>
      <c r="F368" s="1046"/>
      <c r="G368" s="1046"/>
      <c r="H368" s="52"/>
      <c r="I368" s="52"/>
      <c r="J368" s="52"/>
      <c r="K368" s="52"/>
      <c r="L368" s="52"/>
      <c r="M368" s="52"/>
      <c r="N368" s="52"/>
      <c r="O368" s="52"/>
      <c r="P368" s="55"/>
      <c r="Q368" s="52"/>
      <c r="R368" s="52"/>
      <c r="S368" s="1577" t="str">
        <f>S300</f>
        <v>Frühling</v>
      </c>
      <c r="T368" s="1577"/>
      <c r="U368" s="1577"/>
      <c r="V368" s="52"/>
      <c r="W368" s="1449" t="str">
        <f>W300</f>
        <v>Sommer</v>
      </c>
      <c r="X368" s="1449"/>
      <c r="Y368" s="1449"/>
      <c r="Z368" s="52"/>
      <c r="AA368" s="1449" t="str">
        <f>AA300</f>
        <v>Herbst</v>
      </c>
      <c r="AB368" s="1449"/>
      <c r="AC368" s="1449"/>
      <c r="AD368" s="52"/>
      <c r="AE368" s="1449" t="str">
        <f>AE300</f>
        <v>Winter</v>
      </c>
      <c r="AF368" s="1449"/>
      <c r="AG368" s="1449"/>
      <c r="AH368" s="52"/>
      <c r="AI368" s="1449" t="str">
        <f>AI300</f>
        <v>Jahr</v>
      </c>
      <c r="AJ368" s="1449"/>
      <c r="AK368" s="1449"/>
      <c r="AL368" s="406"/>
      <c r="AM368" s="406"/>
      <c r="AN368" s="52"/>
      <c r="AO368" s="52"/>
      <c r="AP368" s="52"/>
      <c r="AQ368" s="1577" t="str">
        <f>AQ300</f>
        <v>Frühling</v>
      </c>
      <c r="AR368" s="1577"/>
      <c r="AS368" s="1577"/>
      <c r="AT368" s="52"/>
      <c r="AU368" s="1449" t="str">
        <f>AU300</f>
        <v>Sommer</v>
      </c>
      <c r="AV368" s="1449"/>
      <c r="AW368" s="1449"/>
      <c r="AX368" s="52"/>
      <c r="AY368" s="1449" t="str">
        <f>AY300</f>
        <v>Herbst</v>
      </c>
      <c r="AZ368" s="1449"/>
      <c r="BA368" s="1449"/>
      <c r="BB368" s="52"/>
      <c r="BC368" s="1449" t="str">
        <f>BC300</f>
        <v>Winter</v>
      </c>
      <c r="BD368" s="1449"/>
      <c r="BE368" s="1449"/>
      <c r="BF368" s="52"/>
      <c r="BG368" s="1449" t="str">
        <f>BG300</f>
        <v>Jahr</v>
      </c>
      <c r="BH368" s="1449"/>
      <c r="BI368" s="1449"/>
      <c r="BJ368" s="152"/>
      <c r="BL368" s="28"/>
      <c r="BP368" s="28"/>
      <c r="BQ368" s="28"/>
      <c r="BR368" s="28"/>
      <c r="BS368" s="28"/>
      <c r="BT368" s="28"/>
      <c r="BU368" s="28"/>
      <c r="BV368" s="28"/>
      <c r="BW368" s="28"/>
      <c r="BX368" s="28"/>
    </row>
    <row r="369" spans="2:76" s="28" customFormat="1" ht="6" customHeight="1" outlineLevel="1">
      <c r="B369" s="117"/>
      <c r="C369" s="474"/>
      <c r="D369" s="98"/>
      <c r="E369" s="98"/>
      <c r="F369" s="98"/>
      <c r="G369" s="98"/>
      <c r="H369" s="98"/>
      <c r="I369" s="98"/>
      <c r="J369" s="98"/>
      <c r="K369" s="98"/>
      <c r="L369" s="98"/>
      <c r="M369" s="98"/>
      <c r="N369" s="98"/>
      <c r="O369" s="98"/>
      <c r="P369" s="122"/>
      <c r="Q369" s="98"/>
      <c r="R369" s="98"/>
      <c r="S369" s="135"/>
      <c r="T369" s="135"/>
      <c r="U369" s="135"/>
      <c r="V369" s="135"/>
      <c r="W369" s="135"/>
      <c r="X369" s="135"/>
      <c r="Y369" s="135"/>
      <c r="Z369" s="135"/>
      <c r="AA369" s="135"/>
      <c r="AB369" s="135"/>
      <c r="AC369" s="135"/>
      <c r="AD369" s="135"/>
      <c r="AE369" s="135"/>
      <c r="AF369" s="135"/>
      <c r="AG369" s="135"/>
      <c r="AH369" s="135"/>
      <c r="AI369" s="135"/>
      <c r="AJ369" s="135"/>
      <c r="AK369" s="135"/>
      <c r="AL369" s="405"/>
      <c r="AM369" s="405"/>
      <c r="AN369" s="135"/>
      <c r="AO369" s="135"/>
      <c r="AP369" s="135"/>
      <c r="AQ369" s="135"/>
      <c r="AR369" s="135"/>
      <c r="AS369" s="135"/>
      <c r="AT369" s="98"/>
      <c r="AU369" s="98"/>
      <c r="AV369" s="55"/>
      <c r="AW369" s="55"/>
      <c r="AX369" s="55"/>
      <c r="AY369" s="55"/>
      <c r="AZ369" s="55"/>
      <c r="BA369" s="55"/>
      <c r="BB369" s="55"/>
      <c r="BC369" s="55"/>
      <c r="BD369" s="55"/>
      <c r="BE369" s="55"/>
      <c r="BF369" s="55"/>
      <c r="BG369" s="55"/>
      <c r="BH369" s="55"/>
      <c r="BI369" s="55"/>
      <c r="BJ369" s="121"/>
      <c r="BP369" s="31"/>
      <c r="BQ369" s="31"/>
      <c r="BR369" s="31"/>
      <c r="BS369" s="31"/>
      <c r="BT369" s="31"/>
      <c r="BU369" s="31"/>
      <c r="BV369" s="31"/>
      <c r="BW369" s="31"/>
      <c r="BX369" s="31"/>
    </row>
    <row r="370" spans="2:76" s="28" customFormat="1" ht="17.100000000000001" customHeight="1" outlineLevel="1">
      <c r="B370" s="117"/>
      <c r="C370" s="489"/>
      <c r="D370" s="98" t="str">
        <f>D302</f>
        <v>Kälteleistung</v>
      </c>
      <c r="E370" s="98"/>
      <c r="F370" s="98"/>
      <c r="G370" s="98"/>
      <c r="H370" s="98"/>
      <c r="I370" s="98"/>
      <c r="J370" s="98"/>
      <c r="K370" s="98"/>
      <c r="L370" s="98"/>
      <c r="M370" s="98"/>
      <c r="N370" s="98"/>
      <c r="O370" s="98"/>
      <c r="P370" s="122" t="s">
        <v>106</v>
      </c>
      <c r="Q370" s="98"/>
      <c r="R370" s="98"/>
      <c r="S370" s="1458">
        <f>S302</f>
        <v>0</v>
      </c>
      <c r="T370" s="1458"/>
      <c r="U370" s="1458"/>
      <c r="V370" s="1250"/>
      <c r="W370" s="1458">
        <f>W302</f>
        <v>0</v>
      </c>
      <c r="X370" s="1458"/>
      <c r="Y370" s="1458"/>
      <c r="Z370" s="175"/>
      <c r="AA370" s="1458">
        <f>AA302</f>
        <v>0</v>
      </c>
      <c r="AB370" s="1458"/>
      <c r="AC370" s="1458"/>
      <c r="AD370" s="175"/>
      <c r="AE370" s="1458">
        <f>AE302</f>
        <v>0</v>
      </c>
      <c r="AF370" s="1458"/>
      <c r="AG370" s="1458"/>
      <c r="AH370" s="1249"/>
      <c r="AI370" s="1462">
        <f>AVERAGE(S370:AG370)</f>
        <v>0</v>
      </c>
      <c r="AJ370" s="1462"/>
      <c r="AK370" s="1462"/>
      <c r="AL370" s="417"/>
      <c r="AM370" s="417"/>
      <c r="AN370" s="135"/>
      <c r="AO370" s="135"/>
      <c r="AP370" s="135"/>
      <c r="AQ370" s="1458">
        <f>AQ160</f>
        <v>0</v>
      </c>
      <c r="AR370" s="1458"/>
      <c r="AS370" s="1458"/>
      <c r="AT370" s="174"/>
      <c r="AU370" s="1458">
        <f>AU160</f>
        <v>0</v>
      </c>
      <c r="AV370" s="1458"/>
      <c r="AW370" s="1458"/>
      <c r="AX370" s="175"/>
      <c r="AY370" s="1458">
        <f>AY160</f>
        <v>0</v>
      </c>
      <c r="AZ370" s="1458"/>
      <c r="BA370" s="1458"/>
      <c r="BB370" s="175"/>
      <c r="BC370" s="1458">
        <f>BC160</f>
        <v>0</v>
      </c>
      <c r="BD370" s="1458"/>
      <c r="BE370" s="1458"/>
      <c r="BF370" s="158"/>
      <c r="BG370" s="1589">
        <f>AVERAGE(AQ370:BE370)</f>
        <v>0</v>
      </c>
      <c r="BH370" s="1589"/>
      <c r="BI370" s="1589"/>
      <c r="BJ370" s="121"/>
      <c r="BM370" s="28" t="s">
        <v>882</v>
      </c>
      <c r="BP370" s="31"/>
      <c r="BQ370" s="31"/>
      <c r="BR370" s="31"/>
      <c r="BS370" s="31"/>
      <c r="BT370" s="31"/>
      <c r="BU370" s="31"/>
      <c r="BV370" s="31"/>
      <c r="BW370" s="31"/>
      <c r="BX370" s="31"/>
    </row>
    <row r="371" spans="2:76" s="28" customFormat="1" ht="17.100000000000001" customHeight="1" outlineLevel="1">
      <c r="B371" s="117"/>
      <c r="C371" s="489"/>
      <c r="D371" s="98" t="str">
        <f>D303</f>
        <v>Vollbetriebsstunden pro Tag</v>
      </c>
      <c r="E371" s="98"/>
      <c r="F371" s="98"/>
      <c r="G371" s="98"/>
      <c r="H371" s="98"/>
      <c r="I371" s="98"/>
      <c r="J371" s="98"/>
      <c r="K371" s="98"/>
      <c r="L371" s="98"/>
      <c r="M371" s="98"/>
      <c r="N371" s="98"/>
      <c r="O371" s="98"/>
      <c r="P371" s="122" t="s">
        <v>139</v>
      </c>
      <c r="Q371" s="98"/>
      <c r="R371" s="98"/>
      <c r="S371" s="1458">
        <f>S180</f>
        <v>0</v>
      </c>
      <c r="T371" s="1458"/>
      <c r="U371" s="1458"/>
      <c r="V371" s="174"/>
      <c r="W371" s="1458">
        <f>W180</f>
        <v>0</v>
      </c>
      <c r="X371" s="1458"/>
      <c r="Y371" s="1458"/>
      <c r="Z371" s="175"/>
      <c r="AA371" s="1458">
        <f>AA180</f>
        <v>0</v>
      </c>
      <c r="AB371" s="1458"/>
      <c r="AC371" s="1458"/>
      <c r="AD371" s="175"/>
      <c r="AE371" s="1458">
        <f>AE180</f>
        <v>0</v>
      </c>
      <c r="AF371" s="1458"/>
      <c r="AG371" s="1458"/>
      <c r="AH371" s="158"/>
      <c r="AI371" s="1462">
        <f>AVERAGE(S371:AG371)</f>
        <v>0</v>
      </c>
      <c r="AJ371" s="1462"/>
      <c r="AK371" s="1462"/>
      <c r="AL371" s="412"/>
      <c r="AM371" s="412"/>
      <c r="AN371" s="135"/>
      <c r="AO371" s="135"/>
      <c r="AP371" s="135"/>
      <c r="AQ371" s="1458">
        <f>AQ180</f>
        <v>0</v>
      </c>
      <c r="AR371" s="1458"/>
      <c r="AS371" s="1458"/>
      <c r="AT371" s="174"/>
      <c r="AU371" s="1458">
        <f>AU180</f>
        <v>0</v>
      </c>
      <c r="AV371" s="1458"/>
      <c r="AW371" s="1458"/>
      <c r="AX371" s="175"/>
      <c r="AY371" s="1458">
        <f>AY180</f>
        <v>0</v>
      </c>
      <c r="AZ371" s="1458"/>
      <c r="BA371" s="1458"/>
      <c r="BB371" s="175"/>
      <c r="BC371" s="1458">
        <f>BC180</f>
        <v>0</v>
      </c>
      <c r="BD371" s="1458"/>
      <c r="BE371" s="1458"/>
      <c r="BF371" s="158"/>
      <c r="BG371" s="1462">
        <f>AVERAGE(AQ371:BE371)</f>
        <v>0</v>
      </c>
      <c r="BH371" s="1462"/>
      <c r="BI371" s="1462"/>
      <c r="BJ371" s="121"/>
      <c r="BP371" s="31"/>
      <c r="BQ371" s="31"/>
      <c r="BR371" s="31"/>
      <c r="BS371" s="31"/>
      <c r="BT371" s="31"/>
      <c r="BU371" s="31"/>
      <c r="BV371" s="31"/>
      <c r="BW371" s="31"/>
      <c r="BX371" s="31"/>
    </row>
    <row r="372" spans="2:76" s="28" customFormat="1" ht="17.100000000000001" customHeight="1" outlineLevel="1">
      <c r="B372" s="117"/>
      <c r="C372" s="489"/>
      <c r="D372" s="170" t="str">
        <f>D304</f>
        <v>Vollbetriebsstunden pro Quartal</v>
      </c>
      <c r="E372" s="98"/>
      <c r="F372" s="98"/>
      <c r="G372" s="98"/>
      <c r="H372" s="98"/>
      <c r="I372" s="98"/>
      <c r="J372" s="98"/>
      <c r="K372" s="98"/>
      <c r="L372" s="98"/>
      <c r="M372" s="98"/>
      <c r="N372" s="98"/>
      <c r="O372" s="98"/>
      <c r="P372" s="122" t="s">
        <v>139</v>
      </c>
      <c r="Q372" s="98"/>
      <c r="R372" s="98"/>
      <c r="S372" s="1451">
        <f>S611*S371</f>
        <v>0</v>
      </c>
      <c r="T372" s="1451"/>
      <c r="U372" s="1451"/>
      <c r="V372" s="216"/>
      <c r="W372" s="1451">
        <f>W611*W371</f>
        <v>0</v>
      </c>
      <c r="X372" s="1451"/>
      <c r="Y372" s="1451"/>
      <c r="Z372" s="217"/>
      <c r="AA372" s="1451">
        <f>AA611*AA371</f>
        <v>0</v>
      </c>
      <c r="AB372" s="1451"/>
      <c r="AC372" s="1451"/>
      <c r="AD372" s="217"/>
      <c r="AE372" s="1451">
        <f>AE611*AE371</f>
        <v>0</v>
      </c>
      <c r="AF372" s="1451"/>
      <c r="AG372" s="1451"/>
      <c r="AH372" s="218"/>
      <c r="AI372" s="1514">
        <f>SUM(S372:AG372)</f>
        <v>0</v>
      </c>
      <c r="AJ372" s="1514"/>
      <c r="AK372" s="1514"/>
      <c r="AL372" s="416"/>
      <c r="AM372" s="416"/>
      <c r="AN372" s="135"/>
      <c r="AO372" s="135"/>
      <c r="AP372" s="135"/>
      <c r="AQ372" s="1451">
        <f>AQ611*AQ371</f>
        <v>0</v>
      </c>
      <c r="AR372" s="1451"/>
      <c r="AS372" s="1451"/>
      <c r="AT372" s="216"/>
      <c r="AU372" s="1451">
        <f>AU611*AU371</f>
        <v>0</v>
      </c>
      <c r="AV372" s="1451"/>
      <c r="AW372" s="1451"/>
      <c r="AX372" s="217"/>
      <c r="AY372" s="1451">
        <f>AY611*AY371</f>
        <v>0</v>
      </c>
      <c r="AZ372" s="1451"/>
      <c r="BA372" s="1451"/>
      <c r="BB372" s="217"/>
      <c r="BC372" s="1451">
        <f>BC611*BC371</f>
        <v>0</v>
      </c>
      <c r="BD372" s="1451"/>
      <c r="BE372" s="1451"/>
      <c r="BF372" s="218"/>
      <c r="BG372" s="1514">
        <f>SUM(AQ372:BE372)</f>
        <v>0</v>
      </c>
      <c r="BH372" s="1514"/>
      <c r="BI372" s="1514"/>
      <c r="BJ372" s="121"/>
      <c r="BP372" s="31"/>
      <c r="BQ372" s="31"/>
      <c r="BR372" s="31"/>
      <c r="BS372" s="31"/>
      <c r="BT372" s="31"/>
      <c r="BU372" s="31"/>
      <c r="BV372" s="31"/>
      <c r="BW372" s="31"/>
      <c r="BX372" s="31"/>
    </row>
    <row r="373" spans="2:76" s="28" customFormat="1" ht="17.100000000000001" customHeight="1" outlineLevel="1">
      <c r="B373" s="117"/>
      <c r="C373" s="489"/>
      <c r="D373" s="666" t="str">
        <f>D305</f>
        <v>Kältebedarf</v>
      </c>
      <c r="E373" s="194"/>
      <c r="F373" s="194"/>
      <c r="G373" s="194"/>
      <c r="H373" s="194"/>
      <c r="I373" s="194"/>
      <c r="J373" s="194"/>
      <c r="K373" s="194"/>
      <c r="L373" s="194"/>
      <c r="M373" s="194"/>
      <c r="N373" s="194"/>
      <c r="O373" s="194"/>
      <c r="P373" s="195" t="s">
        <v>199</v>
      </c>
      <c r="Q373" s="194"/>
      <c r="R373" s="1534">
        <f>IF(S370*S372&gt;10000,ROUND(S370*S372,-3),ROUND(S370*S372,-2))</f>
        <v>0</v>
      </c>
      <c r="S373" s="1534"/>
      <c r="T373" s="1534"/>
      <c r="U373" s="1534"/>
      <c r="V373" s="1534">
        <f>IF(W370*W372&gt;10000,ROUND(W370*W372,-3),ROUND(W370*W372,-2))</f>
        <v>0</v>
      </c>
      <c r="W373" s="1534"/>
      <c r="X373" s="1534"/>
      <c r="Y373" s="1534"/>
      <c r="Z373" s="1534">
        <f>IF(AA370*AA372&gt;10000,ROUND(AA370*AA372,-3),ROUND(AA370*AA372,-2))</f>
        <v>0</v>
      </c>
      <c r="AA373" s="1534"/>
      <c r="AB373" s="1534"/>
      <c r="AC373" s="1534"/>
      <c r="AD373" s="1534">
        <f>IF(AE370*AE372&gt;10000,ROUND(AE370*AE372,-3),ROUND(AE370*AE372,-2))</f>
        <v>0</v>
      </c>
      <c r="AE373" s="1534"/>
      <c r="AF373" s="1534"/>
      <c r="AG373" s="1534"/>
      <c r="AH373" s="1536">
        <f>SUM(R373:AG373)</f>
        <v>0</v>
      </c>
      <c r="AI373" s="1536"/>
      <c r="AJ373" s="1536"/>
      <c r="AK373" s="1536"/>
      <c r="AL373" s="408"/>
      <c r="AM373" s="597"/>
      <c r="AN373" s="594"/>
      <c r="AO373" s="594"/>
      <c r="AP373" s="1450">
        <f>IF(AQ370*AQ372&gt;10000,ROUND(AQ370*AQ372,-3),ROUND(AQ370*AQ372,-2))</f>
        <v>0</v>
      </c>
      <c r="AQ373" s="1450"/>
      <c r="AR373" s="1450"/>
      <c r="AS373" s="1450"/>
      <c r="AT373" s="1450">
        <f>IF(AU370*AU372&gt;10000,ROUND(AU370*AU372,-3),ROUND(AU370*AU372,-2))</f>
        <v>0</v>
      </c>
      <c r="AU373" s="1450"/>
      <c r="AV373" s="1450"/>
      <c r="AW373" s="1450"/>
      <c r="AX373" s="1450">
        <f>IF(AY370*AY372&gt;10000,ROUND(AY370*AY372,-3),ROUND(AY370*AY372,-2))</f>
        <v>0</v>
      </c>
      <c r="AY373" s="1450"/>
      <c r="AZ373" s="1450"/>
      <c r="BA373" s="1450"/>
      <c r="BB373" s="1450">
        <f>IF(BC370*BC372&gt;10000,ROUND(BC370*BC372,-3),ROUND(BC370*BC372,-2))</f>
        <v>0</v>
      </c>
      <c r="BC373" s="1450"/>
      <c r="BD373" s="1450"/>
      <c r="BE373" s="1450"/>
      <c r="BF373" s="1514">
        <f>SUM(AP373:BE373)</f>
        <v>0</v>
      </c>
      <c r="BG373" s="1514"/>
      <c r="BH373" s="1514"/>
      <c r="BI373" s="1514"/>
      <c r="BJ373" s="121"/>
      <c r="BP373" s="31"/>
      <c r="BQ373" s="31"/>
      <c r="BR373" s="31"/>
      <c r="BS373" s="31"/>
      <c r="BT373" s="31"/>
      <c r="BU373" s="31"/>
      <c r="BV373" s="31"/>
      <c r="BW373" s="31"/>
      <c r="BX373" s="31"/>
    </row>
    <row r="374" spans="2:76" s="732" customFormat="1" ht="17.100000000000001" customHeight="1" outlineLevel="1">
      <c r="B374" s="724"/>
      <c r="C374" s="725"/>
      <c r="D374" s="726"/>
      <c r="E374" s="759" t="str">
        <f>E306</f>
        <v>mit Free-Cooling</v>
      </c>
      <c r="F374" s="727"/>
      <c r="G374" s="727"/>
      <c r="H374" s="727"/>
      <c r="I374" s="727"/>
      <c r="J374" s="727"/>
      <c r="K374" s="727"/>
      <c r="L374" s="727"/>
      <c r="M374" s="727"/>
      <c r="N374" s="727"/>
      <c r="O374" s="727"/>
      <c r="P374" s="728" t="s">
        <v>199</v>
      </c>
      <c r="Q374" s="727"/>
      <c r="R374" s="1461"/>
      <c r="S374" s="1461"/>
      <c r="T374" s="1461"/>
      <c r="U374" s="1461"/>
      <c r="V374" s="1461"/>
      <c r="W374" s="1461"/>
      <c r="X374" s="1461"/>
      <c r="Y374" s="1461"/>
      <c r="Z374" s="1461"/>
      <c r="AA374" s="1461"/>
      <c r="AB374" s="1461"/>
      <c r="AC374" s="1461"/>
      <c r="AD374" s="1461"/>
      <c r="AE374" s="1461"/>
      <c r="AF374" s="1461"/>
      <c r="AG374" s="1461"/>
      <c r="AH374" s="1694">
        <f>Z774</f>
        <v>0</v>
      </c>
      <c r="AI374" s="1694"/>
      <c r="AJ374" s="1694"/>
      <c r="AK374" s="1694"/>
      <c r="AL374" s="909"/>
      <c r="AM374" s="909"/>
      <c r="AN374" s="730"/>
      <c r="AO374" s="730"/>
      <c r="AP374" s="1461"/>
      <c r="AQ374" s="1461"/>
      <c r="AR374" s="1461"/>
      <c r="AS374" s="1461"/>
      <c r="AT374" s="1461"/>
      <c r="AU374" s="1461"/>
      <c r="AV374" s="1461"/>
      <c r="AW374" s="1461"/>
      <c r="AX374" s="1461"/>
      <c r="AY374" s="1461"/>
      <c r="AZ374" s="1461"/>
      <c r="BA374" s="1461"/>
      <c r="BB374" s="1461"/>
      <c r="BC374" s="1461"/>
      <c r="BD374" s="1461"/>
      <c r="BE374" s="1461"/>
      <c r="BF374" s="1694">
        <f>AX774</f>
        <v>0</v>
      </c>
      <c r="BG374" s="1694"/>
      <c r="BH374" s="1694"/>
      <c r="BI374" s="1694"/>
      <c r="BJ374" s="731"/>
      <c r="BL374" s="28"/>
      <c r="BP374" s="220"/>
      <c r="BQ374" s="220"/>
      <c r="BR374" s="220"/>
      <c r="BS374" s="220"/>
      <c r="BT374" s="220"/>
      <c r="BU374" s="220"/>
      <c r="BV374" s="220"/>
      <c r="BW374" s="220"/>
      <c r="BX374" s="220"/>
    </row>
    <row r="375" spans="2:76" s="732" customFormat="1" ht="17.100000000000001" customHeight="1" outlineLevel="1">
      <c r="B375" s="724"/>
      <c r="C375" s="725"/>
      <c r="E375" s="959" t="str">
        <f>E307</f>
        <v>mit Kältemaschine</v>
      </c>
      <c r="F375" s="727"/>
      <c r="G375" s="727"/>
      <c r="H375" s="727"/>
      <c r="I375" s="727"/>
      <c r="J375" s="727"/>
      <c r="K375" s="727"/>
      <c r="L375" s="727"/>
      <c r="M375" s="727"/>
      <c r="N375" s="727"/>
      <c r="O375" s="727"/>
      <c r="P375" s="728" t="s">
        <v>199</v>
      </c>
      <c r="Q375" s="727"/>
      <c r="R375" s="1461"/>
      <c r="S375" s="1461"/>
      <c r="T375" s="1461"/>
      <c r="U375" s="1461"/>
      <c r="V375" s="1461"/>
      <c r="W375" s="1461"/>
      <c r="X375" s="1461"/>
      <c r="Y375" s="1461"/>
      <c r="Z375" s="1461"/>
      <c r="AA375" s="1461"/>
      <c r="AB375" s="1461"/>
      <c r="AC375" s="1461"/>
      <c r="AD375" s="1461"/>
      <c r="AE375" s="1461"/>
      <c r="AF375" s="1461"/>
      <c r="AG375" s="1461"/>
      <c r="AH375" s="1536">
        <f>AH373-AH374</f>
        <v>0</v>
      </c>
      <c r="AI375" s="1536"/>
      <c r="AJ375" s="1536"/>
      <c r="AK375" s="1536"/>
      <c r="AL375" s="909"/>
      <c r="AM375" s="909"/>
      <c r="AN375" s="730"/>
      <c r="AO375" s="730"/>
      <c r="AP375" s="1461"/>
      <c r="AQ375" s="1461"/>
      <c r="AR375" s="1461"/>
      <c r="AS375" s="1461"/>
      <c r="AT375" s="1461"/>
      <c r="AU375" s="1461"/>
      <c r="AV375" s="1461"/>
      <c r="AW375" s="1461"/>
      <c r="AX375" s="1461"/>
      <c r="AY375" s="1461"/>
      <c r="AZ375" s="1461"/>
      <c r="BA375" s="1461"/>
      <c r="BB375" s="1461"/>
      <c r="BC375" s="1461"/>
      <c r="BD375" s="1461"/>
      <c r="BE375" s="1461"/>
      <c r="BF375" s="1536">
        <f>BF373-BF374</f>
        <v>0</v>
      </c>
      <c r="BG375" s="1536"/>
      <c r="BH375" s="1536"/>
      <c r="BI375" s="1536"/>
      <c r="BJ375" s="731"/>
      <c r="BL375" s="28"/>
      <c r="BP375" s="220"/>
      <c r="BQ375" s="220"/>
      <c r="BR375" s="220"/>
      <c r="BS375" s="220"/>
      <c r="BT375" s="220"/>
      <c r="BU375" s="220"/>
      <c r="BV375" s="220"/>
      <c r="BW375" s="220"/>
      <c r="BX375" s="220"/>
    </row>
    <row r="376" spans="2:76" outlineLevel="1">
      <c r="B376" s="147"/>
      <c r="C376" s="477"/>
      <c r="D376" s="86"/>
      <c r="E376" s="52"/>
      <c r="F376" s="52"/>
      <c r="G376" s="52"/>
      <c r="H376" s="52"/>
      <c r="I376" s="52"/>
      <c r="J376" s="52"/>
      <c r="K376" s="52"/>
      <c r="L376" s="52"/>
      <c r="M376" s="52"/>
      <c r="N376" s="52"/>
      <c r="O376" s="52"/>
      <c r="P376" s="55"/>
      <c r="Q376" s="52"/>
      <c r="R376" s="52"/>
      <c r="S376" s="1684"/>
      <c r="T376" s="1684"/>
      <c r="U376" s="1684"/>
      <c r="V376" s="52"/>
      <c r="W376" s="92"/>
      <c r="X376" s="92"/>
      <c r="Y376" s="92"/>
      <c r="Z376" s="92"/>
      <c r="AA376" s="92"/>
      <c r="AB376" s="92"/>
      <c r="AC376" s="92"/>
      <c r="AD376" s="92"/>
      <c r="AE376" s="9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669"/>
      <c r="BG376" s="669"/>
      <c r="BH376" s="669"/>
      <c r="BI376" s="669"/>
      <c r="BJ376" s="152"/>
      <c r="BL376" s="28"/>
    </row>
    <row r="377" spans="2:76" outlineLevel="1">
      <c r="B377" s="147"/>
      <c r="C377" s="477"/>
      <c r="D377" s="86"/>
      <c r="E377" s="52"/>
      <c r="F377" s="52"/>
      <c r="G377" s="52"/>
      <c r="H377" s="52"/>
      <c r="I377" s="52"/>
      <c r="J377" s="52"/>
      <c r="K377" s="52"/>
      <c r="L377" s="52"/>
      <c r="M377" s="52"/>
      <c r="N377" s="52"/>
      <c r="O377" s="52"/>
      <c r="P377" s="55"/>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152"/>
      <c r="BL377" s="28"/>
    </row>
    <row r="378" spans="2:76" outlineLevel="1">
      <c r="B378" s="147"/>
      <c r="C378" s="1045">
        <v>6.2</v>
      </c>
      <c r="D378" s="1047" t="str">
        <f>D309</f>
        <v>Energieverbrauch Verdichter</v>
      </c>
      <c r="E378" s="1046"/>
      <c r="F378" s="1046"/>
      <c r="G378" s="1046"/>
      <c r="H378" s="1046"/>
      <c r="I378" s="1046"/>
      <c r="J378" s="1046"/>
      <c r="K378" s="1046"/>
      <c r="L378" s="52"/>
      <c r="M378" s="52"/>
      <c r="N378" s="52"/>
      <c r="O378" s="52"/>
      <c r="P378" s="55"/>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152"/>
      <c r="BL378" s="28"/>
      <c r="BP378" s="28"/>
      <c r="BQ378" s="28"/>
      <c r="BR378" s="28"/>
      <c r="BS378" s="28"/>
      <c r="BT378" s="28"/>
      <c r="BU378" s="28"/>
      <c r="BV378" s="28"/>
      <c r="BW378" s="28"/>
      <c r="BX378" s="28"/>
    </row>
    <row r="379" spans="2:76" s="28" customFormat="1" ht="6" customHeight="1" outlineLevel="1">
      <c r="B379" s="117"/>
      <c r="C379" s="474"/>
      <c r="D379" s="170"/>
      <c r="E379" s="98"/>
      <c r="F379" s="98"/>
      <c r="G379" s="98"/>
      <c r="H379" s="98"/>
      <c r="I379" s="98"/>
      <c r="J379" s="98"/>
      <c r="K379" s="98"/>
      <c r="L379" s="98"/>
      <c r="M379" s="98"/>
      <c r="N379" s="98"/>
      <c r="O379" s="98"/>
      <c r="P379" s="122"/>
      <c r="Q379" s="98"/>
      <c r="R379" s="98"/>
      <c r="S379" s="135"/>
      <c r="T379" s="135"/>
      <c r="U379" s="135"/>
      <c r="V379" s="135"/>
      <c r="W379" s="135"/>
      <c r="X379" s="135"/>
      <c r="Y379" s="135"/>
      <c r="Z379" s="135"/>
      <c r="AA379" s="135"/>
      <c r="AB379" s="135"/>
      <c r="AC379" s="135"/>
      <c r="AD379" s="135"/>
      <c r="AE379" s="135"/>
      <c r="AF379" s="135"/>
      <c r="AG379" s="135"/>
      <c r="AH379" s="135"/>
      <c r="AI379" s="135"/>
      <c r="AJ379" s="135"/>
      <c r="AK379" s="135"/>
      <c r="AL379" s="405"/>
      <c r="AM379" s="405"/>
      <c r="AN379" s="135"/>
      <c r="AO379" s="135"/>
      <c r="AP379" s="135"/>
      <c r="AQ379" s="135"/>
      <c r="AR379" s="135"/>
      <c r="AS379" s="135"/>
      <c r="AT379" s="98"/>
      <c r="AU379" s="52"/>
      <c r="AV379" s="52"/>
      <c r="AW379" s="52"/>
      <c r="AX379" s="52"/>
      <c r="AY379" s="52"/>
      <c r="AZ379" s="52"/>
      <c r="BA379" s="52"/>
      <c r="BB379" s="52"/>
      <c r="BC379" s="55"/>
      <c r="BD379" s="55"/>
      <c r="BE379" s="55"/>
      <c r="BF379" s="55"/>
      <c r="BG379" s="55"/>
      <c r="BH379" s="55"/>
      <c r="BI379" s="55"/>
      <c r="BJ379" s="121"/>
      <c r="BP379" s="209"/>
      <c r="BQ379" s="209"/>
      <c r="BR379" s="209"/>
      <c r="BS379" s="209"/>
      <c r="BT379" s="209"/>
      <c r="BU379" s="209"/>
      <c r="BV379" s="209"/>
      <c r="BW379" s="209"/>
      <c r="BX379" s="209"/>
    </row>
    <row r="380" spans="2:76" s="1267" customFormat="1" ht="17.100000000000001" hidden="1" customHeight="1" outlineLevel="2">
      <c r="B380" s="1256"/>
      <c r="C380" s="1257"/>
      <c r="D380" s="1269" t="str">
        <f>D311</f>
        <v>mittlere Kälteleistung Verdichter</v>
      </c>
      <c r="E380" s="1259"/>
      <c r="F380" s="1259"/>
      <c r="G380" s="1259"/>
      <c r="H380" s="1259"/>
      <c r="I380" s="1259"/>
      <c r="J380" s="1259"/>
      <c r="K380" s="1259"/>
      <c r="L380" s="1259"/>
      <c r="M380" s="1259"/>
      <c r="N380" s="1259"/>
      <c r="O380" s="1259"/>
      <c r="P380" s="1260" t="s">
        <v>106</v>
      </c>
      <c r="Q380" s="1259"/>
      <c r="R380" s="1259"/>
      <c r="S380" s="1513">
        <f>S160</f>
        <v>0</v>
      </c>
      <c r="T380" s="1513"/>
      <c r="U380" s="1513"/>
      <c r="V380" s="1261"/>
      <c r="W380" s="1513">
        <f>W160</f>
        <v>0</v>
      </c>
      <c r="X380" s="1513"/>
      <c r="Y380" s="1513"/>
      <c r="Z380" s="1262"/>
      <c r="AA380" s="1513">
        <f>AA160</f>
        <v>0</v>
      </c>
      <c r="AB380" s="1513"/>
      <c r="AC380" s="1513"/>
      <c r="AD380" s="1262"/>
      <c r="AE380" s="1513">
        <f>AE160</f>
        <v>0</v>
      </c>
      <c r="AF380" s="1513"/>
      <c r="AG380" s="1513"/>
      <c r="AH380" s="1263"/>
      <c r="AI380" s="1588">
        <f>AVERAGE(S380:AG380)</f>
        <v>0</v>
      </c>
      <c r="AJ380" s="1588"/>
      <c r="AK380" s="1588"/>
      <c r="AL380" s="1264"/>
      <c r="AM380" s="1264"/>
      <c r="AN380" s="1265"/>
      <c r="AO380" s="1265"/>
      <c r="AP380" s="1265"/>
      <c r="AQ380" s="1513">
        <f>AQ160</f>
        <v>0</v>
      </c>
      <c r="AR380" s="1513"/>
      <c r="AS380" s="1513"/>
      <c r="AT380" s="1261"/>
      <c r="AU380" s="1513">
        <f>AU160</f>
        <v>0</v>
      </c>
      <c r="AV380" s="1513"/>
      <c r="AW380" s="1513"/>
      <c r="AX380" s="1262"/>
      <c r="AY380" s="1513">
        <f>AY160</f>
        <v>0</v>
      </c>
      <c r="AZ380" s="1513"/>
      <c r="BA380" s="1513"/>
      <c r="BB380" s="1262"/>
      <c r="BC380" s="1513">
        <f>BC160</f>
        <v>0</v>
      </c>
      <c r="BD380" s="1513"/>
      <c r="BE380" s="1513"/>
      <c r="BF380" s="1263"/>
      <c r="BG380" s="1588">
        <f>AVERAGE(AQ380:BE380)</f>
        <v>0</v>
      </c>
      <c r="BH380" s="1588"/>
      <c r="BI380" s="1588"/>
      <c r="BJ380" s="1266"/>
      <c r="BP380" s="1270"/>
      <c r="BQ380" s="1270"/>
      <c r="BR380" s="1270"/>
      <c r="BS380" s="1270"/>
      <c r="BT380" s="1270"/>
      <c r="BU380" s="1270"/>
      <c r="BV380" s="1270"/>
      <c r="BW380" s="1270"/>
      <c r="BX380" s="1270"/>
    </row>
    <row r="381" spans="2:76" s="28" customFormat="1" ht="17.100000000000001" customHeight="1" outlineLevel="1" collapsed="1">
      <c r="B381" s="117"/>
      <c r="C381" s="489"/>
      <c r="D381" s="170" t="str">
        <f>D372</f>
        <v>Vollbetriebsstunden pro Quartal</v>
      </c>
      <c r="E381" s="98"/>
      <c r="F381" s="98"/>
      <c r="G381" s="98"/>
      <c r="H381" s="98"/>
      <c r="I381" s="98"/>
      <c r="J381" s="98"/>
      <c r="K381" s="98"/>
      <c r="L381" s="98"/>
      <c r="M381" s="98"/>
      <c r="N381" s="98"/>
      <c r="O381" s="98"/>
      <c r="P381" s="122" t="s">
        <v>139</v>
      </c>
      <c r="Q381" s="98"/>
      <c r="R381" s="98"/>
      <c r="S381" s="1451">
        <f>S372</f>
        <v>0</v>
      </c>
      <c r="T381" s="1451"/>
      <c r="U381" s="1451"/>
      <c r="V381" s="216"/>
      <c r="W381" s="1451">
        <f>W372</f>
        <v>0</v>
      </c>
      <c r="X381" s="1451"/>
      <c r="Y381" s="1451"/>
      <c r="Z381" s="217"/>
      <c r="AA381" s="1451">
        <f>AA372</f>
        <v>0</v>
      </c>
      <c r="AB381" s="1451"/>
      <c r="AC381" s="1451"/>
      <c r="AD381" s="217"/>
      <c r="AE381" s="1451">
        <f>AE372</f>
        <v>0</v>
      </c>
      <c r="AF381" s="1451"/>
      <c r="AG381" s="1451"/>
      <c r="AH381" s="218"/>
      <c r="AI381" s="1514">
        <f>SUM(S381:AG381)</f>
        <v>0</v>
      </c>
      <c r="AJ381" s="1514"/>
      <c r="AK381" s="1514"/>
      <c r="AL381" s="416"/>
      <c r="AM381" s="416"/>
      <c r="AN381" s="218"/>
      <c r="AO381" s="218"/>
      <c r="AP381" s="218"/>
      <c r="AQ381" s="1451">
        <f>AQ372</f>
        <v>0</v>
      </c>
      <c r="AR381" s="1451"/>
      <c r="AS381" s="1451"/>
      <c r="AT381" s="390"/>
      <c r="AU381" s="1451">
        <f>AU372</f>
        <v>0</v>
      </c>
      <c r="AV381" s="1451"/>
      <c r="AW381" s="1451"/>
      <c r="AX381" s="217"/>
      <c r="AY381" s="1451">
        <f>AY372</f>
        <v>0</v>
      </c>
      <c r="AZ381" s="1451"/>
      <c r="BA381" s="1451"/>
      <c r="BB381" s="217"/>
      <c r="BC381" s="1451">
        <f>BC372</f>
        <v>0</v>
      </c>
      <c r="BD381" s="1451"/>
      <c r="BE381" s="1451"/>
      <c r="BF381" s="158"/>
      <c r="BG381" s="1514">
        <f>SUM(AQ381:BE381)</f>
        <v>0</v>
      </c>
      <c r="BH381" s="1514"/>
      <c r="BI381" s="1514"/>
      <c r="BJ381" s="121"/>
      <c r="BP381" s="31"/>
      <c r="BQ381" s="31"/>
      <c r="BR381" s="31"/>
      <c r="BS381" s="31"/>
      <c r="BT381" s="31"/>
      <c r="BU381" s="31"/>
      <c r="BV381" s="31"/>
      <c r="BW381" s="31"/>
      <c r="BX381" s="31"/>
    </row>
    <row r="382" spans="2:76" s="28" customFormat="1" ht="17.100000000000001" customHeight="1" outlineLevel="1">
      <c r="B382" s="117"/>
      <c r="C382" s="489"/>
      <c r="D382" s="98"/>
      <c r="E382" s="98"/>
      <c r="F382" s="98"/>
      <c r="G382" s="98"/>
      <c r="H382" s="98"/>
      <c r="I382" s="98"/>
      <c r="J382" s="98"/>
      <c r="K382" s="98"/>
      <c r="L382" s="98"/>
      <c r="M382" s="98"/>
      <c r="N382" s="98"/>
      <c r="O382" s="98"/>
      <c r="P382" s="122"/>
      <c r="Q382" s="98"/>
      <c r="R382" s="98"/>
      <c r="S382" s="174"/>
      <c r="T382" s="174"/>
      <c r="U382" s="174"/>
      <c r="V382" s="174"/>
      <c r="W382" s="174"/>
      <c r="X382" s="174"/>
      <c r="Y382" s="174"/>
      <c r="Z382" s="175"/>
      <c r="AA382" s="174"/>
      <c r="AB382" s="174"/>
      <c r="AC382" s="174"/>
      <c r="AD382" s="175"/>
      <c r="AE382" s="174"/>
      <c r="AF382" s="174"/>
      <c r="AG382" s="174"/>
      <c r="AH382" s="158"/>
      <c r="AI382" s="191"/>
      <c r="AJ382" s="191"/>
      <c r="AK382" s="191"/>
      <c r="AL382" s="412"/>
      <c r="AM382" s="412"/>
      <c r="AN382" s="135"/>
      <c r="AO382" s="135"/>
      <c r="AP382" s="135"/>
      <c r="AQ382" s="174"/>
      <c r="AR382" s="174"/>
      <c r="AS382" s="174"/>
      <c r="AT382" s="174"/>
      <c r="AU382" s="174"/>
      <c r="AV382" s="174"/>
      <c r="AW382" s="174"/>
      <c r="AX382" s="175"/>
      <c r="AY382" s="174"/>
      <c r="AZ382" s="174"/>
      <c r="BA382" s="174"/>
      <c r="BB382" s="175"/>
      <c r="BC382" s="174"/>
      <c r="BD382" s="174"/>
      <c r="BE382" s="174"/>
      <c r="BF382" s="158"/>
      <c r="BG382" s="191"/>
      <c r="BH382" s="191"/>
      <c r="BI382" s="191"/>
      <c r="BJ382" s="121"/>
      <c r="BP382" s="31"/>
      <c r="BQ382" s="31"/>
      <c r="BR382" s="31"/>
      <c r="BS382" s="31"/>
      <c r="BT382" s="31"/>
      <c r="BU382" s="31"/>
      <c r="BV382" s="31"/>
      <c r="BW382" s="31"/>
      <c r="BX382" s="31"/>
    </row>
    <row r="383" spans="2:76" s="28" customFormat="1" ht="17.100000000000001" customHeight="1" outlineLevel="1">
      <c r="B383" s="117"/>
      <c r="C383" s="489"/>
      <c r="D383" s="98" t="str">
        <f>D314</f>
        <v>elektrische Leistungsaufnahme</v>
      </c>
      <c r="E383" s="98"/>
      <c r="F383" s="98"/>
      <c r="G383" s="98"/>
      <c r="H383" s="98"/>
      <c r="I383" s="98"/>
      <c r="J383" s="98"/>
      <c r="K383" s="98"/>
      <c r="L383" s="98"/>
      <c r="M383" s="98"/>
      <c r="N383" s="98"/>
      <c r="O383" s="98"/>
      <c r="P383" s="122" t="s">
        <v>106</v>
      </c>
      <c r="Q383" s="98"/>
      <c r="R383" s="98"/>
      <c r="S383" s="1505">
        <f>S148</f>
        <v>0</v>
      </c>
      <c r="T383" s="1505"/>
      <c r="U383" s="1505"/>
      <c r="V383" s="135"/>
      <c r="W383" s="1505">
        <f>W148</f>
        <v>0</v>
      </c>
      <c r="X383" s="1505"/>
      <c r="Y383" s="1505"/>
      <c r="Z383" s="52"/>
      <c r="AA383" s="1505">
        <f>AA148</f>
        <v>0</v>
      </c>
      <c r="AB383" s="1505"/>
      <c r="AC383" s="1505"/>
      <c r="AD383" s="52"/>
      <c r="AE383" s="1505">
        <f>AE148</f>
        <v>0</v>
      </c>
      <c r="AF383" s="1505"/>
      <c r="AG383" s="1505"/>
      <c r="AH383" s="135"/>
      <c r="AI383" s="135"/>
      <c r="AJ383" s="135"/>
      <c r="AK383" s="135"/>
      <c r="AL383" s="405"/>
      <c r="AM383" s="405"/>
      <c r="AN383" s="135"/>
      <c r="AO383" s="135"/>
      <c r="AP383" s="135"/>
      <c r="AQ383" s="1505">
        <f>AQ148</f>
        <v>0</v>
      </c>
      <c r="AR383" s="1505"/>
      <c r="AS383" s="1505"/>
      <c r="AT383" s="135"/>
      <c r="AU383" s="1505">
        <f>AU148</f>
        <v>0</v>
      </c>
      <c r="AV383" s="1505"/>
      <c r="AW383" s="1505"/>
      <c r="AX383" s="52"/>
      <c r="AY383" s="1505">
        <f>AY148</f>
        <v>0</v>
      </c>
      <c r="AZ383" s="1505"/>
      <c r="BA383" s="1505"/>
      <c r="BB383" s="52"/>
      <c r="BC383" s="1505">
        <f>BC148</f>
        <v>0</v>
      </c>
      <c r="BD383" s="1505"/>
      <c r="BE383" s="1505"/>
      <c r="BF383" s="135"/>
      <c r="BG383" s="135"/>
      <c r="BH383" s="135"/>
      <c r="BI383" s="135"/>
      <c r="BJ383" s="121"/>
      <c r="BP383" s="31"/>
      <c r="BQ383" s="31"/>
      <c r="BR383" s="31"/>
      <c r="BS383" s="31"/>
      <c r="BT383" s="31"/>
      <c r="BU383" s="31"/>
      <c r="BV383" s="31"/>
      <c r="BW383" s="31"/>
      <c r="BX383" s="31"/>
    </row>
    <row r="384" spans="2:76" s="220" customFormat="1" ht="17.100000000000001" customHeight="1" outlineLevel="1">
      <c r="B384" s="219"/>
      <c r="C384" s="512"/>
      <c r="D384" s="170" t="str">
        <f>D315</f>
        <v>Verbesserung im Teillastbetrieb</v>
      </c>
      <c r="E384" s="170"/>
      <c r="F384" s="170"/>
      <c r="G384" s="170"/>
      <c r="H384" s="170"/>
      <c r="I384" s="170"/>
      <c r="J384" s="170"/>
      <c r="K384" s="170"/>
      <c r="L384" s="170"/>
      <c r="M384" s="170"/>
      <c r="N384" s="170"/>
      <c r="O384" s="170"/>
      <c r="P384" s="171" t="s">
        <v>30</v>
      </c>
      <c r="Q384" s="170"/>
      <c r="R384" s="170"/>
      <c r="S384" s="1504">
        <f>AI652</f>
        <v>0</v>
      </c>
      <c r="T384" s="1504"/>
      <c r="U384" s="1504"/>
      <c r="V384" s="221"/>
      <c r="W384" s="1504">
        <f>S384</f>
        <v>0</v>
      </c>
      <c r="X384" s="1504"/>
      <c r="Y384" s="1504"/>
      <c r="Z384" s="86"/>
      <c r="AA384" s="1504">
        <f>W384</f>
        <v>0</v>
      </c>
      <c r="AB384" s="1504"/>
      <c r="AC384" s="1504"/>
      <c r="AD384" s="86"/>
      <c r="AE384" s="1504">
        <f>AA384</f>
        <v>0</v>
      </c>
      <c r="AF384" s="1504"/>
      <c r="AG384" s="1504"/>
      <c r="AH384" s="221"/>
      <c r="AI384" s="221"/>
      <c r="AJ384" s="221"/>
      <c r="AK384" s="221"/>
      <c r="AL384" s="418"/>
      <c r="AM384" s="418"/>
      <c r="AN384" s="221"/>
      <c r="AO384" s="221"/>
      <c r="AP384" s="221"/>
      <c r="AQ384" s="1504">
        <f>BG652</f>
        <v>0</v>
      </c>
      <c r="AR384" s="1504"/>
      <c r="AS384" s="1504"/>
      <c r="AT384" s="221"/>
      <c r="AU384" s="1504">
        <f>AQ384</f>
        <v>0</v>
      </c>
      <c r="AV384" s="1504"/>
      <c r="AW384" s="1504"/>
      <c r="AX384" s="86"/>
      <c r="AY384" s="1504">
        <f>AU384</f>
        <v>0</v>
      </c>
      <c r="AZ384" s="1504"/>
      <c r="BA384" s="1504"/>
      <c r="BB384" s="86"/>
      <c r="BC384" s="1504">
        <f>AY384</f>
        <v>0</v>
      </c>
      <c r="BD384" s="1504"/>
      <c r="BE384" s="1504"/>
      <c r="BF384" s="221"/>
      <c r="BG384" s="221"/>
      <c r="BH384" s="221"/>
      <c r="BI384" s="221"/>
      <c r="BJ384" s="222"/>
      <c r="BL384" s="28"/>
      <c r="BP384" s="31"/>
      <c r="BQ384" s="31"/>
      <c r="BR384" s="31"/>
      <c r="BS384" s="31"/>
      <c r="BT384" s="31"/>
      <c r="BU384" s="31"/>
      <c r="BV384" s="31"/>
      <c r="BW384" s="31"/>
      <c r="BX384" s="31"/>
    </row>
    <row r="385" spans="2:76" s="28" customFormat="1" ht="17.100000000000001" customHeight="1" outlineLevel="1">
      <c r="B385" s="117"/>
      <c r="C385" s="489"/>
      <c r="D385" s="98" t="str">
        <f>D316</f>
        <v>Beaufschlagung Steuerung</v>
      </c>
      <c r="E385" s="98"/>
      <c r="F385" s="98"/>
      <c r="G385" s="98"/>
      <c r="H385" s="98"/>
      <c r="I385" s="98"/>
      <c r="J385" s="98"/>
      <c r="K385" s="98"/>
      <c r="L385" s="98"/>
      <c r="M385" s="98"/>
      <c r="N385" s="98"/>
      <c r="O385" s="98"/>
      <c r="P385" s="122" t="s">
        <v>30</v>
      </c>
      <c r="Q385" s="98"/>
      <c r="R385" s="98"/>
      <c r="S385" s="1533">
        <f>AI632</f>
        <v>0.25</v>
      </c>
      <c r="T385" s="1533"/>
      <c r="U385" s="1533"/>
      <c r="V385" s="135"/>
      <c r="W385" s="1533">
        <f>S385</f>
        <v>0.25</v>
      </c>
      <c r="X385" s="1533"/>
      <c r="Y385" s="1533"/>
      <c r="Z385" s="52"/>
      <c r="AA385" s="1533">
        <f>S385</f>
        <v>0.25</v>
      </c>
      <c r="AB385" s="1533"/>
      <c r="AC385" s="1533"/>
      <c r="AD385" s="52"/>
      <c r="AE385" s="1533">
        <f>S385</f>
        <v>0.25</v>
      </c>
      <c r="AF385" s="1533"/>
      <c r="AG385" s="1533"/>
      <c r="AH385" s="135"/>
      <c r="AI385" s="135"/>
      <c r="AJ385" s="135"/>
      <c r="AK385" s="135"/>
      <c r="AL385" s="405"/>
      <c r="AM385" s="405"/>
      <c r="AN385" s="135"/>
      <c r="AO385" s="135"/>
      <c r="AP385" s="135"/>
      <c r="AQ385" s="1533">
        <f>BG632</f>
        <v>0.25</v>
      </c>
      <c r="AR385" s="1533"/>
      <c r="AS385" s="1533"/>
      <c r="AT385" s="135"/>
      <c r="AU385" s="1533">
        <f>AQ385</f>
        <v>0.25</v>
      </c>
      <c r="AV385" s="1533"/>
      <c r="AW385" s="1533"/>
      <c r="AX385" s="52"/>
      <c r="AY385" s="1533">
        <f>AQ385</f>
        <v>0.25</v>
      </c>
      <c r="AZ385" s="1533"/>
      <c r="BA385" s="1533"/>
      <c r="BB385" s="52"/>
      <c r="BC385" s="1533">
        <f>AQ385</f>
        <v>0.25</v>
      </c>
      <c r="BD385" s="1533"/>
      <c r="BE385" s="1533"/>
      <c r="BF385" s="135"/>
      <c r="BG385" s="135"/>
      <c r="BH385" s="135"/>
      <c r="BI385" s="135"/>
      <c r="BJ385" s="121"/>
    </row>
    <row r="386" spans="2:76" s="28" customFormat="1" ht="17.100000000000001" customHeight="1" outlineLevel="1">
      <c r="B386" s="117"/>
      <c r="C386" s="489"/>
      <c r="D386" s="98" t="str">
        <f>D317</f>
        <v>elektrische Leistungsaufnahme (effektiv)</v>
      </c>
      <c r="E386" s="98"/>
      <c r="F386" s="98"/>
      <c r="G386" s="98"/>
      <c r="H386" s="98"/>
      <c r="I386" s="98"/>
      <c r="J386" s="98"/>
      <c r="K386" s="98"/>
      <c r="L386" s="98"/>
      <c r="M386" s="98"/>
      <c r="N386" s="98"/>
      <c r="O386" s="98"/>
      <c r="P386" s="122" t="s">
        <v>106</v>
      </c>
      <c r="Q386" s="98"/>
      <c r="R386" s="98"/>
      <c r="S386" s="1505">
        <f>S383/(1+S384)*(1+S385)</f>
        <v>0</v>
      </c>
      <c r="T386" s="1505"/>
      <c r="U386" s="1505"/>
      <c r="V386" s="135"/>
      <c r="W386" s="1505">
        <f>W383/(1+W384)*(1+W385)</f>
        <v>0</v>
      </c>
      <c r="X386" s="1505"/>
      <c r="Y386" s="1505"/>
      <c r="Z386" s="52"/>
      <c r="AA386" s="1505">
        <f>AA383/(1+AA384)*(1+AA385)</f>
        <v>0</v>
      </c>
      <c r="AB386" s="1505"/>
      <c r="AC386" s="1505"/>
      <c r="AD386" s="52"/>
      <c r="AE386" s="1505">
        <f>AE383/(1+AE384)*(1+AE385)</f>
        <v>0</v>
      </c>
      <c r="AF386" s="1505"/>
      <c r="AG386" s="1505"/>
      <c r="AH386" s="135"/>
      <c r="AI386" s="135"/>
      <c r="AJ386" s="135"/>
      <c r="AK386" s="135"/>
      <c r="AL386" s="405"/>
      <c r="AM386" s="405"/>
      <c r="AN386" s="135"/>
      <c r="AO386" s="135"/>
      <c r="AP386" s="135"/>
      <c r="AQ386" s="1505">
        <f>AQ383/(1+AQ384)*(1+AQ385)</f>
        <v>0</v>
      </c>
      <c r="AR386" s="1505"/>
      <c r="AS386" s="1505"/>
      <c r="AT386" s="135"/>
      <c r="AU386" s="1505">
        <f>AU383/(1+AU384)*(1+AU385)</f>
        <v>0</v>
      </c>
      <c r="AV386" s="1505"/>
      <c r="AW386" s="1505"/>
      <c r="AX386" s="52"/>
      <c r="AY386" s="1505">
        <f>AY383/(1+AY384)*(1+AY385)</f>
        <v>0</v>
      </c>
      <c r="AZ386" s="1505"/>
      <c r="BA386" s="1505"/>
      <c r="BB386" s="52"/>
      <c r="BC386" s="1505">
        <f>BC383/(1+BC384)*(1+BC385)</f>
        <v>0</v>
      </c>
      <c r="BD386" s="1505"/>
      <c r="BE386" s="1505"/>
      <c r="BF386" s="135"/>
      <c r="BG386" s="135"/>
      <c r="BH386" s="135"/>
      <c r="BI386" s="135"/>
      <c r="BJ386" s="121"/>
      <c r="BP386" s="31"/>
      <c r="BQ386" s="31"/>
      <c r="BR386" s="31"/>
      <c r="BS386" s="31"/>
      <c r="BT386" s="31"/>
      <c r="BU386" s="31"/>
      <c r="BV386" s="31"/>
      <c r="BW386" s="31"/>
      <c r="BX386" s="31"/>
    </row>
    <row r="387" spans="2:76" s="155" customFormat="1" ht="17.100000000000001" customHeight="1" outlineLevel="1">
      <c r="B387" s="154"/>
      <c r="C387" s="491"/>
      <c r="D387" s="194" t="str">
        <f>D318</f>
        <v>Stromverbrauch Verdichter</v>
      </c>
      <c r="E387" s="194"/>
      <c r="F387" s="194"/>
      <c r="G387" s="194"/>
      <c r="H387" s="194"/>
      <c r="I387" s="194"/>
      <c r="J387" s="194"/>
      <c r="K387" s="194"/>
      <c r="L387" s="194"/>
      <c r="M387" s="194"/>
      <c r="N387" s="194"/>
      <c r="O387" s="194"/>
      <c r="P387" s="195" t="s">
        <v>22</v>
      </c>
      <c r="Q387" s="194"/>
      <c r="R387" s="1534">
        <f>IF(S381*S386&gt;10000,ROUND(S381*S386,-3),ROUND(S381*S386,-2))</f>
        <v>0</v>
      </c>
      <c r="S387" s="1534"/>
      <c r="T387" s="1534"/>
      <c r="U387" s="1534"/>
      <c r="V387" s="1534">
        <f>IF(W381*W386&gt;10000,ROUND(W381*W386,-3),ROUND(W381*W386,-2))</f>
        <v>0</v>
      </c>
      <c r="W387" s="1534"/>
      <c r="X387" s="1534"/>
      <c r="Y387" s="1534"/>
      <c r="Z387" s="1534">
        <f>IF(AA381*AA386&gt;10000,ROUND(AA381*AA386,-3),ROUND(AA381*AA386,-2))</f>
        <v>0</v>
      </c>
      <c r="AA387" s="1534"/>
      <c r="AB387" s="1534"/>
      <c r="AC387" s="1534"/>
      <c r="AD387" s="1534">
        <f>IF(AE381*AE386&gt;10000,ROUND(AE381*AE386,-3),ROUND(AE381*AE386,-2))</f>
        <v>0</v>
      </c>
      <c r="AE387" s="1534"/>
      <c r="AF387" s="1534"/>
      <c r="AG387" s="1534"/>
      <c r="AH387" s="1536">
        <f>SUM(R387:AG387)</f>
        <v>0</v>
      </c>
      <c r="AI387" s="1536"/>
      <c r="AJ387" s="1536"/>
      <c r="AK387" s="1536"/>
      <c r="AL387" s="408"/>
      <c r="AM387" s="597"/>
      <c r="AN387" s="594"/>
      <c r="AO387" s="594"/>
      <c r="AP387" s="1450">
        <f>IF(AQ381*AQ386&gt;10000,ROUND(AQ381*AQ386,-3),ROUND(AQ381*AQ386,-2))</f>
        <v>0</v>
      </c>
      <c r="AQ387" s="1450"/>
      <c r="AR387" s="1450"/>
      <c r="AS387" s="1450"/>
      <c r="AT387" s="1450">
        <f>IF(AU381*AU386&gt;10000,ROUND(AU381*AU386,-3),ROUND(AU381*AU386,-2))</f>
        <v>0</v>
      </c>
      <c r="AU387" s="1450"/>
      <c r="AV387" s="1450"/>
      <c r="AW387" s="1450"/>
      <c r="AX387" s="1450">
        <f>IF(AY381*AY386&gt;10000,ROUND(AY381*AY386,-3),ROUND(AY381*AY386,-2))</f>
        <v>0</v>
      </c>
      <c r="AY387" s="1450"/>
      <c r="AZ387" s="1450"/>
      <c r="BA387" s="1450"/>
      <c r="BB387" s="1450">
        <f>IF(BC381*BC386&gt;10000,ROUND(BC381*BC386,-3),ROUND(BC381*BC386,-2))</f>
        <v>0</v>
      </c>
      <c r="BC387" s="1450"/>
      <c r="BD387" s="1450"/>
      <c r="BE387" s="1450"/>
      <c r="BF387" s="1514">
        <f>SUM(AP387:BE387)</f>
        <v>0</v>
      </c>
      <c r="BG387" s="1514"/>
      <c r="BH387" s="1514"/>
      <c r="BI387" s="1514"/>
      <c r="BJ387" s="157"/>
      <c r="BL387" s="28"/>
      <c r="BP387" s="31"/>
      <c r="BQ387" s="31"/>
      <c r="BR387" s="31"/>
      <c r="BS387" s="31"/>
      <c r="BT387" s="31"/>
      <c r="BU387" s="31"/>
      <c r="BV387" s="31"/>
      <c r="BW387" s="31"/>
      <c r="BX387" s="31"/>
    </row>
    <row r="388" spans="2:76" s="732" customFormat="1" ht="17.100000000000001" customHeight="1" outlineLevel="1">
      <c r="B388" s="724"/>
      <c r="C388" s="725"/>
      <c r="D388" s="726"/>
      <c r="E388" s="759" t="str">
        <f>E319</f>
        <v>Reduktion dank Free-Cooling</v>
      </c>
      <c r="F388" s="727"/>
      <c r="G388" s="727"/>
      <c r="H388" s="727"/>
      <c r="I388" s="727"/>
      <c r="J388" s="727"/>
      <c r="K388" s="727"/>
      <c r="L388" s="727"/>
      <c r="M388" s="727"/>
      <c r="N388" s="727"/>
      <c r="O388" s="727"/>
      <c r="P388" s="758" t="s">
        <v>22</v>
      </c>
      <c r="Q388" s="759"/>
      <c r="R388" s="1590"/>
      <c r="S388" s="1590"/>
      <c r="T388" s="1590"/>
      <c r="U388" s="1590"/>
      <c r="V388" s="1590"/>
      <c r="W388" s="1590"/>
      <c r="X388" s="1590"/>
      <c r="Y388" s="1590"/>
      <c r="Z388" s="1590"/>
      <c r="AA388" s="1590"/>
      <c r="AB388" s="1590"/>
      <c r="AC388" s="1590"/>
      <c r="AD388" s="1590"/>
      <c r="AE388" s="1590"/>
      <c r="AF388" s="1590"/>
      <c r="AG388" s="1590"/>
      <c r="AH388" s="1678">
        <f>-Z768</f>
        <v>0</v>
      </c>
      <c r="AI388" s="1678"/>
      <c r="AJ388" s="1678"/>
      <c r="AK388" s="1678"/>
      <c r="AL388" s="908"/>
      <c r="AM388" s="909"/>
      <c r="AN388" s="730"/>
      <c r="AO388" s="730"/>
      <c r="AP388" s="1461"/>
      <c r="AQ388" s="1461"/>
      <c r="AR388" s="1461"/>
      <c r="AS388" s="1461"/>
      <c r="AT388" s="1461"/>
      <c r="AU388" s="1461"/>
      <c r="AV388" s="1461"/>
      <c r="AW388" s="1461"/>
      <c r="AX388" s="1461"/>
      <c r="AY388" s="1461"/>
      <c r="AZ388" s="1461"/>
      <c r="BA388" s="1461"/>
      <c r="BB388" s="1461"/>
      <c r="BC388" s="1461"/>
      <c r="BD388" s="1461"/>
      <c r="BE388" s="1461"/>
      <c r="BF388" s="1678">
        <f>-AX768</f>
        <v>0</v>
      </c>
      <c r="BG388" s="1678"/>
      <c r="BH388" s="1678"/>
      <c r="BI388" s="1678"/>
      <c r="BJ388" s="731"/>
      <c r="BL388" s="28"/>
      <c r="BP388" s="220"/>
      <c r="BQ388" s="220"/>
      <c r="BR388" s="220"/>
      <c r="BS388" s="220"/>
      <c r="BT388" s="220"/>
      <c r="BU388" s="220"/>
      <c r="BV388" s="220"/>
      <c r="BW388" s="220"/>
      <c r="BX388" s="220"/>
    </row>
    <row r="389" spans="2:76" s="732" customFormat="1" ht="17.100000000000001" customHeight="1" outlineLevel="1">
      <c r="B389" s="724"/>
      <c r="C389" s="725"/>
      <c r="D389" s="726"/>
      <c r="E389" s="759" t="str">
        <f>E320</f>
        <v>Mehrverbrauch Wärmenutzung</v>
      </c>
      <c r="F389" s="727"/>
      <c r="G389" s="727"/>
      <c r="H389" s="727"/>
      <c r="I389" s="727"/>
      <c r="J389" s="727"/>
      <c r="K389" s="727"/>
      <c r="L389" s="727"/>
      <c r="M389" s="727"/>
      <c r="N389" s="727"/>
      <c r="O389" s="727"/>
      <c r="P389" s="758" t="s">
        <v>22</v>
      </c>
      <c r="Q389" s="759"/>
      <c r="R389" s="1679"/>
      <c r="S389" s="1679"/>
      <c r="T389" s="1679"/>
      <c r="U389" s="1679"/>
      <c r="V389" s="1679"/>
      <c r="W389" s="1679"/>
      <c r="X389" s="1679"/>
      <c r="Y389" s="1679"/>
      <c r="Z389" s="1679"/>
      <c r="AA389" s="1679"/>
      <c r="AB389" s="1679"/>
      <c r="AC389" s="1679"/>
      <c r="AD389" s="1679"/>
      <c r="AE389" s="1679"/>
      <c r="AF389" s="1679"/>
      <c r="AG389" s="1679"/>
      <c r="AH389" s="1590">
        <f>AH886</f>
        <v>0</v>
      </c>
      <c r="AI389" s="1590"/>
      <c r="AJ389" s="1590"/>
      <c r="AK389" s="1590"/>
      <c r="AL389" s="908"/>
      <c r="AM389" s="909"/>
      <c r="AN389" s="730"/>
      <c r="AO389" s="730"/>
      <c r="AP389" s="1691"/>
      <c r="AQ389" s="1691"/>
      <c r="AR389" s="1691"/>
      <c r="AS389" s="1691"/>
      <c r="AT389" s="1691"/>
      <c r="AU389" s="1691"/>
      <c r="AV389" s="1691"/>
      <c r="AW389" s="1691"/>
      <c r="AX389" s="1691"/>
      <c r="AY389" s="1691"/>
      <c r="AZ389" s="1691"/>
      <c r="BA389" s="1691"/>
      <c r="BB389" s="1691"/>
      <c r="BC389" s="1691"/>
      <c r="BD389" s="1691"/>
      <c r="BE389" s="1691"/>
      <c r="BF389" s="1590">
        <f>BF886</f>
        <v>0</v>
      </c>
      <c r="BG389" s="1590"/>
      <c r="BH389" s="1590"/>
      <c r="BI389" s="1590"/>
      <c r="BJ389" s="731"/>
      <c r="BL389" s="28"/>
      <c r="BP389" s="220"/>
      <c r="BQ389" s="220"/>
      <c r="BR389" s="220"/>
      <c r="BS389" s="220"/>
      <c r="BT389" s="220"/>
      <c r="BU389" s="220"/>
      <c r="BV389" s="220"/>
      <c r="BW389" s="220"/>
      <c r="BX389" s="220"/>
    </row>
    <row r="390" spans="2:76" s="732" customFormat="1" ht="17.100000000000001" customHeight="1" outlineLevel="1">
      <c r="B390" s="724"/>
      <c r="C390" s="725"/>
      <c r="E390" s="759" t="str">
        <f>E321</f>
        <v>Stromverbrauch Verdichter</v>
      </c>
      <c r="F390" s="727"/>
      <c r="G390" s="727"/>
      <c r="H390" s="727"/>
      <c r="I390" s="727"/>
      <c r="J390" s="727"/>
      <c r="K390" s="727"/>
      <c r="L390" s="727"/>
      <c r="M390" s="727"/>
      <c r="N390" s="727"/>
      <c r="O390" s="727"/>
      <c r="P390" s="728" t="s">
        <v>22</v>
      </c>
      <c r="Q390" s="727"/>
      <c r="R390" s="1461"/>
      <c r="S390" s="1461"/>
      <c r="T390" s="1461"/>
      <c r="U390" s="1461"/>
      <c r="V390" s="1461"/>
      <c r="W390" s="1461"/>
      <c r="X390" s="1461"/>
      <c r="Y390" s="1461"/>
      <c r="Z390" s="1461"/>
      <c r="AA390" s="1461"/>
      <c r="AB390" s="1461"/>
      <c r="AC390" s="1461"/>
      <c r="AD390" s="1461"/>
      <c r="AE390" s="1461"/>
      <c r="AF390" s="1461"/>
      <c r="AG390" s="1461"/>
      <c r="AH390" s="1536">
        <f>SUM(AH387:AK389)</f>
        <v>0</v>
      </c>
      <c r="AI390" s="1536"/>
      <c r="AJ390" s="1536"/>
      <c r="AK390" s="1536"/>
      <c r="AL390" s="909"/>
      <c r="AM390" s="909"/>
      <c r="AN390" s="730"/>
      <c r="AO390" s="730"/>
      <c r="AP390" s="1461"/>
      <c r="AQ390" s="1461"/>
      <c r="AR390" s="1461"/>
      <c r="AS390" s="1461"/>
      <c r="AT390" s="1461"/>
      <c r="AU390" s="1461"/>
      <c r="AV390" s="1461"/>
      <c r="AW390" s="1461"/>
      <c r="AX390" s="1461"/>
      <c r="AY390" s="1461"/>
      <c r="AZ390" s="1461"/>
      <c r="BA390" s="1461"/>
      <c r="BB390" s="1461"/>
      <c r="BC390" s="1461"/>
      <c r="BD390" s="1461"/>
      <c r="BE390" s="1461"/>
      <c r="BF390" s="1536">
        <f>SUM(BF387:BI389)</f>
        <v>0</v>
      </c>
      <c r="BG390" s="1536"/>
      <c r="BH390" s="1536"/>
      <c r="BI390" s="1536"/>
      <c r="BJ390" s="731"/>
      <c r="BL390" s="28"/>
      <c r="BP390" s="220"/>
      <c r="BQ390" s="220"/>
      <c r="BR390" s="220"/>
      <c r="BS390" s="220"/>
      <c r="BT390" s="220"/>
      <c r="BU390" s="220"/>
      <c r="BV390" s="220"/>
      <c r="BW390" s="220"/>
      <c r="BX390" s="220"/>
    </row>
    <row r="391" spans="2:76" outlineLevel="1">
      <c r="B391" s="147"/>
      <c r="C391" s="477"/>
      <c r="D391" s="52"/>
      <c r="E391" s="52"/>
      <c r="F391" s="52"/>
      <c r="G391" s="52"/>
      <c r="H391" s="52"/>
      <c r="I391" s="52"/>
      <c r="J391" s="52"/>
      <c r="K391" s="52"/>
      <c r="L391" s="52"/>
      <c r="M391" s="52"/>
      <c r="N391" s="52"/>
      <c r="O391" s="52"/>
      <c r="P391" s="55"/>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669"/>
      <c r="BG391" s="669"/>
      <c r="BH391" s="669"/>
      <c r="BI391" s="669"/>
      <c r="BJ391" s="152"/>
      <c r="BL391" s="28"/>
    </row>
    <row r="392" spans="2:76" outlineLevel="1">
      <c r="B392" s="147"/>
      <c r="C392" s="477"/>
      <c r="D392" s="52"/>
      <c r="E392" s="52"/>
      <c r="F392" s="52"/>
      <c r="G392" s="52"/>
      <c r="H392" s="52"/>
      <c r="I392" s="52"/>
      <c r="J392" s="52"/>
      <c r="K392" s="52"/>
      <c r="L392" s="52"/>
      <c r="M392" s="52"/>
      <c r="N392" s="52"/>
      <c r="O392" s="52"/>
      <c r="P392" s="55"/>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152"/>
      <c r="BL392" s="28"/>
    </row>
    <row r="393" spans="2:76" outlineLevel="1">
      <c r="B393" s="147"/>
      <c r="C393" s="1045">
        <v>6.3</v>
      </c>
      <c r="D393" s="1045" t="str">
        <f>D324</f>
        <v>Energieverbrauch Hilfsbetriebe «warme Seite»</v>
      </c>
      <c r="E393" s="1046"/>
      <c r="F393" s="1046"/>
      <c r="G393" s="1046"/>
      <c r="H393" s="1046"/>
      <c r="I393" s="1046"/>
      <c r="J393" s="1046"/>
      <c r="K393" s="1046"/>
      <c r="L393" s="1046"/>
      <c r="M393" s="1046"/>
      <c r="N393" s="1046"/>
      <c r="O393" s="1046"/>
      <c r="P393" s="55"/>
      <c r="Q393" s="52"/>
      <c r="R393" s="52"/>
      <c r="S393" s="1449" t="s">
        <v>150</v>
      </c>
      <c r="T393" s="1449"/>
      <c r="U393" s="1449"/>
      <c r="V393" s="52"/>
      <c r="W393" s="1540" t="str">
        <f>W324</f>
        <v>Regelung</v>
      </c>
      <c r="X393" s="1540"/>
      <c r="Y393" s="1540"/>
      <c r="Z393" s="52"/>
      <c r="AA393" s="1449" t="str">
        <f>AA324</f>
        <v>Pe (korr.)</v>
      </c>
      <c r="AB393" s="1449"/>
      <c r="AC393" s="1449"/>
      <c r="AD393" s="52"/>
      <c r="AE393" s="52"/>
      <c r="AF393" s="52"/>
      <c r="AG393" s="52"/>
      <c r="AH393" s="52"/>
      <c r="AI393" s="52"/>
      <c r="AJ393" s="52"/>
      <c r="AK393" s="52"/>
      <c r="AL393" s="52"/>
      <c r="AM393" s="52"/>
      <c r="AN393" s="52"/>
      <c r="AO393" s="52"/>
      <c r="AP393" s="52"/>
      <c r="AQ393" s="1449" t="s">
        <v>150</v>
      </c>
      <c r="AR393" s="1449"/>
      <c r="AS393" s="1449"/>
      <c r="AT393" s="52"/>
      <c r="AU393" s="1540" t="str">
        <f>AU324</f>
        <v>Regelung</v>
      </c>
      <c r="AV393" s="1540"/>
      <c r="AW393" s="1540"/>
      <c r="AX393" s="52"/>
      <c r="AY393" s="1449" t="str">
        <f>AY341</f>
        <v>Pe (korr.)</v>
      </c>
      <c r="AZ393" s="1449"/>
      <c r="BA393" s="1449"/>
      <c r="BB393" s="52"/>
      <c r="BC393" s="52"/>
      <c r="BD393" s="52"/>
      <c r="BE393" s="52"/>
      <c r="BF393" s="52"/>
      <c r="BG393" s="52"/>
      <c r="BH393" s="52"/>
      <c r="BI393" s="52"/>
      <c r="BJ393" s="152"/>
      <c r="BL393" s="28"/>
      <c r="BP393" s="28"/>
      <c r="BQ393" s="28"/>
      <c r="BR393" s="28"/>
      <c r="BS393" s="28"/>
      <c r="BT393" s="28"/>
      <c r="BU393" s="28"/>
      <c r="BV393" s="28"/>
      <c r="BW393" s="28"/>
      <c r="BX393" s="28"/>
    </row>
    <row r="394" spans="2:76" s="28" customFormat="1" ht="6" customHeight="1" outlineLevel="1">
      <c r="B394" s="117"/>
      <c r="C394" s="474"/>
      <c r="D394" s="98"/>
      <c r="E394" s="98"/>
      <c r="F394" s="98"/>
      <c r="G394" s="98"/>
      <c r="H394" s="98"/>
      <c r="I394" s="98"/>
      <c r="J394" s="98"/>
      <c r="K394" s="98"/>
      <c r="L394" s="98"/>
      <c r="M394" s="98"/>
      <c r="N394" s="98"/>
      <c r="O394" s="98"/>
      <c r="P394" s="122"/>
      <c r="Q394" s="98"/>
      <c r="R394" s="98"/>
      <c r="S394" s="135"/>
      <c r="T394" s="135"/>
      <c r="U394" s="135"/>
      <c r="V394" s="135"/>
      <c r="W394" s="135"/>
      <c r="X394" s="135"/>
      <c r="Y394" s="135"/>
      <c r="Z394" s="52"/>
      <c r="AA394" s="52"/>
      <c r="AB394" s="52"/>
      <c r="AC394" s="52"/>
      <c r="AD394" s="52"/>
      <c r="AE394" s="52"/>
      <c r="AF394" s="52"/>
      <c r="AG394" s="52"/>
      <c r="AH394" s="52"/>
      <c r="AI394" s="52"/>
      <c r="AJ394" s="52"/>
      <c r="AK394" s="52"/>
      <c r="AL394" s="52"/>
      <c r="AM394" s="52"/>
      <c r="AN394" s="52"/>
      <c r="AO394" s="135"/>
      <c r="AP394" s="135"/>
      <c r="AQ394" s="135"/>
      <c r="AR394" s="135"/>
      <c r="AS394" s="135"/>
      <c r="AT394" s="135"/>
      <c r="AU394" s="135"/>
      <c r="AV394" s="135"/>
      <c r="AW394" s="135"/>
      <c r="AX394" s="52"/>
      <c r="AY394" s="52"/>
      <c r="AZ394" s="52"/>
      <c r="BA394" s="52"/>
      <c r="BB394" s="52"/>
      <c r="BC394" s="52"/>
      <c r="BD394" s="52"/>
      <c r="BE394" s="52"/>
      <c r="BF394" s="52"/>
      <c r="BG394" s="52"/>
      <c r="BH394" s="52"/>
      <c r="BI394" s="52"/>
      <c r="BJ394" s="152"/>
    </row>
    <row r="395" spans="2:76" s="155" customFormat="1" ht="17.100000000000001" customHeight="1" outlineLevel="1">
      <c r="B395" s="154"/>
      <c r="C395" s="491"/>
      <c r="D395" s="160" t="str">
        <f>D326</f>
        <v>Wärmeträgerpumpen</v>
      </c>
      <c r="E395" s="160"/>
      <c r="F395" s="160"/>
      <c r="G395" s="160"/>
      <c r="H395" s="160"/>
      <c r="I395" s="160"/>
      <c r="J395" s="160"/>
      <c r="K395" s="160"/>
      <c r="L395" s="160"/>
      <c r="M395" s="160"/>
      <c r="N395" s="160"/>
      <c r="O395" s="122"/>
      <c r="P395" s="122" t="s">
        <v>106</v>
      </c>
      <c r="Q395" s="122"/>
      <c r="R395" s="122"/>
      <c r="S395" s="1452">
        <f>S66</f>
        <v>0</v>
      </c>
      <c r="T395" s="1452"/>
      <c r="U395" s="1452"/>
      <c r="V395" s="135"/>
      <c r="W395" s="1453">
        <f>-AK462</f>
        <v>0</v>
      </c>
      <c r="X395" s="1454"/>
      <c r="Y395" s="1454"/>
      <c r="Z395" s="91"/>
      <c r="AA395" s="1452">
        <f>S395*(1+W395)</f>
        <v>0</v>
      </c>
      <c r="AB395" s="1452"/>
      <c r="AC395" s="1452"/>
      <c r="AD395" s="52"/>
      <c r="AE395" s="52"/>
      <c r="AF395" s="52"/>
      <c r="AG395" s="52"/>
      <c r="AH395" s="52"/>
      <c r="AI395" s="52"/>
      <c r="AJ395" s="52"/>
      <c r="AK395" s="52"/>
      <c r="AL395" s="52"/>
      <c r="AM395" s="52"/>
      <c r="AN395" s="52"/>
      <c r="AO395" s="98"/>
      <c r="AP395" s="98"/>
      <c r="AQ395" s="1452">
        <f>AQ66</f>
        <v>0</v>
      </c>
      <c r="AR395" s="1452"/>
      <c r="AS395" s="1452"/>
      <c r="AT395" s="135"/>
      <c r="AU395" s="1453">
        <f>-BI462</f>
        <v>0</v>
      </c>
      <c r="AV395" s="1454"/>
      <c r="AW395" s="1454"/>
      <c r="AX395" s="91"/>
      <c r="AY395" s="1452">
        <f>AQ395*(1+AU395)</f>
        <v>0</v>
      </c>
      <c r="AZ395" s="1452"/>
      <c r="BA395" s="1452"/>
      <c r="BB395" s="52"/>
      <c r="BC395" s="52"/>
      <c r="BD395" s="52"/>
      <c r="BE395" s="52"/>
      <c r="BF395" s="52"/>
      <c r="BG395" s="52"/>
      <c r="BH395" s="52"/>
      <c r="BI395" s="52"/>
      <c r="BJ395" s="152"/>
      <c r="BL395" s="28"/>
      <c r="BP395" s="28"/>
      <c r="BQ395" s="28"/>
      <c r="BR395" s="28"/>
      <c r="BS395" s="28"/>
      <c r="BT395" s="28"/>
      <c r="BU395" s="28"/>
      <c r="BV395" s="28"/>
      <c r="BW395" s="28"/>
      <c r="BX395" s="28"/>
    </row>
    <row r="396" spans="2:76" s="28" customFormat="1" ht="17.100000000000001" customHeight="1" outlineLevel="1">
      <c r="B396" s="117"/>
      <c r="C396" s="489"/>
      <c r="D396" s="160" t="str">
        <f>D327</f>
        <v>Intern-Pumpen für die Besprühung</v>
      </c>
      <c r="E396" s="160"/>
      <c r="F396" s="160"/>
      <c r="G396" s="160"/>
      <c r="H396" s="160"/>
      <c r="I396" s="160"/>
      <c r="J396" s="160"/>
      <c r="K396" s="160"/>
      <c r="L396" s="160"/>
      <c r="M396" s="160"/>
      <c r="N396" s="160"/>
      <c r="O396" s="98"/>
      <c r="P396" s="122" t="s">
        <v>106</v>
      </c>
      <c r="Q396" s="98"/>
      <c r="R396" s="98"/>
      <c r="S396" s="1452">
        <f>S68</f>
        <v>0</v>
      </c>
      <c r="T396" s="1452"/>
      <c r="U396" s="1452"/>
      <c r="V396" s="135"/>
      <c r="W396" s="1453">
        <f>-AK472</f>
        <v>0</v>
      </c>
      <c r="X396" s="1454"/>
      <c r="Y396" s="1454"/>
      <c r="Z396" s="91"/>
      <c r="AA396" s="1452">
        <f>S396*(1+W396)</f>
        <v>0</v>
      </c>
      <c r="AB396" s="1452"/>
      <c r="AC396" s="1452"/>
      <c r="AD396" s="52"/>
      <c r="AE396" s="52"/>
      <c r="AF396" s="52"/>
      <c r="AG396" s="52"/>
      <c r="AH396" s="52"/>
      <c r="AI396" s="52"/>
      <c r="AJ396" s="52"/>
      <c r="AK396" s="52"/>
      <c r="AL396" s="52"/>
      <c r="AM396" s="52"/>
      <c r="AN396" s="52"/>
      <c r="AO396" s="98"/>
      <c r="AP396" s="98"/>
      <c r="AQ396" s="1452">
        <f>AQ68</f>
        <v>0</v>
      </c>
      <c r="AR396" s="1452"/>
      <c r="AS396" s="1452"/>
      <c r="AT396" s="135"/>
      <c r="AU396" s="1453">
        <f>-BI472</f>
        <v>0</v>
      </c>
      <c r="AV396" s="1454"/>
      <c r="AW396" s="1454"/>
      <c r="AX396" s="91"/>
      <c r="AY396" s="1452">
        <f>AQ396*(1+AU396)</f>
        <v>0</v>
      </c>
      <c r="AZ396" s="1452"/>
      <c r="BA396" s="1452"/>
      <c r="BB396" s="52"/>
      <c r="BC396" s="52"/>
      <c r="BD396" s="52"/>
      <c r="BE396" s="52"/>
      <c r="BF396" s="52"/>
      <c r="BG396" s="52"/>
      <c r="BH396" s="52"/>
      <c r="BI396" s="52"/>
      <c r="BJ396" s="152"/>
    </row>
    <row r="397" spans="2:76" s="28" customFormat="1" ht="17.100000000000001" customHeight="1" outlineLevel="1">
      <c r="B397" s="117"/>
      <c r="C397" s="489"/>
      <c r="D397" s="160" t="str">
        <f>D328</f>
        <v>Ventilatoren Rückkühler/Verflüssiger</v>
      </c>
      <c r="E397" s="160"/>
      <c r="F397" s="160"/>
      <c r="G397" s="160"/>
      <c r="H397" s="160"/>
      <c r="I397" s="160"/>
      <c r="J397" s="160"/>
      <c r="K397" s="160"/>
      <c r="L397" s="160"/>
      <c r="M397" s="160"/>
      <c r="N397" s="160"/>
      <c r="O397" s="98"/>
      <c r="P397" s="122" t="s">
        <v>106</v>
      </c>
      <c r="Q397" s="98"/>
      <c r="R397" s="98"/>
      <c r="S397" s="1452">
        <f>S70</f>
        <v>0</v>
      </c>
      <c r="T397" s="1452"/>
      <c r="U397" s="1452"/>
      <c r="V397" s="135"/>
      <c r="W397" s="1453">
        <f>-AK482</f>
        <v>0</v>
      </c>
      <c r="X397" s="1454"/>
      <c r="Y397" s="1454"/>
      <c r="Z397" s="91"/>
      <c r="AA397" s="1452">
        <f>S397*(1+W397)</f>
        <v>0</v>
      </c>
      <c r="AB397" s="1452"/>
      <c r="AC397" s="1452"/>
      <c r="AD397" s="52"/>
      <c r="AE397" s="52"/>
      <c r="AF397" s="52"/>
      <c r="AG397" s="52"/>
      <c r="AH397" s="52"/>
      <c r="AI397" s="52"/>
      <c r="AJ397" s="52"/>
      <c r="AK397" s="52"/>
      <c r="AL397" s="52"/>
      <c r="AM397" s="52"/>
      <c r="AN397" s="52"/>
      <c r="AO397" s="98"/>
      <c r="AP397" s="98"/>
      <c r="AQ397" s="1452">
        <f>AQ70</f>
        <v>0</v>
      </c>
      <c r="AR397" s="1452"/>
      <c r="AS397" s="1452"/>
      <c r="AT397" s="135"/>
      <c r="AU397" s="1453">
        <f>-BI482</f>
        <v>0</v>
      </c>
      <c r="AV397" s="1454"/>
      <c r="AW397" s="1454"/>
      <c r="AX397" s="91"/>
      <c r="AY397" s="1452">
        <f>AQ397*(1+AU397)</f>
        <v>0</v>
      </c>
      <c r="AZ397" s="1452"/>
      <c r="BA397" s="1452"/>
      <c r="BB397" s="52"/>
      <c r="BC397" s="52"/>
      <c r="BD397" s="52"/>
      <c r="BE397" s="52"/>
      <c r="BF397" s="52"/>
      <c r="BG397" s="52"/>
      <c r="BH397" s="52"/>
      <c r="BI397" s="52"/>
      <c r="BJ397" s="152"/>
    </row>
    <row r="398" spans="2:76" s="28" customFormat="1" ht="17.100000000000001" customHeight="1" outlineLevel="1">
      <c r="B398" s="117"/>
      <c r="C398" s="489"/>
      <c r="D398" s="160" t="str">
        <f>D329</f>
        <v/>
      </c>
      <c r="E398" s="160"/>
      <c r="F398" s="160"/>
      <c r="G398" s="160"/>
      <c r="H398" s="160"/>
      <c r="I398" s="160"/>
      <c r="J398" s="160"/>
      <c r="K398" s="160"/>
      <c r="L398" s="160"/>
      <c r="M398" s="160"/>
      <c r="N398" s="160"/>
      <c r="O398" s="98"/>
      <c r="P398" s="122" t="s">
        <v>106</v>
      </c>
      <c r="Q398" s="98"/>
      <c r="R398" s="98"/>
      <c r="S398" s="1452">
        <f>S72</f>
        <v>0</v>
      </c>
      <c r="T398" s="1452"/>
      <c r="U398" s="1452"/>
      <c r="V398" s="950"/>
      <c r="W398" s="1453">
        <f>-AK492</f>
        <v>0</v>
      </c>
      <c r="X398" s="1454"/>
      <c r="Y398" s="1454"/>
      <c r="Z398" s="943"/>
      <c r="AA398" s="1452">
        <f>S398*(1+W398)</f>
        <v>0</v>
      </c>
      <c r="AB398" s="1452"/>
      <c r="AC398" s="1452"/>
      <c r="AD398" s="52"/>
      <c r="AE398" s="52"/>
      <c r="AF398" s="52"/>
      <c r="AG398" s="52"/>
      <c r="AH398" s="52"/>
      <c r="AI398" s="52"/>
      <c r="AJ398" s="52"/>
      <c r="AK398" s="52"/>
      <c r="AL398" s="52"/>
      <c r="AM398" s="52"/>
      <c r="AN398" s="52"/>
      <c r="AO398" s="98"/>
      <c r="AP398" s="98"/>
      <c r="AQ398" s="1452">
        <f>AQ72</f>
        <v>0</v>
      </c>
      <c r="AR398" s="1452"/>
      <c r="AS398" s="1452"/>
      <c r="AT398" s="950"/>
      <c r="AU398" s="1453">
        <f>-BI492</f>
        <v>0</v>
      </c>
      <c r="AV398" s="1454"/>
      <c r="AW398" s="1454"/>
      <c r="AX398" s="943"/>
      <c r="AY398" s="1452">
        <f>AQ398*(1+AU398)</f>
        <v>0</v>
      </c>
      <c r="AZ398" s="1452"/>
      <c r="BA398" s="1452"/>
      <c r="BB398" s="52"/>
      <c r="BC398" s="52"/>
      <c r="BD398" s="52"/>
      <c r="BE398" s="52"/>
      <c r="BF398" s="52"/>
      <c r="BG398" s="52"/>
      <c r="BH398" s="52"/>
      <c r="BI398" s="52"/>
      <c r="BJ398" s="152"/>
      <c r="BP398" s="155"/>
      <c r="BQ398" s="155"/>
      <c r="BR398" s="155"/>
      <c r="BS398" s="155"/>
      <c r="BT398" s="155"/>
      <c r="BU398" s="155" t="s">
        <v>960</v>
      </c>
      <c r="BV398" s="155"/>
      <c r="BW398" s="155"/>
      <c r="BX398" s="155"/>
    </row>
    <row r="399" spans="2:76" s="28" customFormat="1" ht="17.100000000000001" customHeight="1" outlineLevel="1">
      <c r="B399" s="117"/>
      <c r="C399" s="952"/>
      <c r="D399" s="1473" t="str">
        <f>IF(D110="","",D110)</f>
        <v/>
      </c>
      <c r="E399" s="1473"/>
      <c r="F399" s="1473"/>
      <c r="G399" s="1473"/>
      <c r="H399" s="1473"/>
      <c r="I399" s="1473"/>
      <c r="J399" s="1473"/>
      <c r="K399" s="1473"/>
      <c r="L399" s="1473"/>
      <c r="M399" s="1473"/>
      <c r="N399" s="1473"/>
      <c r="O399" s="793"/>
      <c r="P399" s="792" t="s">
        <v>106</v>
      </c>
      <c r="Q399" s="793"/>
      <c r="R399" s="793"/>
      <c r="S399" s="1474">
        <f>IF(W99=0,S110,0)</f>
        <v>0</v>
      </c>
      <c r="T399" s="1474"/>
      <c r="U399" s="1474"/>
      <c r="V399" s="955"/>
      <c r="W399" s="1455">
        <f>IF(W99=1,0,-$AK502)</f>
        <v>0</v>
      </c>
      <c r="X399" s="1456"/>
      <c r="Y399" s="1456"/>
      <c r="Z399" s="945"/>
      <c r="AA399" s="1457"/>
      <c r="AB399" s="1457"/>
      <c r="AC399" s="1457"/>
      <c r="AD399" s="350"/>
      <c r="AE399" s="1457">
        <f>S399*(1+W399)</f>
        <v>0</v>
      </c>
      <c r="AF399" s="1457"/>
      <c r="AG399" s="1457"/>
      <c r="AH399" s="52"/>
      <c r="AI399" s="52"/>
      <c r="AJ399" s="52"/>
      <c r="AK399" s="52"/>
      <c r="AL399" s="52"/>
      <c r="AM399" s="52"/>
      <c r="AN399" s="52"/>
      <c r="AO399" s="98"/>
      <c r="AP399" s="98"/>
      <c r="AQ399" s="1474">
        <f>IF(AU99=0,AQ110,0)</f>
        <v>0</v>
      </c>
      <c r="AR399" s="1474"/>
      <c r="AS399" s="1474"/>
      <c r="AT399" s="955"/>
      <c r="AU399" s="1455">
        <f>IF(AU99=1,0,-$BI502)</f>
        <v>0</v>
      </c>
      <c r="AV399" s="1456"/>
      <c r="AW399" s="1456"/>
      <c r="AX399" s="945"/>
      <c r="AY399" s="1457"/>
      <c r="AZ399" s="1457"/>
      <c r="BA399" s="1457"/>
      <c r="BB399" s="350"/>
      <c r="BC399" s="1457">
        <f>AQ399*(1+AU399)</f>
        <v>0</v>
      </c>
      <c r="BD399" s="1457"/>
      <c r="BE399" s="1457"/>
      <c r="BF399" s="52"/>
      <c r="BG399" s="52"/>
      <c r="BH399" s="52"/>
      <c r="BI399" s="52"/>
      <c r="BJ399" s="152"/>
      <c r="BM399" s="760"/>
      <c r="BP399" s="227"/>
      <c r="BQ399" s="227"/>
      <c r="BR399" s="227"/>
      <c r="BS399" s="227"/>
      <c r="BT399" s="227"/>
      <c r="BU399" s="1290" t="s">
        <v>1092</v>
      </c>
      <c r="BV399" s="227"/>
      <c r="BW399" s="227"/>
      <c r="BX399" s="227"/>
    </row>
    <row r="400" spans="2:76" s="155" customFormat="1" ht="17.100000000000001" customHeight="1" outlineLevel="1">
      <c r="B400" s="117"/>
      <c r="C400" s="491"/>
      <c r="D400" s="169" t="str">
        <f>D331</f>
        <v>Total</v>
      </c>
      <c r="E400" s="169"/>
      <c r="F400" s="169"/>
      <c r="G400" s="169"/>
      <c r="H400" s="169"/>
      <c r="I400" s="169"/>
      <c r="J400" s="169"/>
      <c r="K400" s="169"/>
      <c r="L400" s="169"/>
      <c r="M400" s="169"/>
      <c r="N400" s="169"/>
      <c r="O400" s="144"/>
      <c r="P400" s="190" t="s">
        <v>106</v>
      </c>
      <c r="Q400" s="144"/>
      <c r="R400" s="144"/>
      <c r="S400" s="1462"/>
      <c r="T400" s="1462"/>
      <c r="U400" s="1462"/>
      <c r="V400" s="173"/>
      <c r="W400" s="1537"/>
      <c r="X400" s="1537"/>
      <c r="Y400" s="1537"/>
      <c r="Z400" s="223"/>
      <c r="AA400" s="1462">
        <f>SUM(AA395:AC398)</f>
        <v>0</v>
      </c>
      <c r="AB400" s="1462"/>
      <c r="AC400" s="1462"/>
      <c r="AD400" s="224"/>
      <c r="AE400" s="1462">
        <f>SUM(AE395:AG399)</f>
        <v>0</v>
      </c>
      <c r="AF400" s="1462"/>
      <c r="AG400" s="1462"/>
      <c r="AH400" s="224"/>
      <c r="AI400" s="224"/>
      <c r="AJ400" s="224"/>
      <c r="AK400" s="224"/>
      <c r="AL400" s="224"/>
      <c r="AM400" s="224"/>
      <c r="AN400" s="224"/>
      <c r="AO400" s="144"/>
      <c r="AP400" s="144"/>
      <c r="AQ400" s="1462"/>
      <c r="AR400" s="1462"/>
      <c r="AS400" s="1462"/>
      <c r="AT400" s="173"/>
      <c r="AU400" s="1537"/>
      <c r="AV400" s="1537"/>
      <c r="AW400" s="1537"/>
      <c r="AX400" s="223"/>
      <c r="AY400" s="1462">
        <f>SUM(AY395:BA398)</f>
        <v>0</v>
      </c>
      <c r="AZ400" s="1462"/>
      <c r="BA400" s="1462"/>
      <c r="BB400" s="224"/>
      <c r="BC400" s="1462">
        <f>SUM(BC395:BE399)</f>
        <v>0</v>
      </c>
      <c r="BD400" s="1462"/>
      <c r="BE400" s="1462"/>
      <c r="BF400" s="224"/>
      <c r="BG400" s="224"/>
      <c r="BH400" s="224"/>
      <c r="BI400" s="224"/>
      <c r="BJ400" s="225"/>
      <c r="BL400" s="28"/>
      <c r="BM400" s="1295"/>
      <c r="BP400" s="28"/>
      <c r="BQ400" s="28"/>
      <c r="BR400" s="28"/>
      <c r="BS400" s="28"/>
      <c r="BT400" s="28"/>
      <c r="BU400" s="28"/>
      <c r="BV400" s="28"/>
      <c r="BW400" s="28"/>
      <c r="BX400" s="28"/>
    </row>
    <row r="401" spans="2:76" s="28" customFormat="1" ht="17.100000000000001" customHeight="1" outlineLevel="2">
      <c r="B401" s="117"/>
      <c r="C401" s="952"/>
      <c r="D401" s="160"/>
      <c r="E401" s="160"/>
      <c r="F401" s="160"/>
      <c r="G401" s="160"/>
      <c r="H401" s="160"/>
      <c r="I401" s="160"/>
      <c r="J401" s="160"/>
      <c r="K401" s="160"/>
      <c r="L401" s="160"/>
      <c r="M401" s="160"/>
      <c r="N401" s="160"/>
      <c r="O401" s="98"/>
      <c r="P401" s="122"/>
      <c r="Q401" s="98"/>
      <c r="R401" s="98"/>
      <c r="S401" s="159"/>
      <c r="T401" s="159"/>
      <c r="U401" s="159"/>
      <c r="V401" s="950"/>
      <c r="W401" s="978"/>
      <c r="X401" s="979"/>
      <c r="Y401" s="979"/>
      <c r="Z401" s="943"/>
      <c r="AA401" s="159"/>
      <c r="AB401" s="159"/>
      <c r="AC401" s="159"/>
      <c r="AD401" s="52"/>
      <c r="AE401" s="52"/>
      <c r="AF401" s="52"/>
      <c r="AG401" s="52"/>
      <c r="AH401" s="52"/>
      <c r="AI401" s="52"/>
      <c r="AJ401" s="52"/>
      <c r="AK401" s="52"/>
      <c r="AL401" s="52"/>
      <c r="AM401" s="52"/>
      <c r="AN401" s="52"/>
      <c r="AO401" s="98"/>
      <c r="AP401" s="98"/>
      <c r="AQ401" s="159"/>
      <c r="AR401" s="159"/>
      <c r="AS401" s="159"/>
      <c r="AT401" s="950"/>
      <c r="AU401" s="978"/>
      <c r="AV401" s="979"/>
      <c r="AW401" s="979"/>
      <c r="AX401" s="943"/>
      <c r="AY401" s="159"/>
      <c r="AZ401" s="159"/>
      <c r="BA401" s="159"/>
      <c r="BB401" s="52"/>
      <c r="BC401" s="52"/>
      <c r="BD401" s="52"/>
      <c r="BE401" s="52"/>
      <c r="BF401" s="52"/>
      <c r="BG401" s="52"/>
      <c r="BH401" s="52"/>
      <c r="BI401" s="52"/>
      <c r="BJ401" s="152"/>
      <c r="BM401" s="760"/>
      <c r="BP401" s="155"/>
      <c r="BQ401" s="155"/>
      <c r="BR401" s="155"/>
      <c r="BS401" s="155"/>
      <c r="BT401" s="155"/>
      <c r="BU401" s="155"/>
      <c r="BV401" s="155"/>
      <c r="BW401" s="155"/>
      <c r="BX401" s="155"/>
    </row>
    <row r="402" spans="2:76" s="28" customFormat="1" ht="17.100000000000001" customHeight="1" outlineLevel="2">
      <c r="B402" s="117"/>
      <c r="C402" s="952"/>
      <c r="D402" s="160" t="s">
        <v>976</v>
      </c>
      <c r="E402" s="160"/>
      <c r="F402" s="160"/>
      <c r="G402" s="160"/>
      <c r="H402" s="160"/>
      <c r="I402" s="160"/>
      <c r="J402" s="160"/>
      <c r="K402" s="160"/>
      <c r="L402" s="160"/>
      <c r="M402" s="160"/>
      <c r="N402" s="160"/>
      <c r="O402" s="98"/>
      <c r="P402" s="122"/>
      <c r="Q402" s="98"/>
      <c r="R402" s="98"/>
      <c r="S402" s="159"/>
      <c r="T402" s="159"/>
      <c r="U402" s="159"/>
      <c r="V402" s="950"/>
      <c r="W402" s="978"/>
      <c r="X402" s="979"/>
      <c r="Y402" s="979"/>
      <c r="Z402" s="943"/>
      <c r="AA402" s="159"/>
      <c r="AB402" s="159"/>
      <c r="AC402" s="159"/>
      <c r="AD402" s="52"/>
      <c r="AE402" s="1462"/>
      <c r="AF402" s="1462"/>
      <c r="AG402" s="1462"/>
      <c r="AH402" s="52"/>
      <c r="AI402" s="52"/>
      <c r="AJ402" s="52"/>
      <c r="AK402" s="52"/>
      <c r="AL402" s="52"/>
      <c r="AM402" s="52"/>
      <c r="AN402" s="52"/>
      <c r="AO402" s="98"/>
      <c r="AP402" s="98"/>
      <c r="AQ402" s="159"/>
      <c r="AR402" s="159"/>
      <c r="AS402" s="159"/>
      <c r="AT402" s="950"/>
      <c r="AU402" s="978"/>
      <c r="AV402" s="979"/>
      <c r="AW402" s="979"/>
      <c r="AX402" s="943"/>
      <c r="AY402" s="159"/>
      <c r="AZ402" s="159"/>
      <c r="BA402" s="159"/>
      <c r="BB402" s="52"/>
      <c r="BC402" s="52"/>
      <c r="BD402" s="52"/>
      <c r="BE402" s="52"/>
      <c r="BF402" s="52"/>
      <c r="BG402" s="52"/>
      <c r="BH402" s="52"/>
      <c r="BI402" s="52"/>
      <c r="BJ402" s="152"/>
      <c r="BM402" s="760"/>
      <c r="BP402" s="155"/>
      <c r="BQ402" s="155"/>
      <c r="BR402" s="155"/>
      <c r="BS402" s="155"/>
      <c r="BT402" s="155"/>
      <c r="BU402" s="155"/>
      <c r="BV402" s="155"/>
      <c r="BW402" s="155"/>
      <c r="BX402" s="155"/>
    </row>
    <row r="403" spans="2:76" s="28" customFormat="1" ht="17.100000000000001" customHeight="1" outlineLevel="2">
      <c r="B403" s="117"/>
      <c r="C403" s="952"/>
      <c r="D403" s="160"/>
      <c r="E403" s="160" t="s">
        <v>816</v>
      </c>
      <c r="F403" s="160"/>
      <c r="G403" s="160"/>
      <c r="H403" s="160"/>
      <c r="I403" s="160"/>
      <c r="J403" s="160"/>
      <c r="K403" s="160"/>
      <c r="L403" s="160"/>
      <c r="M403" s="160"/>
      <c r="N403" s="160"/>
      <c r="O403" s="98"/>
      <c r="P403" s="122"/>
      <c r="Q403" s="98"/>
      <c r="R403" s="98"/>
      <c r="S403" s="1448">
        <f>W100</f>
        <v>0</v>
      </c>
      <c r="T403" s="1448"/>
      <c r="U403" s="1448"/>
      <c r="V403" s="950"/>
      <c r="W403" s="978"/>
      <c r="X403" s="979"/>
      <c r="Y403" s="979"/>
      <c r="Z403" s="943"/>
      <c r="AA403" s="1448">
        <f>Z764</f>
        <v>0</v>
      </c>
      <c r="AB403" s="1448"/>
      <c r="AC403" s="1448"/>
      <c r="AD403" s="52"/>
      <c r="AE403" s="1445">
        <f>S403*AA403*AA406</f>
        <v>0</v>
      </c>
      <c r="AF403" s="1463"/>
      <c r="AG403" s="1463"/>
      <c r="AH403" s="52"/>
      <c r="AI403" s="52"/>
      <c r="AJ403" s="52"/>
      <c r="AK403" s="52"/>
      <c r="AL403" s="52"/>
      <c r="AM403" s="52"/>
      <c r="AN403" s="52"/>
      <c r="AO403" s="98"/>
      <c r="AP403" s="98"/>
      <c r="AQ403" s="1448">
        <f>AU100</f>
        <v>0</v>
      </c>
      <c r="AR403" s="1448"/>
      <c r="AS403" s="1448"/>
      <c r="AT403" s="950"/>
      <c r="AU403" s="978"/>
      <c r="AV403" s="979"/>
      <c r="AW403" s="979"/>
      <c r="AX403" s="943"/>
      <c r="AY403" s="1448">
        <f>AX764</f>
        <v>0</v>
      </c>
      <c r="AZ403" s="1448"/>
      <c r="BA403" s="1448"/>
      <c r="BB403" s="52"/>
      <c r="BC403" s="1445">
        <f>AQ403*AY403*AY406</f>
        <v>0</v>
      </c>
      <c r="BD403" s="1463"/>
      <c r="BE403" s="1463"/>
      <c r="BF403" s="52"/>
      <c r="BG403" s="52"/>
      <c r="BH403" s="52"/>
      <c r="BI403" s="52"/>
      <c r="BJ403" s="152"/>
      <c r="BM403" s="760"/>
      <c r="BP403" s="155"/>
      <c r="BQ403" s="155"/>
      <c r="BR403" s="155"/>
      <c r="BS403" s="155"/>
      <c r="BT403" s="155"/>
      <c r="BU403" s="155"/>
      <c r="BV403" s="155"/>
      <c r="BW403" s="155"/>
      <c r="BX403" s="155"/>
    </row>
    <row r="404" spans="2:76" s="28" customFormat="1" ht="17.100000000000001" customHeight="1" outlineLevel="2">
      <c r="B404" s="117"/>
      <c r="C404" s="952"/>
      <c r="D404" s="160"/>
      <c r="E404" s="160" t="str">
        <f>X!C312</f>
        <v>Wärmenutzung</v>
      </c>
      <c r="F404" s="160"/>
      <c r="G404" s="160"/>
      <c r="H404" s="160"/>
      <c r="I404" s="160"/>
      <c r="J404" s="160"/>
      <c r="K404" s="160"/>
      <c r="L404" s="160"/>
      <c r="M404" s="160"/>
      <c r="N404" s="160"/>
      <c r="O404" s="98"/>
      <c r="P404" s="122"/>
      <c r="Q404" s="98"/>
      <c r="R404" s="98"/>
      <c r="S404" s="1448">
        <f>W101</f>
        <v>0</v>
      </c>
      <c r="T404" s="1448"/>
      <c r="U404" s="1448"/>
      <c r="V404" s="950"/>
      <c r="W404" s="978"/>
      <c r="X404" s="979"/>
      <c r="Y404" s="979"/>
      <c r="Z404" s="943"/>
      <c r="AA404" s="1448">
        <f>AI882</f>
        <v>0</v>
      </c>
      <c r="AB404" s="1448"/>
      <c r="AC404" s="1448"/>
      <c r="AD404" s="52"/>
      <c r="AE404" s="1445">
        <f>S404*AA404*AA406</f>
        <v>0</v>
      </c>
      <c r="AF404" s="1463"/>
      <c r="AG404" s="1463"/>
      <c r="AH404" s="52"/>
      <c r="AI404" s="52"/>
      <c r="AJ404" s="52"/>
      <c r="AK404" s="52"/>
      <c r="AL404" s="52"/>
      <c r="AM404" s="52"/>
      <c r="AN404" s="52"/>
      <c r="AO404" s="98"/>
      <c r="AP404" s="98"/>
      <c r="AQ404" s="1448">
        <f>AU101</f>
        <v>0</v>
      </c>
      <c r="AR404" s="1448"/>
      <c r="AS404" s="1448"/>
      <c r="AT404" s="950"/>
      <c r="AU404" s="978"/>
      <c r="AV404" s="979"/>
      <c r="AW404" s="979"/>
      <c r="AX404" s="943"/>
      <c r="AY404" s="1448">
        <f>BG882</f>
        <v>0</v>
      </c>
      <c r="AZ404" s="1448"/>
      <c r="BA404" s="1448"/>
      <c r="BB404" s="52"/>
      <c r="BC404" s="1445">
        <f>AQ404*AY404*AY406</f>
        <v>0</v>
      </c>
      <c r="BD404" s="1463"/>
      <c r="BE404" s="1463"/>
      <c r="BF404" s="52"/>
      <c r="BG404" s="52"/>
      <c r="BH404" s="52"/>
      <c r="BI404" s="52"/>
      <c r="BJ404" s="152"/>
      <c r="BM404" s="760"/>
      <c r="BP404" s="155"/>
      <c r="BQ404" s="155"/>
      <c r="BR404" s="155"/>
      <c r="BS404" s="155"/>
      <c r="BT404" s="155"/>
      <c r="BU404" s="155"/>
      <c r="BV404" s="155"/>
      <c r="BW404" s="155"/>
      <c r="BX404" s="155"/>
    </row>
    <row r="405" spans="2:76" s="28" customFormat="1" ht="6" customHeight="1" outlineLevel="1">
      <c r="B405" s="117"/>
      <c r="C405" s="952"/>
      <c r="D405" s="98"/>
      <c r="E405" s="98"/>
      <c r="F405" s="98"/>
      <c r="G405" s="640"/>
      <c r="H405" s="98"/>
      <c r="I405" s="98"/>
      <c r="J405" s="98"/>
      <c r="K405" s="98"/>
      <c r="L405" s="98"/>
      <c r="M405" s="98"/>
      <c r="N405" s="98"/>
      <c r="O405" s="98"/>
      <c r="P405" s="122"/>
      <c r="Q405" s="98"/>
      <c r="R405" s="98"/>
      <c r="S405" s="950"/>
      <c r="T405" s="950"/>
      <c r="U405" s="950"/>
      <c r="V405" s="950"/>
      <c r="W405" s="950"/>
      <c r="X405" s="950"/>
      <c r="Y405" s="950"/>
      <c r="Z405" s="943"/>
      <c r="AA405" s="950"/>
      <c r="AB405" s="950"/>
      <c r="AC405" s="950"/>
      <c r="AD405" s="52"/>
      <c r="AE405" s="1445"/>
      <c r="AF405" s="1463"/>
      <c r="AG405" s="1463"/>
      <c r="AH405" s="52"/>
      <c r="AI405" s="52"/>
      <c r="AJ405" s="52"/>
      <c r="AK405" s="52"/>
      <c r="AL405" s="52"/>
      <c r="AM405" s="52"/>
      <c r="AN405" s="52"/>
      <c r="AO405" s="98"/>
      <c r="AP405" s="98"/>
      <c r="AQ405" s="950"/>
      <c r="AR405" s="950"/>
      <c r="AS405" s="950"/>
      <c r="AT405" s="950"/>
      <c r="AU405" s="950"/>
      <c r="AV405" s="950"/>
      <c r="AW405" s="950"/>
      <c r="AX405" s="943"/>
      <c r="AY405" s="950"/>
      <c r="AZ405" s="950"/>
      <c r="BA405" s="950"/>
      <c r="BB405" s="52"/>
      <c r="BC405" s="52"/>
      <c r="BD405" s="52"/>
      <c r="BE405" s="52"/>
      <c r="BF405" s="52"/>
      <c r="BG405" s="52"/>
      <c r="BH405" s="52"/>
      <c r="BI405" s="52"/>
      <c r="BJ405" s="152"/>
      <c r="BM405" s="760"/>
      <c r="BP405" s="155"/>
      <c r="BQ405" s="155"/>
      <c r="BR405" s="155"/>
      <c r="BS405" s="155"/>
      <c r="BT405" s="155"/>
      <c r="BU405" s="155"/>
      <c r="BV405" s="155"/>
      <c r="BW405" s="155"/>
      <c r="BX405" s="155"/>
    </row>
    <row r="406" spans="2:76" s="227" customFormat="1" ht="17.100000000000001" customHeight="1" outlineLevel="1">
      <c r="B406" s="226"/>
      <c r="C406" s="513"/>
      <c r="D406" s="160" t="str">
        <f>D337</f>
        <v>Laufzeit</v>
      </c>
      <c r="E406" s="160"/>
      <c r="F406" s="160"/>
      <c r="G406" s="160"/>
      <c r="H406" s="160"/>
      <c r="I406" s="160"/>
      <c r="J406" s="160"/>
      <c r="K406" s="160"/>
      <c r="L406" s="160"/>
      <c r="M406" s="160"/>
      <c r="N406" s="160"/>
      <c r="O406" s="98"/>
      <c r="P406" s="122" t="s">
        <v>152</v>
      </c>
      <c r="Q406" s="98"/>
      <c r="R406" s="98"/>
      <c r="S406" s="1452"/>
      <c r="T406" s="1452"/>
      <c r="U406" s="1452"/>
      <c r="V406" s="135"/>
      <c r="W406" s="1463"/>
      <c r="X406" s="1463"/>
      <c r="Y406" s="1463"/>
      <c r="Z406" s="228"/>
      <c r="AA406" s="1445">
        <f>AI372</f>
        <v>0</v>
      </c>
      <c r="AB406" s="1463"/>
      <c r="AC406" s="1463"/>
      <c r="AD406" s="64"/>
      <c r="AE406" s="1445">
        <f>ROUND(SUM(AE403:AG404),-1)</f>
        <v>0</v>
      </c>
      <c r="AF406" s="1463"/>
      <c r="AG406" s="1463"/>
      <c r="AH406" s="64"/>
      <c r="AI406" s="64"/>
      <c r="AJ406" s="64"/>
      <c r="AK406" s="64"/>
      <c r="AL406" s="64"/>
      <c r="AM406" s="64"/>
      <c r="AN406" s="64"/>
      <c r="AO406" s="98"/>
      <c r="AP406" s="98"/>
      <c r="AQ406" s="1452"/>
      <c r="AR406" s="1452"/>
      <c r="AS406" s="1452"/>
      <c r="AT406" s="135"/>
      <c r="AU406" s="1463"/>
      <c r="AV406" s="1463"/>
      <c r="AW406" s="1463"/>
      <c r="AX406" s="228"/>
      <c r="AY406" s="1445">
        <f>BG372</f>
        <v>0</v>
      </c>
      <c r="AZ406" s="1463"/>
      <c r="BA406" s="1463"/>
      <c r="BB406" s="64"/>
      <c r="BC406" s="1445">
        <f>ROUND(SUM(BC403:BE404),-1)</f>
        <v>0</v>
      </c>
      <c r="BD406" s="1463"/>
      <c r="BE406" s="1463"/>
      <c r="BF406" s="64"/>
      <c r="BG406" s="64"/>
      <c r="BH406" s="64"/>
      <c r="BI406" s="64"/>
      <c r="BJ406" s="229"/>
      <c r="BL406" s="28"/>
      <c r="BM406" s="1294"/>
      <c r="BP406" s="155"/>
      <c r="BQ406" s="155"/>
      <c r="BR406" s="155"/>
      <c r="BS406" s="155"/>
      <c r="BT406" s="155"/>
      <c r="BU406" s="155"/>
      <c r="BV406" s="155"/>
      <c r="BW406" s="155"/>
      <c r="BX406" s="155"/>
    </row>
    <row r="407" spans="2:76" s="155" customFormat="1" ht="17.100000000000001" customHeight="1" outlineLevel="1">
      <c r="B407" s="154"/>
      <c r="C407" s="491"/>
      <c r="D407" s="981" t="str">
        <f>D338</f>
        <v>Total</v>
      </c>
      <c r="E407" s="981"/>
      <c r="F407" s="981"/>
      <c r="G407" s="981"/>
      <c r="H407" s="981"/>
      <c r="I407" s="981"/>
      <c r="J407" s="981"/>
      <c r="K407" s="981"/>
      <c r="L407" s="981"/>
      <c r="M407" s="981"/>
      <c r="N407" s="981"/>
      <c r="O407" s="982"/>
      <c r="P407" s="983" t="s">
        <v>22</v>
      </c>
      <c r="Q407" s="982"/>
      <c r="R407" s="982"/>
      <c r="S407" s="1572"/>
      <c r="T407" s="1572"/>
      <c r="U407" s="1572"/>
      <c r="V407" s="954"/>
      <c r="W407" s="1573"/>
      <c r="X407" s="1573"/>
      <c r="Y407" s="1573"/>
      <c r="Z407" s="984"/>
      <c r="AA407" s="1468">
        <f>IF(AA400*AA406&gt;10000,ROUND(AA400*AA406,-3),ROUND(AA400*AA406,-2))</f>
        <v>0</v>
      </c>
      <c r="AB407" s="1468"/>
      <c r="AC407" s="1468"/>
      <c r="AD407" s="428"/>
      <c r="AE407" s="1468">
        <f>IF(AE400*AE406&gt;10000,ROUND(AE400*AE406,-3),ROUND(AE400*AE406,-2))</f>
        <v>0</v>
      </c>
      <c r="AF407" s="1468"/>
      <c r="AG407" s="1468"/>
      <c r="AH407" s="980"/>
      <c r="AI407" s="1468">
        <f>AA407+AE407</f>
        <v>0</v>
      </c>
      <c r="AJ407" s="1468"/>
      <c r="AK407" s="1468"/>
      <c r="AL407" s="224"/>
      <c r="AM407" s="224"/>
      <c r="AN407" s="224"/>
      <c r="AO407" s="144"/>
      <c r="AP407" s="144"/>
      <c r="AQ407" s="1572"/>
      <c r="AR407" s="1572"/>
      <c r="AS407" s="1572"/>
      <c r="AT407" s="954"/>
      <c r="AU407" s="1573"/>
      <c r="AV407" s="1573"/>
      <c r="AW407" s="1573"/>
      <c r="AX407" s="984"/>
      <c r="AY407" s="1468">
        <f>IF(AY400*AY406&gt;10000,ROUND(AY400*AY406,-3),ROUND(AY400*AY406,-2))</f>
        <v>0</v>
      </c>
      <c r="AZ407" s="1468"/>
      <c r="BA407" s="1468"/>
      <c r="BB407" s="428"/>
      <c r="BC407" s="1468">
        <f>IF(BC400*BC406&gt;10000,ROUND(BC400*BC406,-3),ROUND(BC400*BC406,-2))</f>
        <v>0</v>
      </c>
      <c r="BD407" s="1468"/>
      <c r="BE407" s="1468"/>
      <c r="BF407" s="980"/>
      <c r="BG407" s="1468">
        <f>AY407+BC407</f>
        <v>0</v>
      </c>
      <c r="BH407" s="1468"/>
      <c r="BI407" s="1468"/>
      <c r="BJ407" s="225"/>
      <c r="BL407" s="28"/>
      <c r="BM407" s="1295"/>
    </row>
    <row r="408" spans="2:76" outlineLevel="1">
      <c r="B408" s="147"/>
      <c r="C408" s="477"/>
      <c r="D408" s="52"/>
      <c r="E408" s="52"/>
      <c r="F408" s="52"/>
      <c r="G408" s="52"/>
      <c r="H408" s="52"/>
      <c r="I408" s="52"/>
      <c r="J408" s="52"/>
      <c r="K408" s="52"/>
      <c r="L408" s="52"/>
      <c r="M408" s="52"/>
      <c r="N408" s="52"/>
      <c r="O408" s="52"/>
      <c r="P408" s="55"/>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152"/>
      <c r="BL408" s="28"/>
      <c r="BP408" s="28"/>
      <c r="BQ408" s="28"/>
      <c r="BR408" s="28"/>
      <c r="BS408" s="28"/>
      <c r="BT408" s="28"/>
      <c r="BU408" s="28"/>
      <c r="BV408" s="28"/>
      <c r="BW408" s="28"/>
      <c r="BX408" s="28"/>
    </row>
    <row r="409" spans="2:76" outlineLevel="1">
      <c r="B409" s="147"/>
      <c r="C409" s="477"/>
      <c r="D409" s="52"/>
      <c r="E409" s="52"/>
      <c r="F409" s="52"/>
      <c r="G409" s="52"/>
      <c r="H409" s="52"/>
      <c r="I409" s="52"/>
      <c r="J409" s="52"/>
      <c r="K409" s="52"/>
      <c r="L409" s="52"/>
      <c r="M409" s="52"/>
      <c r="N409" s="52"/>
      <c r="O409" s="52"/>
      <c r="P409" s="55"/>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152"/>
      <c r="BL409" s="28"/>
      <c r="BP409" s="28"/>
      <c r="BQ409" s="28"/>
      <c r="BR409" s="28"/>
      <c r="BS409" s="28"/>
      <c r="BT409" s="28"/>
      <c r="BU409" s="28"/>
      <c r="BV409" s="28"/>
      <c r="BW409" s="28"/>
      <c r="BX409" s="28"/>
    </row>
    <row r="410" spans="2:76" outlineLevel="1">
      <c r="B410" s="147"/>
      <c r="C410" s="1045">
        <v>6.4</v>
      </c>
      <c r="D410" s="1045" t="str">
        <f>D341</f>
        <v>Energieverbrauch Hilfsbetriebe «kalte Seite»</v>
      </c>
      <c r="E410" s="1046"/>
      <c r="F410" s="1046"/>
      <c r="G410" s="1046"/>
      <c r="H410" s="1046"/>
      <c r="I410" s="1046"/>
      <c r="J410" s="1046"/>
      <c r="K410" s="1046"/>
      <c r="L410" s="1046"/>
      <c r="M410" s="1046"/>
      <c r="N410" s="1046"/>
      <c r="O410" s="1046"/>
      <c r="P410" s="55"/>
      <c r="Q410" s="52"/>
      <c r="R410" s="52"/>
      <c r="S410" s="1449" t="s">
        <v>150</v>
      </c>
      <c r="T410" s="1449"/>
      <c r="U410" s="1449"/>
      <c r="V410" s="52"/>
      <c r="W410" s="1540" t="str">
        <f>W393</f>
        <v>Regelung</v>
      </c>
      <c r="X410" s="1540"/>
      <c r="Y410" s="1540"/>
      <c r="Z410" s="52"/>
      <c r="AA410" s="1449" t="str">
        <f>AA393</f>
        <v>Pe (korr.)</v>
      </c>
      <c r="AB410" s="1449"/>
      <c r="AC410" s="1449"/>
      <c r="AD410" s="52"/>
      <c r="AE410" s="52"/>
      <c r="AF410" s="52"/>
      <c r="AG410" s="52"/>
      <c r="AH410" s="52"/>
      <c r="AI410" s="52"/>
      <c r="AJ410" s="52"/>
      <c r="AK410" s="52"/>
      <c r="AL410" s="52"/>
      <c r="AM410" s="52"/>
      <c r="AN410" s="52"/>
      <c r="AO410" s="52"/>
      <c r="AP410" s="52"/>
      <c r="AQ410" s="1449" t="s">
        <v>150</v>
      </c>
      <c r="AR410" s="1449"/>
      <c r="AS410" s="1449"/>
      <c r="AT410" s="52"/>
      <c r="AU410" s="1540" t="str">
        <f>AU393</f>
        <v>Regelung</v>
      </c>
      <c r="AV410" s="1540"/>
      <c r="AW410" s="1540"/>
      <c r="AX410" s="52"/>
      <c r="AY410" s="1449" t="str">
        <f>AY393</f>
        <v>Pe (korr.)</v>
      </c>
      <c r="AZ410" s="1449"/>
      <c r="BA410" s="1449"/>
      <c r="BB410" s="52"/>
      <c r="BC410" s="52"/>
      <c r="BD410" s="52"/>
      <c r="BE410" s="52"/>
      <c r="BF410" s="52"/>
      <c r="BG410" s="52"/>
      <c r="BH410" s="52"/>
      <c r="BI410" s="52"/>
      <c r="BJ410" s="152"/>
      <c r="BL410" s="28"/>
      <c r="BP410" s="28"/>
      <c r="BQ410" s="28"/>
      <c r="BR410" s="28"/>
      <c r="BS410" s="28"/>
      <c r="BT410" s="28"/>
      <c r="BU410" s="28"/>
      <c r="BV410" s="28"/>
      <c r="BW410" s="28"/>
      <c r="BX410" s="28"/>
    </row>
    <row r="411" spans="2:76" s="28" customFormat="1" ht="6" customHeight="1" outlineLevel="1">
      <c r="B411" s="117"/>
      <c r="C411" s="474"/>
      <c r="D411" s="98"/>
      <c r="E411" s="98"/>
      <c r="F411" s="98"/>
      <c r="G411" s="98"/>
      <c r="H411" s="98"/>
      <c r="I411" s="98"/>
      <c r="J411" s="98"/>
      <c r="K411" s="98"/>
      <c r="L411" s="98"/>
      <c r="M411" s="98"/>
      <c r="N411" s="98"/>
      <c r="O411" s="98"/>
      <c r="P411" s="122"/>
      <c r="Q411" s="98"/>
      <c r="R411" s="98"/>
      <c r="S411" s="135"/>
      <c r="T411" s="135"/>
      <c r="U411" s="135"/>
      <c r="V411" s="135"/>
      <c r="W411" s="135"/>
      <c r="X411" s="135"/>
      <c r="Y411" s="135"/>
      <c r="Z411" s="52"/>
      <c r="AA411" s="52"/>
      <c r="AB411" s="52"/>
      <c r="AC411" s="52"/>
      <c r="AD411" s="52"/>
      <c r="AE411" s="52"/>
      <c r="AF411" s="52"/>
      <c r="AG411" s="52"/>
      <c r="AH411" s="52"/>
      <c r="AI411" s="52"/>
      <c r="AJ411" s="52"/>
      <c r="AK411" s="52"/>
      <c r="AL411" s="52"/>
      <c r="AM411" s="52"/>
      <c r="AN411" s="52"/>
      <c r="AO411" s="135"/>
      <c r="AP411" s="135"/>
      <c r="AQ411" s="135"/>
      <c r="AR411" s="135"/>
      <c r="AS411" s="135"/>
      <c r="AT411" s="135"/>
      <c r="AU411" s="135"/>
      <c r="AV411" s="135"/>
      <c r="AW411" s="135"/>
      <c r="AX411" s="52"/>
      <c r="AY411" s="52"/>
      <c r="AZ411" s="52"/>
      <c r="BA411" s="52"/>
      <c r="BB411" s="52"/>
      <c r="BC411" s="52"/>
      <c r="BD411" s="52"/>
      <c r="BE411" s="52"/>
      <c r="BF411" s="52"/>
      <c r="BG411" s="52"/>
      <c r="BH411" s="52"/>
      <c r="BI411" s="52"/>
      <c r="BJ411" s="152"/>
      <c r="BP411" s="31"/>
      <c r="BQ411" s="31"/>
      <c r="BR411" s="31"/>
      <c r="BS411" s="31"/>
      <c r="BT411" s="31"/>
      <c r="BU411" s="31"/>
      <c r="BV411" s="31"/>
      <c r="BW411" s="31"/>
      <c r="BX411" s="31"/>
    </row>
    <row r="412" spans="2:76" s="155" customFormat="1" ht="17.100000000000001" customHeight="1" outlineLevel="1">
      <c r="B412" s="154"/>
      <c r="C412" s="491"/>
      <c r="D412" s="122" t="str">
        <f>D343</f>
        <v>Kälteträgerpumpen</v>
      </c>
      <c r="E412" s="122"/>
      <c r="F412" s="122"/>
      <c r="G412" s="156"/>
      <c r="H412" s="122"/>
      <c r="I412" s="122"/>
      <c r="J412" s="122"/>
      <c r="K412" s="122"/>
      <c r="L412" s="122"/>
      <c r="M412" s="122"/>
      <c r="N412" s="122"/>
      <c r="O412" s="122"/>
      <c r="P412" s="122" t="s">
        <v>106</v>
      </c>
      <c r="Q412" s="122"/>
      <c r="R412" s="122"/>
      <c r="S412" s="1452">
        <f>S76</f>
        <v>0</v>
      </c>
      <c r="T412" s="1452"/>
      <c r="U412" s="1452"/>
      <c r="V412" s="135"/>
      <c r="W412" s="1538">
        <f>-AK517</f>
        <v>0</v>
      </c>
      <c r="X412" s="1539"/>
      <c r="Y412" s="1539"/>
      <c r="Z412" s="91"/>
      <c r="AA412" s="1452">
        <f>S412*(1+W412)</f>
        <v>0</v>
      </c>
      <c r="AB412" s="1452"/>
      <c r="AC412" s="1452"/>
      <c r="AD412" s="52"/>
      <c r="AE412" s="52"/>
      <c r="AF412" s="52"/>
      <c r="AG412" s="52"/>
      <c r="AH412" s="52"/>
      <c r="AI412" s="52"/>
      <c r="AJ412" s="52"/>
      <c r="AK412" s="52"/>
      <c r="AL412" s="52"/>
      <c r="AM412" s="52"/>
      <c r="AN412" s="52"/>
      <c r="AO412" s="98"/>
      <c r="AP412" s="98"/>
      <c r="AQ412" s="1452">
        <f>AQ76</f>
        <v>0</v>
      </c>
      <c r="AR412" s="1452"/>
      <c r="AS412" s="1452"/>
      <c r="AT412" s="135"/>
      <c r="AU412" s="1538">
        <f>-BI517</f>
        <v>0</v>
      </c>
      <c r="AV412" s="1539"/>
      <c r="AW412" s="1539"/>
      <c r="AX412" s="91"/>
      <c r="AY412" s="1452">
        <f>AQ412*(1+AU412)</f>
        <v>0</v>
      </c>
      <c r="AZ412" s="1452"/>
      <c r="BA412" s="1452"/>
      <c r="BB412" s="52"/>
      <c r="BC412" s="52"/>
      <c r="BD412" s="52"/>
      <c r="BE412" s="52"/>
      <c r="BF412" s="52"/>
      <c r="BG412" s="52"/>
      <c r="BH412" s="52"/>
      <c r="BI412" s="52"/>
      <c r="BJ412" s="152"/>
      <c r="BL412" s="28"/>
      <c r="BP412" s="28"/>
      <c r="BQ412" s="28"/>
      <c r="BR412" s="28"/>
      <c r="BS412" s="28"/>
      <c r="BT412" s="28"/>
      <c r="BU412" s="28"/>
      <c r="BV412" s="28"/>
      <c r="BW412" s="28"/>
      <c r="BX412" s="28"/>
    </row>
    <row r="413" spans="2:76" s="28" customFormat="1" ht="17.100000000000001" customHeight="1" outlineLevel="1">
      <c r="B413" s="117"/>
      <c r="C413" s="489"/>
      <c r="D413" s="122" t="str">
        <f>D344</f>
        <v>Ventilatoren Kühler</v>
      </c>
      <c r="E413" s="98"/>
      <c r="F413" s="98"/>
      <c r="G413" s="55"/>
      <c r="H413" s="98"/>
      <c r="I413" s="98"/>
      <c r="J413" s="98"/>
      <c r="K413" s="98"/>
      <c r="L413" s="98"/>
      <c r="M413" s="98"/>
      <c r="N413" s="98"/>
      <c r="O413" s="98"/>
      <c r="P413" s="122" t="s">
        <v>106</v>
      </c>
      <c r="Q413" s="98"/>
      <c r="R413" s="98"/>
      <c r="S413" s="1452">
        <f>S78</f>
        <v>0</v>
      </c>
      <c r="T413" s="1452"/>
      <c r="U413" s="1452"/>
      <c r="V413" s="135"/>
      <c r="W413" s="1538">
        <f>-AK527</f>
        <v>0</v>
      </c>
      <c r="X413" s="1539"/>
      <c r="Y413" s="1539"/>
      <c r="Z413" s="91"/>
      <c r="AA413" s="1452">
        <f>S413*(1+W413)</f>
        <v>0</v>
      </c>
      <c r="AB413" s="1452"/>
      <c r="AC413" s="1452"/>
      <c r="AD413" s="52"/>
      <c r="AE413" s="52"/>
      <c r="AF413" s="52"/>
      <c r="AG413" s="52"/>
      <c r="AH413" s="52"/>
      <c r="AI413" s="52"/>
      <c r="AJ413" s="52"/>
      <c r="AK413" s="52"/>
      <c r="AL413" s="52"/>
      <c r="AM413" s="52"/>
      <c r="AN413" s="52"/>
      <c r="AO413" s="98"/>
      <c r="AP413" s="98"/>
      <c r="AQ413" s="1452">
        <f>AQ78</f>
        <v>0</v>
      </c>
      <c r="AR413" s="1452"/>
      <c r="AS413" s="1452"/>
      <c r="AT413" s="135"/>
      <c r="AU413" s="1538">
        <f>-BI527</f>
        <v>0</v>
      </c>
      <c r="AV413" s="1539"/>
      <c r="AW413" s="1539"/>
      <c r="AX413" s="91"/>
      <c r="AY413" s="1452">
        <f>AQ413*(1+AU413)</f>
        <v>0</v>
      </c>
      <c r="AZ413" s="1452"/>
      <c r="BA413" s="1452"/>
      <c r="BB413" s="52"/>
      <c r="BC413" s="52"/>
      <c r="BD413" s="52"/>
      <c r="BE413" s="52"/>
      <c r="BF413" s="52"/>
      <c r="BG413" s="52"/>
      <c r="BH413" s="52"/>
      <c r="BI413" s="52"/>
      <c r="BJ413" s="152"/>
      <c r="BP413" s="155"/>
      <c r="BQ413" s="155"/>
      <c r="BR413" s="155"/>
      <c r="BS413" s="155"/>
      <c r="BT413" s="155"/>
      <c r="BU413" s="155"/>
      <c r="BV413" s="155"/>
      <c r="BW413" s="155"/>
      <c r="BX413" s="155"/>
    </row>
    <row r="414" spans="2:76" s="28" customFormat="1" ht="17.100000000000001" customHeight="1" outlineLevel="1">
      <c r="B414" s="117"/>
      <c r="C414" s="489"/>
      <c r="D414" s="232">
        <f>D345</f>
        <v>0</v>
      </c>
      <c r="E414" s="230"/>
      <c r="F414" s="230"/>
      <c r="G414" s="231"/>
      <c r="H414" s="230"/>
      <c r="I414" s="230"/>
      <c r="J414" s="230"/>
      <c r="K414" s="230"/>
      <c r="L414" s="230"/>
      <c r="M414" s="230"/>
      <c r="N414" s="230"/>
      <c r="O414" s="230"/>
      <c r="P414" s="232" t="s">
        <v>106</v>
      </c>
      <c r="Q414" s="230"/>
      <c r="R414" s="230"/>
      <c r="S414" s="1576">
        <f>S80</f>
        <v>0</v>
      </c>
      <c r="T414" s="1576"/>
      <c r="U414" s="1576"/>
      <c r="V414" s="233"/>
      <c r="W414" s="1574">
        <f>-AK537</f>
        <v>0</v>
      </c>
      <c r="X414" s="1575"/>
      <c r="Y414" s="1575"/>
      <c r="Z414" s="234"/>
      <c r="AA414" s="1576">
        <f>S414*(1+W414)</f>
        <v>0</v>
      </c>
      <c r="AB414" s="1576"/>
      <c r="AC414" s="1576"/>
      <c r="AD414" s="52"/>
      <c r="AE414" s="52"/>
      <c r="AF414" s="52"/>
      <c r="AG414" s="52"/>
      <c r="AH414" s="52"/>
      <c r="AI414" s="52"/>
      <c r="AJ414" s="52"/>
      <c r="AK414" s="52"/>
      <c r="AL414" s="52"/>
      <c r="AM414" s="52"/>
      <c r="AN414" s="52"/>
      <c r="AO414" s="98"/>
      <c r="AP414" s="98"/>
      <c r="AQ414" s="1576">
        <f>AQ80</f>
        <v>0</v>
      </c>
      <c r="AR414" s="1576"/>
      <c r="AS414" s="1576"/>
      <c r="AT414" s="233"/>
      <c r="AU414" s="1574">
        <f>-BI537</f>
        <v>0</v>
      </c>
      <c r="AV414" s="1575"/>
      <c r="AW414" s="1575"/>
      <c r="AX414" s="234"/>
      <c r="AY414" s="1576">
        <f>AQ414*(1+AU414)</f>
        <v>0</v>
      </c>
      <c r="AZ414" s="1576"/>
      <c r="BA414" s="1576"/>
      <c r="BB414" s="52"/>
      <c r="BC414" s="52"/>
      <c r="BD414" s="52"/>
      <c r="BE414" s="52"/>
      <c r="BF414" s="52"/>
      <c r="BG414" s="52"/>
      <c r="BH414" s="52"/>
      <c r="BI414" s="52"/>
      <c r="BJ414" s="152"/>
    </row>
    <row r="415" spans="2:76" s="155" customFormat="1" ht="17.100000000000001" customHeight="1" outlineLevel="1">
      <c r="B415" s="154"/>
      <c r="C415" s="491"/>
      <c r="D415" s="169" t="str">
        <f>D346</f>
        <v>Total</v>
      </c>
      <c r="E415" s="169"/>
      <c r="F415" s="169"/>
      <c r="G415" s="169"/>
      <c r="H415" s="169"/>
      <c r="I415" s="169"/>
      <c r="J415" s="169"/>
      <c r="K415" s="169"/>
      <c r="L415" s="169"/>
      <c r="M415" s="169"/>
      <c r="N415" s="169"/>
      <c r="O415" s="144"/>
      <c r="P415" s="190" t="s">
        <v>106</v>
      </c>
      <c r="Q415" s="144"/>
      <c r="R415" s="144"/>
      <c r="S415" s="1462"/>
      <c r="T415" s="1462"/>
      <c r="U415" s="1462"/>
      <c r="V415" s="173"/>
      <c r="W415" s="1537"/>
      <c r="X415" s="1537"/>
      <c r="Y415" s="1537"/>
      <c r="Z415" s="223"/>
      <c r="AA415" s="1462">
        <f>SUM(AA412:AC414)</f>
        <v>0</v>
      </c>
      <c r="AB415" s="1462"/>
      <c r="AC415" s="1462"/>
      <c r="AD415" s="224"/>
      <c r="AE415" s="224"/>
      <c r="AF415" s="224"/>
      <c r="AG415" s="224"/>
      <c r="AH415" s="224"/>
      <c r="AI415" s="224"/>
      <c r="AJ415" s="224"/>
      <c r="AK415" s="224"/>
      <c r="AL415" s="224"/>
      <c r="AM415" s="224"/>
      <c r="AN415" s="224"/>
      <c r="AO415" s="144"/>
      <c r="AP415" s="144"/>
      <c r="AQ415" s="1462"/>
      <c r="AR415" s="1462"/>
      <c r="AS415" s="1462"/>
      <c r="AT415" s="173"/>
      <c r="AU415" s="1537"/>
      <c r="AV415" s="1537"/>
      <c r="AW415" s="1537"/>
      <c r="AX415" s="223"/>
      <c r="AY415" s="1462">
        <f>SUM(AY412:BA414)</f>
        <v>0</v>
      </c>
      <c r="AZ415" s="1462"/>
      <c r="BA415" s="1462"/>
      <c r="BB415" s="224"/>
      <c r="BC415" s="224"/>
      <c r="BD415" s="224"/>
      <c r="BE415" s="224"/>
      <c r="BF415" s="224"/>
      <c r="BG415" s="224"/>
      <c r="BH415" s="224"/>
      <c r="BI415" s="224"/>
      <c r="BJ415" s="225"/>
      <c r="BL415" s="28"/>
    </row>
    <row r="416" spans="2:76" s="28" customFormat="1" ht="6" customHeight="1" outlineLevel="1">
      <c r="B416" s="117"/>
      <c r="C416" s="489"/>
      <c r="D416" s="98"/>
      <c r="E416" s="98"/>
      <c r="F416" s="98"/>
      <c r="G416" s="55"/>
      <c r="H416" s="98"/>
      <c r="I416" s="98"/>
      <c r="J416" s="98"/>
      <c r="K416" s="98"/>
      <c r="L416" s="98"/>
      <c r="M416" s="98"/>
      <c r="N416" s="98"/>
      <c r="O416" s="98"/>
      <c r="P416" s="122"/>
      <c r="Q416" s="98"/>
      <c r="R416" s="98"/>
      <c r="S416" s="135"/>
      <c r="T416" s="135"/>
      <c r="U416" s="135"/>
      <c r="V416" s="135"/>
      <c r="W416" s="135"/>
      <c r="X416" s="135"/>
      <c r="Y416" s="135"/>
      <c r="Z416" s="91"/>
      <c r="AA416" s="135"/>
      <c r="AB416" s="135"/>
      <c r="AC416" s="135"/>
      <c r="AD416" s="52"/>
      <c r="AE416" s="52"/>
      <c r="AF416" s="52"/>
      <c r="AG416" s="52"/>
      <c r="AH416" s="52"/>
      <c r="AI416" s="52"/>
      <c r="AJ416" s="52"/>
      <c r="AK416" s="52"/>
      <c r="AL416" s="52"/>
      <c r="AM416" s="52"/>
      <c r="AN416" s="52"/>
      <c r="AO416" s="98"/>
      <c r="AP416" s="98"/>
      <c r="AQ416" s="135"/>
      <c r="AR416" s="135"/>
      <c r="AS416" s="135"/>
      <c r="AT416" s="135"/>
      <c r="AU416" s="135"/>
      <c r="AV416" s="135"/>
      <c r="AW416" s="135"/>
      <c r="AX416" s="91"/>
      <c r="AY416" s="135"/>
      <c r="AZ416" s="135"/>
      <c r="BA416" s="135"/>
      <c r="BB416" s="52"/>
      <c r="BC416" s="52"/>
      <c r="BD416" s="52"/>
      <c r="BE416" s="52"/>
      <c r="BF416" s="52"/>
      <c r="BG416" s="52"/>
      <c r="BH416" s="52"/>
      <c r="BI416" s="52"/>
      <c r="BJ416" s="152"/>
      <c r="BP416" s="155"/>
      <c r="BQ416" s="155"/>
      <c r="BR416" s="155"/>
      <c r="BS416" s="155"/>
      <c r="BT416" s="155"/>
      <c r="BU416" s="155"/>
      <c r="BV416" s="155"/>
      <c r="BW416" s="155"/>
      <c r="BX416" s="155"/>
    </row>
    <row r="417" spans="2:76" s="227" customFormat="1" ht="17.100000000000001" customHeight="1" outlineLevel="1">
      <c r="B417" s="226"/>
      <c r="C417" s="513"/>
      <c r="D417" s="160" t="str">
        <f>D348</f>
        <v>Laufzeit</v>
      </c>
      <c r="E417" s="160"/>
      <c r="F417" s="160"/>
      <c r="G417" s="160"/>
      <c r="H417" s="160"/>
      <c r="I417" s="160"/>
      <c r="J417" s="160"/>
      <c r="K417" s="160"/>
      <c r="L417" s="160"/>
      <c r="M417" s="160"/>
      <c r="N417" s="160"/>
      <c r="O417" s="98"/>
      <c r="P417" s="122" t="s">
        <v>152</v>
      </c>
      <c r="Q417" s="98"/>
      <c r="R417" s="98"/>
      <c r="S417" s="1452"/>
      <c r="T417" s="1452"/>
      <c r="U417" s="1452"/>
      <c r="V417" s="135"/>
      <c r="W417" s="1463"/>
      <c r="X417" s="1463"/>
      <c r="Y417" s="1463"/>
      <c r="Z417" s="228"/>
      <c r="AA417" s="1445">
        <f>AI372</f>
        <v>0</v>
      </c>
      <c r="AB417" s="1463"/>
      <c r="AC417" s="1463"/>
      <c r="AD417" s="64"/>
      <c r="AE417" s="64"/>
      <c r="AF417" s="64"/>
      <c r="AG417" s="64"/>
      <c r="AH417" s="64"/>
      <c r="AI417" s="64"/>
      <c r="AJ417" s="64"/>
      <c r="AK417" s="64"/>
      <c r="AL417" s="64"/>
      <c r="AM417" s="64"/>
      <c r="AN417" s="64"/>
      <c r="AO417" s="98"/>
      <c r="AP417" s="98"/>
      <c r="AQ417" s="1452"/>
      <c r="AR417" s="1452"/>
      <c r="AS417" s="1452"/>
      <c r="AT417" s="135"/>
      <c r="AU417" s="1463"/>
      <c r="AV417" s="1463"/>
      <c r="AW417" s="1463"/>
      <c r="AX417" s="228"/>
      <c r="AY417" s="1445">
        <f>BG372</f>
        <v>0</v>
      </c>
      <c r="AZ417" s="1463"/>
      <c r="BA417" s="1463"/>
      <c r="BB417" s="64"/>
      <c r="BC417" s="64"/>
      <c r="BD417" s="64"/>
      <c r="BE417" s="64"/>
      <c r="BF417" s="64"/>
      <c r="BG417" s="64"/>
      <c r="BH417" s="64"/>
      <c r="BI417" s="64"/>
      <c r="BJ417" s="229"/>
      <c r="BL417" s="28"/>
      <c r="BP417" s="155"/>
      <c r="BQ417" s="155"/>
      <c r="BR417" s="155"/>
      <c r="BS417" s="155"/>
      <c r="BT417" s="155"/>
      <c r="BU417" s="155"/>
      <c r="BV417" s="155"/>
      <c r="BW417" s="155"/>
      <c r="BX417" s="155"/>
    </row>
    <row r="418" spans="2:76" s="155" customFormat="1" ht="17.100000000000001" customHeight="1" outlineLevel="1">
      <c r="B418" s="154"/>
      <c r="C418" s="491"/>
      <c r="D418" s="235" t="str">
        <f>D349</f>
        <v>Total</v>
      </c>
      <c r="E418" s="235"/>
      <c r="F418" s="235"/>
      <c r="G418" s="235"/>
      <c r="H418" s="235"/>
      <c r="I418" s="235"/>
      <c r="J418" s="235"/>
      <c r="K418" s="235"/>
      <c r="L418" s="235"/>
      <c r="M418" s="235"/>
      <c r="N418" s="235"/>
      <c r="O418" s="194"/>
      <c r="P418" s="195" t="s">
        <v>22</v>
      </c>
      <c r="Q418" s="194"/>
      <c r="R418" s="194"/>
      <c r="S418" s="1578"/>
      <c r="T418" s="1578"/>
      <c r="U418" s="1578"/>
      <c r="V418" s="201"/>
      <c r="W418" s="1558"/>
      <c r="X418" s="1558"/>
      <c r="Y418" s="1558"/>
      <c r="Z418" s="236"/>
      <c r="AA418" s="1579">
        <f>IF(AA415*AA417&gt;10000,ROUND(AA415*AA417,-3),ROUND(AA415*AA417,-2))</f>
        <v>0</v>
      </c>
      <c r="AB418" s="1579"/>
      <c r="AC418" s="1579"/>
      <c r="AD418" s="224"/>
      <c r="AE418" s="224"/>
      <c r="AF418" s="224"/>
      <c r="AG418" s="224"/>
      <c r="AH418" s="224"/>
      <c r="AI418" s="224"/>
      <c r="AJ418" s="224"/>
      <c r="AK418" s="224"/>
      <c r="AL418" s="224"/>
      <c r="AM418" s="224"/>
      <c r="AN418" s="224"/>
      <c r="AO418" s="144"/>
      <c r="AP418" s="144"/>
      <c r="AQ418" s="1578"/>
      <c r="AR418" s="1578"/>
      <c r="AS418" s="1578"/>
      <c r="AT418" s="201"/>
      <c r="AU418" s="1558"/>
      <c r="AV418" s="1558"/>
      <c r="AW418" s="1558"/>
      <c r="AX418" s="236"/>
      <c r="AY418" s="1579">
        <f>IF(AY415*AY417&gt;10000,ROUND(AY415*AY417,-3),ROUND(AY415*AY417,-2))</f>
        <v>0</v>
      </c>
      <c r="AZ418" s="1579"/>
      <c r="BA418" s="1579"/>
      <c r="BB418" s="224"/>
      <c r="BC418" s="224"/>
      <c r="BD418" s="224"/>
      <c r="BE418" s="224"/>
      <c r="BF418" s="224"/>
      <c r="BG418" s="224"/>
      <c r="BH418" s="224"/>
      <c r="BI418" s="224"/>
      <c r="BJ418" s="225"/>
      <c r="BL418" s="28"/>
      <c r="BP418" s="28"/>
      <c r="BQ418" s="28"/>
      <c r="BR418" s="28"/>
      <c r="BS418" s="28"/>
      <c r="BT418" s="28"/>
      <c r="BU418" s="28"/>
      <c r="BV418" s="28"/>
      <c r="BW418" s="28"/>
      <c r="BX418" s="28"/>
    </row>
    <row r="419" spans="2:76" s="155" customFormat="1" ht="17.100000000000001" customHeight="1" outlineLevel="1">
      <c r="B419" s="154"/>
      <c r="C419" s="491"/>
      <c r="D419" s="169"/>
      <c r="E419" s="169"/>
      <c r="F419" s="169"/>
      <c r="G419" s="169"/>
      <c r="H419" s="169"/>
      <c r="I419" s="169"/>
      <c r="J419" s="169"/>
      <c r="K419" s="169"/>
      <c r="L419" s="169"/>
      <c r="M419" s="169"/>
      <c r="N419" s="169"/>
      <c r="O419" s="144"/>
      <c r="P419" s="190"/>
      <c r="Q419" s="144"/>
      <c r="R419" s="144"/>
      <c r="S419" s="1462"/>
      <c r="T419" s="1462"/>
      <c r="U419" s="1462"/>
      <c r="V419" s="613"/>
      <c r="W419" s="1537"/>
      <c r="X419" s="1537"/>
      <c r="Y419" s="1537"/>
      <c r="Z419" s="223"/>
      <c r="AA419" s="1543"/>
      <c r="AB419" s="1543"/>
      <c r="AC419" s="1543"/>
      <c r="AD419" s="224"/>
      <c r="AE419" s="224"/>
      <c r="AF419" s="224"/>
      <c r="AG419" s="224"/>
      <c r="AH419" s="224"/>
      <c r="AI419" s="224"/>
      <c r="AJ419" s="224"/>
      <c r="AK419" s="224"/>
      <c r="AL419" s="224"/>
      <c r="AM419" s="224"/>
      <c r="AN419" s="224"/>
      <c r="AO419" s="144"/>
      <c r="AP419" s="144"/>
      <c r="AQ419" s="1462"/>
      <c r="AR419" s="1462"/>
      <c r="AS419" s="1462"/>
      <c r="AT419" s="613"/>
      <c r="AU419" s="1537"/>
      <c r="AV419" s="1537"/>
      <c r="AW419" s="1537"/>
      <c r="AX419" s="223"/>
      <c r="AY419" s="1543"/>
      <c r="AZ419" s="1543"/>
      <c r="BA419" s="1543"/>
      <c r="BB419" s="224"/>
      <c r="BC419" s="224"/>
      <c r="BD419" s="224"/>
      <c r="BE419" s="224"/>
      <c r="BF419" s="224"/>
      <c r="BG419" s="224"/>
      <c r="BH419" s="224"/>
      <c r="BI419" s="224"/>
      <c r="BJ419" s="225"/>
      <c r="BL419" s="28"/>
      <c r="BP419" s="28"/>
      <c r="BQ419" s="28"/>
      <c r="BR419" s="28"/>
      <c r="BS419" s="28"/>
      <c r="BT419" s="28"/>
      <c r="BU419" s="28"/>
      <c r="BV419" s="28"/>
      <c r="BW419" s="28"/>
      <c r="BX419" s="28"/>
    </row>
    <row r="420" spans="2:76" s="155" customFormat="1" ht="17.100000000000001" customHeight="1" outlineLevel="1">
      <c r="B420" s="154"/>
      <c r="C420" s="491"/>
      <c r="D420" s="169"/>
      <c r="E420" s="169"/>
      <c r="F420" s="169"/>
      <c r="G420" s="169"/>
      <c r="H420" s="169"/>
      <c r="I420" s="169"/>
      <c r="J420" s="169"/>
      <c r="K420" s="169"/>
      <c r="L420" s="169"/>
      <c r="M420" s="169"/>
      <c r="N420" s="169"/>
      <c r="O420" s="144"/>
      <c r="P420" s="190"/>
      <c r="Q420" s="144"/>
      <c r="R420" s="144"/>
      <c r="S420" s="890"/>
      <c r="T420" s="890"/>
      <c r="U420" s="890"/>
      <c r="V420" s="891"/>
      <c r="W420" s="891"/>
      <c r="X420" s="891"/>
      <c r="Y420" s="891"/>
      <c r="Z420" s="223"/>
      <c r="AA420" s="893"/>
      <c r="AB420" s="893"/>
      <c r="AC420" s="893"/>
      <c r="AD420" s="224"/>
      <c r="AE420" s="224"/>
      <c r="AF420" s="224"/>
      <c r="AG420" s="224"/>
      <c r="AH420" s="224"/>
      <c r="AI420" s="224"/>
      <c r="AJ420" s="224"/>
      <c r="AK420" s="224"/>
      <c r="AL420" s="224"/>
      <c r="AM420" s="224"/>
      <c r="AN420" s="224"/>
      <c r="AO420" s="144"/>
      <c r="AP420" s="144"/>
      <c r="AQ420" s="890"/>
      <c r="AR420" s="890"/>
      <c r="AS420" s="890"/>
      <c r="AT420" s="891"/>
      <c r="AU420" s="891"/>
      <c r="AV420" s="891"/>
      <c r="AW420" s="891"/>
      <c r="AX420" s="223"/>
      <c r="AY420" s="893"/>
      <c r="AZ420" s="893"/>
      <c r="BA420" s="893"/>
      <c r="BB420" s="224"/>
      <c r="BC420" s="224"/>
      <c r="BD420" s="224"/>
      <c r="BE420" s="224"/>
      <c r="BF420" s="224"/>
      <c r="BG420" s="224"/>
      <c r="BH420" s="224"/>
      <c r="BI420" s="224"/>
      <c r="BJ420" s="225"/>
      <c r="BL420" s="28"/>
      <c r="BP420" s="31"/>
      <c r="BQ420" s="31"/>
      <c r="BR420" s="31"/>
      <c r="BS420" s="31"/>
      <c r="BT420" s="31"/>
      <c r="BU420" s="31"/>
      <c r="BV420" s="31"/>
      <c r="BW420" s="31"/>
      <c r="BX420" s="31"/>
    </row>
    <row r="421" spans="2:76" outlineLevel="1">
      <c r="B421" s="147"/>
      <c r="C421" s="1045">
        <v>6.5</v>
      </c>
      <c r="D421" s="1048" t="str">
        <f>D352</f>
        <v>Wärmenutzung</v>
      </c>
      <c r="E421" s="1046"/>
      <c r="F421" s="1046"/>
      <c r="G421" s="1046"/>
      <c r="H421" s="1046"/>
      <c r="I421" s="1046"/>
      <c r="J421" s="1046"/>
      <c r="K421" s="52"/>
      <c r="L421" s="52"/>
      <c r="M421" s="52"/>
      <c r="N421" s="52"/>
      <c r="O421" s="52"/>
      <c r="P421" s="640"/>
      <c r="Q421" s="52"/>
      <c r="R421" s="52"/>
      <c r="S421" s="1449" t="str">
        <f>S352</f>
        <v>Frühling</v>
      </c>
      <c r="T421" s="1449"/>
      <c r="U421" s="1449"/>
      <c r="V421" s="905"/>
      <c r="W421" s="1449" t="str">
        <f>W352</f>
        <v>Sommer</v>
      </c>
      <c r="X421" s="1449"/>
      <c r="Y421" s="1449"/>
      <c r="Z421" s="905"/>
      <c r="AA421" s="1449" t="str">
        <f>AA352</f>
        <v>Herbst</v>
      </c>
      <c r="AB421" s="1449"/>
      <c r="AC421" s="1449"/>
      <c r="AD421" s="905"/>
      <c r="AE421" s="1449" t="str">
        <f>AE352</f>
        <v>Winter</v>
      </c>
      <c r="AF421" s="1449"/>
      <c r="AG421" s="1449"/>
      <c r="AH421" s="905"/>
      <c r="AI421" s="1449" t="str">
        <f>AI352</f>
        <v>Jahr</v>
      </c>
      <c r="AJ421" s="1449"/>
      <c r="AK421" s="1449"/>
      <c r="AL421" s="905"/>
      <c r="AM421" s="905"/>
      <c r="AN421" s="52"/>
      <c r="AO421" s="52"/>
      <c r="AP421" s="52"/>
      <c r="AQ421" s="1449" t="str">
        <f>AQ352</f>
        <v>Frühling</v>
      </c>
      <c r="AR421" s="1449"/>
      <c r="AS421" s="1449"/>
      <c r="AT421" s="905"/>
      <c r="AU421" s="1449" t="str">
        <f>AU352</f>
        <v>Sommer</v>
      </c>
      <c r="AV421" s="1449"/>
      <c r="AW421" s="1449"/>
      <c r="AX421" s="905"/>
      <c r="AY421" s="1449" t="str">
        <f>AY352</f>
        <v>Herbst</v>
      </c>
      <c r="AZ421" s="1449"/>
      <c r="BA421" s="1449"/>
      <c r="BB421" s="905"/>
      <c r="BC421" s="1449" t="str">
        <f>BC352</f>
        <v>Winter</v>
      </c>
      <c r="BD421" s="1449"/>
      <c r="BE421" s="1449"/>
      <c r="BF421" s="905"/>
      <c r="BG421" s="1449" t="str">
        <f>BG352</f>
        <v>Jahr</v>
      </c>
      <c r="BH421" s="1449"/>
      <c r="BI421" s="1449"/>
      <c r="BJ421" s="225"/>
      <c r="BK421" s="155"/>
      <c r="BL421" s="28"/>
    </row>
    <row r="422" spans="2:76" s="28" customFormat="1" ht="6" customHeight="1" outlineLevel="1">
      <c r="B422" s="117"/>
      <c r="C422" s="917"/>
      <c r="D422" s="170"/>
      <c r="E422" s="98"/>
      <c r="F422" s="98"/>
      <c r="G422" s="98"/>
      <c r="H422" s="98"/>
      <c r="I422" s="98"/>
      <c r="J422" s="98"/>
      <c r="K422" s="98"/>
      <c r="L422" s="98"/>
      <c r="M422" s="98"/>
      <c r="N422" s="98"/>
      <c r="O422" s="98"/>
      <c r="P422" s="122"/>
      <c r="Q422" s="98"/>
      <c r="R422" s="98"/>
      <c r="S422" s="897"/>
      <c r="T422" s="897"/>
      <c r="U422" s="897"/>
      <c r="V422" s="897"/>
      <c r="W422" s="897"/>
      <c r="X422" s="897"/>
      <c r="Y422" s="897"/>
      <c r="Z422" s="897"/>
      <c r="AA422" s="897"/>
      <c r="AB422" s="897"/>
      <c r="AC422" s="897"/>
      <c r="AD422" s="897"/>
      <c r="AE422" s="897"/>
      <c r="AF422" s="897"/>
      <c r="AG422" s="897"/>
      <c r="AH422" s="897"/>
      <c r="AI422" s="897"/>
      <c r="AJ422" s="897"/>
      <c r="AK422" s="897"/>
      <c r="AL422" s="897"/>
      <c r="AM422" s="897"/>
      <c r="AN422" s="897"/>
      <c r="AO422" s="897"/>
      <c r="AP422" s="98"/>
      <c r="AQ422" s="897"/>
      <c r="AR422" s="897"/>
      <c r="AS422" s="897"/>
      <c r="AT422" s="897"/>
      <c r="AU422" s="897"/>
      <c r="AV422" s="897"/>
      <c r="AW422" s="897"/>
      <c r="AX422" s="897"/>
      <c r="AY422" s="897"/>
      <c r="AZ422" s="897"/>
      <c r="BA422" s="897"/>
      <c r="BB422" s="897"/>
      <c r="BC422" s="897"/>
      <c r="BD422" s="897"/>
      <c r="BE422" s="897"/>
      <c r="BF422" s="897"/>
      <c r="BG422" s="897"/>
      <c r="BH422" s="897"/>
      <c r="BI422" s="897"/>
      <c r="BJ422" s="225"/>
      <c r="BK422" s="155"/>
      <c r="BP422" s="31"/>
      <c r="BQ422" s="31"/>
      <c r="BR422" s="31"/>
      <c r="BS422" s="31"/>
      <c r="BT422" s="31"/>
      <c r="BU422" s="31"/>
      <c r="BV422" s="31"/>
      <c r="BW422" s="31"/>
      <c r="BX422" s="31"/>
    </row>
    <row r="423" spans="2:76" s="925" customFormat="1" ht="17.100000000000001" customHeight="1" outlineLevel="1">
      <c r="B423" s="924"/>
      <c r="C423" s="887"/>
      <c r="D423" s="919" t="str">
        <f>D354</f>
        <v>Verfügbare Wärme</v>
      </c>
      <c r="F423" s="926"/>
      <c r="G423" s="926"/>
      <c r="H423" s="926"/>
      <c r="I423" s="926"/>
      <c r="J423" s="926"/>
      <c r="K423" s="926"/>
      <c r="L423" s="926"/>
      <c r="M423" s="926"/>
      <c r="N423" s="926"/>
      <c r="O423" s="926"/>
      <c r="P423" s="926" t="s">
        <v>199</v>
      </c>
      <c r="Q423" s="926"/>
      <c r="R423" s="1459">
        <f>R870</f>
        <v>0</v>
      </c>
      <c r="S423" s="1449"/>
      <c r="T423" s="1449"/>
      <c r="U423" s="1449"/>
      <c r="V423" s="1459">
        <f t="shared" ref="V423" si="23">V870</f>
        <v>0</v>
      </c>
      <c r="W423" s="1449"/>
      <c r="X423" s="1449"/>
      <c r="Y423" s="1449"/>
      <c r="Z423" s="1459">
        <f t="shared" ref="Z423" si="24">Z870</f>
        <v>0</v>
      </c>
      <c r="AA423" s="1449"/>
      <c r="AB423" s="1449"/>
      <c r="AC423" s="1449"/>
      <c r="AD423" s="1459">
        <f t="shared" ref="AD423" si="25">AD870</f>
        <v>0</v>
      </c>
      <c r="AE423" s="1449"/>
      <c r="AF423" s="1449"/>
      <c r="AG423" s="1449"/>
      <c r="AH423" s="1459">
        <f t="shared" ref="AH423" si="26">AH870</f>
        <v>0</v>
      </c>
      <c r="AI423" s="1449"/>
      <c r="AJ423" s="1449"/>
      <c r="AK423" s="1449"/>
      <c r="AL423" s="928"/>
      <c r="AM423" s="928"/>
      <c r="AN423" s="929"/>
      <c r="AO423" s="929"/>
      <c r="AP423" s="1459">
        <f>AP870</f>
        <v>0</v>
      </c>
      <c r="AQ423" s="1449"/>
      <c r="AR423" s="1449"/>
      <c r="AS423" s="1449"/>
      <c r="AT423" s="1459">
        <f t="shared" ref="AT423" si="27">AT870</f>
        <v>0</v>
      </c>
      <c r="AU423" s="1449"/>
      <c r="AV423" s="1449"/>
      <c r="AW423" s="1449"/>
      <c r="AX423" s="1459">
        <f t="shared" ref="AX423" si="28">AX870</f>
        <v>0</v>
      </c>
      <c r="AY423" s="1449"/>
      <c r="AZ423" s="1449"/>
      <c r="BA423" s="1449"/>
      <c r="BB423" s="1459">
        <f t="shared" ref="BB423" si="29">BB870</f>
        <v>0</v>
      </c>
      <c r="BC423" s="1449"/>
      <c r="BD423" s="1449"/>
      <c r="BE423" s="1449"/>
      <c r="BF423" s="1459">
        <f t="shared" ref="BF423" si="30">BF870</f>
        <v>0</v>
      </c>
      <c r="BG423" s="1449"/>
      <c r="BH423" s="1449"/>
      <c r="BI423" s="1449"/>
      <c r="BJ423" s="225"/>
      <c r="BK423" s="155"/>
      <c r="BL423" s="28"/>
      <c r="BP423" s="920"/>
      <c r="BQ423" s="920"/>
      <c r="BR423" s="920"/>
      <c r="BS423" s="920"/>
      <c r="BT423" s="920"/>
      <c r="BU423" s="920"/>
      <c r="BV423" s="920"/>
      <c r="BW423" s="920"/>
      <c r="BX423" s="920"/>
    </row>
    <row r="424" spans="2:76" s="925" customFormat="1" ht="17.100000000000001" customHeight="1" outlineLevel="1">
      <c r="B424" s="924"/>
      <c r="C424" s="887"/>
      <c r="D424" s="919" t="str">
        <f>D355</f>
        <v>Wärmebedarf (Heizung, TWW, Prozesse)</v>
      </c>
      <c r="F424" s="926"/>
      <c r="G424" s="926"/>
      <c r="H424" s="926"/>
      <c r="I424" s="926"/>
      <c r="J424" s="926"/>
      <c r="K424" s="926"/>
      <c r="L424" s="926"/>
      <c r="M424" s="926"/>
      <c r="N424" s="926"/>
      <c r="O424" s="926"/>
      <c r="P424" s="926" t="s">
        <v>199</v>
      </c>
      <c r="Q424" s="926"/>
      <c r="R424" s="1459">
        <f>R837</f>
        <v>0</v>
      </c>
      <c r="S424" s="1449"/>
      <c r="T424" s="1449"/>
      <c r="U424" s="1449"/>
      <c r="V424" s="1459">
        <f t="shared" ref="V424" si="31">V837</f>
        <v>0</v>
      </c>
      <c r="W424" s="1449"/>
      <c r="X424" s="1449"/>
      <c r="Y424" s="1449"/>
      <c r="Z424" s="1459">
        <f t="shared" ref="Z424" si="32">Z837</f>
        <v>0</v>
      </c>
      <c r="AA424" s="1449"/>
      <c r="AB424" s="1449"/>
      <c r="AC424" s="1449"/>
      <c r="AD424" s="1459">
        <f t="shared" ref="AD424" si="33">AD837</f>
        <v>0</v>
      </c>
      <c r="AE424" s="1449"/>
      <c r="AF424" s="1449"/>
      <c r="AG424" s="1449"/>
      <c r="AH424" s="1459">
        <f t="shared" ref="AH424" si="34">AH837</f>
        <v>0</v>
      </c>
      <c r="AI424" s="1449"/>
      <c r="AJ424" s="1449"/>
      <c r="AK424" s="1449"/>
      <c r="AL424" s="928"/>
      <c r="AM424" s="928"/>
      <c r="AN424" s="929"/>
      <c r="AO424" s="929"/>
      <c r="AP424" s="1459">
        <f>AP837</f>
        <v>0</v>
      </c>
      <c r="AQ424" s="1449"/>
      <c r="AR424" s="1449"/>
      <c r="AS424" s="1449"/>
      <c r="AT424" s="1459">
        <f t="shared" ref="AT424" si="35">AT837</f>
        <v>0</v>
      </c>
      <c r="AU424" s="1449"/>
      <c r="AV424" s="1449"/>
      <c r="AW424" s="1449"/>
      <c r="AX424" s="1459">
        <f t="shared" ref="AX424" si="36">AX837</f>
        <v>0</v>
      </c>
      <c r="AY424" s="1449"/>
      <c r="AZ424" s="1449"/>
      <c r="BA424" s="1449"/>
      <c r="BB424" s="1459">
        <f t="shared" ref="BB424" si="37">BB837</f>
        <v>0</v>
      </c>
      <c r="BC424" s="1449"/>
      <c r="BD424" s="1449"/>
      <c r="BE424" s="1449"/>
      <c r="BF424" s="1459">
        <f t="shared" ref="BF424" si="38">BF837</f>
        <v>0</v>
      </c>
      <c r="BG424" s="1449"/>
      <c r="BH424" s="1449"/>
      <c r="BI424" s="1449"/>
      <c r="BJ424" s="225"/>
      <c r="BK424" s="155"/>
      <c r="BL424" s="28"/>
      <c r="BP424" s="920"/>
      <c r="BQ424" s="920"/>
      <c r="BR424" s="920"/>
      <c r="BS424" s="920"/>
      <c r="BT424" s="920"/>
      <c r="BU424" s="920"/>
      <c r="BV424" s="920"/>
      <c r="BW424" s="920"/>
      <c r="BX424" s="920"/>
    </row>
    <row r="425" spans="2:76" s="799" customFormat="1" ht="17.100000000000001" customHeight="1" outlineLevel="1">
      <c r="B425" s="797"/>
      <c r="C425" s="859"/>
      <c r="D425" s="939" t="str">
        <f>D356</f>
        <v>Effektiv genutzte Wärme</v>
      </c>
      <c r="E425" s="937"/>
      <c r="F425" s="195"/>
      <c r="G425" s="195"/>
      <c r="H425" s="195"/>
      <c r="I425" s="195"/>
      <c r="J425" s="195"/>
      <c r="K425" s="195"/>
      <c r="L425" s="195"/>
      <c r="M425" s="195"/>
      <c r="N425" s="195"/>
      <c r="O425" s="195"/>
      <c r="P425" s="195" t="s">
        <v>199</v>
      </c>
      <c r="Q425" s="195"/>
      <c r="R425" s="1491">
        <f>R874</f>
        <v>0</v>
      </c>
      <c r="S425" s="1491"/>
      <c r="T425" s="1491"/>
      <c r="U425" s="1491"/>
      <c r="V425" s="1491">
        <f t="shared" ref="V425" si="39">V874</f>
        <v>0</v>
      </c>
      <c r="W425" s="1491"/>
      <c r="X425" s="1491"/>
      <c r="Y425" s="1491"/>
      <c r="Z425" s="1491">
        <f t="shared" ref="Z425" si="40">Z874</f>
        <v>0</v>
      </c>
      <c r="AA425" s="1491"/>
      <c r="AB425" s="1491"/>
      <c r="AC425" s="1491"/>
      <c r="AD425" s="1491">
        <f t="shared" ref="AD425" si="41">AD874</f>
        <v>0</v>
      </c>
      <c r="AE425" s="1491"/>
      <c r="AF425" s="1491"/>
      <c r="AG425" s="1491"/>
      <c r="AH425" s="1491">
        <f t="shared" ref="AH425" si="42">AH874</f>
        <v>0</v>
      </c>
      <c r="AI425" s="1491"/>
      <c r="AJ425" s="1491"/>
      <c r="AK425" s="1491"/>
      <c r="AL425" s="921"/>
      <c r="AM425" s="922"/>
      <c r="AN425" s="923"/>
      <c r="AO425" s="923"/>
      <c r="AP425" s="1491">
        <f>AP874</f>
        <v>0</v>
      </c>
      <c r="AQ425" s="1491"/>
      <c r="AR425" s="1491"/>
      <c r="AS425" s="1491"/>
      <c r="AT425" s="1491">
        <f t="shared" ref="AT425" si="43">AT874</f>
        <v>0</v>
      </c>
      <c r="AU425" s="1491"/>
      <c r="AV425" s="1491"/>
      <c r="AW425" s="1491"/>
      <c r="AX425" s="1491">
        <f t="shared" ref="AX425" si="44">AX874</f>
        <v>0</v>
      </c>
      <c r="AY425" s="1491"/>
      <c r="AZ425" s="1491"/>
      <c r="BA425" s="1491"/>
      <c r="BB425" s="1491">
        <f t="shared" ref="BB425" si="45">BB874</f>
        <v>0</v>
      </c>
      <c r="BC425" s="1491"/>
      <c r="BD425" s="1491"/>
      <c r="BE425" s="1491"/>
      <c r="BF425" s="1491">
        <f t="shared" ref="BF425" si="46">BF874</f>
        <v>0</v>
      </c>
      <c r="BG425" s="1491"/>
      <c r="BH425" s="1491"/>
      <c r="BI425" s="1491"/>
      <c r="BJ425" s="225"/>
      <c r="BK425" s="155"/>
      <c r="BL425" s="28"/>
    </row>
    <row r="426" spans="2:76" outlineLevel="1">
      <c r="B426" s="147"/>
      <c r="C426" s="477"/>
      <c r="D426" s="52"/>
      <c r="E426" s="52"/>
      <c r="F426" s="52"/>
      <c r="G426" s="52"/>
      <c r="H426" s="52"/>
      <c r="I426" s="52"/>
      <c r="J426" s="52"/>
      <c r="K426" s="52"/>
      <c r="L426" s="52"/>
      <c r="M426" s="52"/>
      <c r="N426" s="52"/>
      <c r="O426" s="52"/>
      <c r="P426" s="55"/>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152"/>
      <c r="BL426" s="28"/>
      <c r="BP426" s="28"/>
      <c r="BQ426" s="28"/>
      <c r="BR426" s="28"/>
      <c r="BS426" s="28"/>
      <c r="BT426" s="28"/>
      <c r="BU426" s="28"/>
      <c r="BV426" s="28"/>
      <c r="BW426" s="28"/>
      <c r="BX426" s="28"/>
    </row>
    <row r="427" spans="2:76" outlineLevel="1">
      <c r="B427" s="104"/>
      <c r="C427" s="502"/>
      <c r="D427" s="104"/>
      <c r="E427" s="104"/>
      <c r="F427" s="104"/>
      <c r="G427" s="104"/>
      <c r="H427" s="104"/>
      <c r="I427" s="104"/>
      <c r="J427" s="104"/>
      <c r="K427" s="104"/>
      <c r="L427" s="104"/>
      <c r="M427" s="104"/>
      <c r="N427" s="104"/>
      <c r="O427" s="104"/>
      <c r="P427" s="105"/>
      <c r="Q427" s="104"/>
      <c r="R427" s="104"/>
      <c r="S427" s="104"/>
      <c r="T427" s="104"/>
      <c r="U427" s="104"/>
      <c r="V427" s="104"/>
      <c r="W427" s="104"/>
      <c r="X427" s="104"/>
      <c r="Y427" s="104"/>
      <c r="Z427" s="104"/>
      <c r="AA427" s="104"/>
      <c r="AB427" s="104"/>
      <c r="AC427" s="104"/>
      <c r="AD427" s="104"/>
      <c r="AE427" s="104"/>
      <c r="AF427" s="104"/>
      <c r="AG427" s="104"/>
      <c r="AH427" s="104"/>
      <c r="AI427" s="104"/>
      <c r="AJ427" s="104"/>
      <c r="AK427" s="104"/>
      <c r="AL427" s="104"/>
      <c r="AM427" s="104"/>
      <c r="AN427" s="104"/>
      <c r="AO427" s="104"/>
      <c r="AP427" s="104"/>
      <c r="AQ427" s="104"/>
      <c r="AR427" s="104"/>
      <c r="AS427" s="104"/>
      <c r="AT427" s="104"/>
      <c r="AU427" s="104"/>
      <c r="AV427" s="104"/>
      <c r="AW427" s="104"/>
      <c r="AX427" s="104"/>
      <c r="AY427" s="104"/>
      <c r="AZ427" s="104"/>
      <c r="BA427" s="104"/>
      <c r="BB427" s="104"/>
      <c r="BC427" s="104"/>
      <c r="BD427" s="104"/>
      <c r="BE427" s="104"/>
      <c r="BF427" s="104"/>
      <c r="BG427" s="104"/>
      <c r="BH427" s="104"/>
      <c r="BI427" s="104"/>
      <c r="BJ427" s="104"/>
      <c r="BL427" s="28"/>
      <c r="BP427" s="28"/>
      <c r="BQ427" s="28"/>
      <c r="BR427" s="28"/>
      <c r="BS427" s="28"/>
      <c r="BT427" s="28"/>
      <c r="BU427" s="28"/>
      <c r="BV427" s="28"/>
      <c r="BW427" s="28"/>
      <c r="BX427" s="28"/>
    </row>
    <row r="428" spans="2:76">
      <c r="BA428" s="1439" t="str">
        <f>BA289</f>
        <v>nach oben</v>
      </c>
      <c r="BB428" s="1439"/>
      <c r="BC428" s="1439"/>
      <c r="BD428" s="1439"/>
      <c r="BE428" s="1439"/>
      <c r="BF428" s="1439"/>
      <c r="BG428" s="1439"/>
      <c r="BH428" s="1439"/>
      <c r="BI428" s="627" t="s">
        <v>670</v>
      </c>
      <c r="BL428" s="28"/>
      <c r="BP428" s="28"/>
      <c r="BQ428" s="28"/>
      <c r="BR428" s="28"/>
      <c r="BS428" s="28"/>
      <c r="BT428" s="28"/>
      <c r="BU428" s="28"/>
      <c r="BV428" s="28"/>
      <c r="BW428" s="28"/>
      <c r="BX428" s="28"/>
    </row>
    <row r="429" spans="2:76">
      <c r="BL429" s="28"/>
      <c r="BP429" s="155"/>
      <c r="BQ429" s="155"/>
      <c r="BR429" s="155"/>
      <c r="BS429" s="155"/>
      <c r="BT429" s="155"/>
      <c r="BU429" s="155"/>
      <c r="BV429" s="155"/>
      <c r="BW429" s="155"/>
      <c r="BX429" s="155"/>
    </row>
    <row r="430" spans="2:76">
      <c r="BL430" s="28"/>
      <c r="BP430" s="155"/>
      <c r="BQ430" s="155"/>
      <c r="BR430" s="155"/>
      <c r="BS430" s="155"/>
      <c r="BT430" s="155"/>
      <c r="BU430" s="155"/>
      <c r="BV430" s="155"/>
      <c r="BW430" s="155"/>
      <c r="BX430" s="155"/>
    </row>
    <row r="431" spans="2:76">
      <c r="BL431" s="28"/>
      <c r="BP431" s="155"/>
      <c r="BQ431" s="155"/>
      <c r="BR431" s="155"/>
      <c r="BS431" s="155"/>
      <c r="BT431" s="155"/>
      <c r="BU431" s="155"/>
      <c r="BV431" s="155"/>
      <c r="BW431" s="155"/>
      <c r="BX431" s="155"/>
    </row>
    <row r="432" spans="2:76">
      <c r="BL432" s="28"/>
      <c r="BP432" s="155"/>
      <c r="BQ432" s="155"/>
      <c r="BR432" s="155"/>
      <c r="BS432" s="155"/>
      <c r="BT432" s="155"/>
      <c r="BU432" s="155"/>
      <c r="BV432" s="155"/>
      <c r="BW432" s="155"/>
      <c r="BX432" s="155"/>
    </row>
    <row r="433" spans="2:76">
      <c r="BL433" s="28"/>
      <c r="BP433" s="155"/>
      <c r="BQ433" s="155"/>
      <c r="BR433" s="155"/>
      <c r="BS433" s="155"/>
      <c r="BT433" s="155"/>
      <c r="BU433" s="155"/>
      <c r="BV433" s="155"/>
      <c r="BW433" s="155"/>
      <c r="BX433" s="155"/>
    </row>
    <row r="434" spans="2:76" hidden="1" outlineLevel="1">
      <c r="B434" s="237" t="s">
        <v>179</v>
      </c>
      <c r="C434" s="514"/>
      <c r="D434" s="237"/>
      <c r="E434" s="237"/>
      <c r="F434" s="237"/>
      <c r="G434" s="237"/>
      <c r="H434" s="237"/>
      <c r="I434" s="237"/>
      <c r="J434" s="237"/>
      <c r="K434" s="237"/>
      <c r="L434" s="237"/>
      <c r="M434" s="237"/>
      <c r="N434" s="237"/>
      <c r="O434" s="237"/>
      <c r="P434" s="238"/>
      <c r="Q434" s="237"/>
      <c r="R434" s="237"/>
      <c r="S434" s="237"/>
      <c r="T434" s="237"/>
      <c r="U434" s="237"/>
      <c r="V434" s="237"/>
      <c r="W434" s="237"/>
      <c r="X434" s="237"/>
      <c r="Y434" s="237"/>
      <c r="Z434" s="237"/>
      <c r="AA434" s="237"/>
      <c r="AB434" s="237"/>
      <c r="AC434" s="237"/>
      <c r="AD434" s="237"/>
      <c r="AE434" s="237"/>
      <c r="AF434" s="237"/>
      <c r="AG434" s="237"/>
      <c r="AH434" s="237"/>
      <c r="AI434" s="237"/>
      <c r="AJ434" s="237"/>
      <c r="AK434" s="237"/>
      <c r="AL434" s="237"/>
      <c r="AM434" s="237"/>
      <c r="AN434" s="237"/>
      <c r="AO434" s="237"/>
      <c r="AP434" s="237"/>
      <c r="AQ434" s="237"/>
      <c r="AR434" s="237"/>
      <c r="AS434" s="237"/>
      <c r="AT434" s="237"/>
      <c r="AU434" s="237"/>
      <c r="AV434" s="237"/>
      <c r="AW434" s="237"/>
      <c r="AX434" s="237"/>
      <c r="AY434" s="237"/>
      <c r="AZ434" s="237"/>
      <c r="BA434" s="237"/>
      <c r="BB434" s="237"/>
      <c r="BC434" s="237"/>
      <c r="BD434" s="237"/>
      <c r="BE434" s="237"/>
      <c r="BF434" s="237"/>
      <c r="BG434" s="237"/>
      <c r="BH434" s="237"/>
      <c r="BI434" s="237"/>
      <c r="BJ434" s="237"/>
      <c r="BK434" s="237"/>
      <c r="BL434" s="28"/>
      <c r="BP434" s="28"/>
      <c r="BQ434" s="28"/>
      <c r="BR434" s="28"/>
      <c r="BS434" s="28"/>
      <c r="BT434" s="28"/>
      <c r="BU434" s="28"/>
      <c r="BV434" s="28"/>
      <c r="BW434" s="28"/>
      <c r="BX434" s="28"/>
    </row>
    <row r="435" spans="2:76" hidden="1" outlineLevel="1">
      <c r="BL435" s="28"/>
      <c r="BP435" s="155"/>
      <c r="BQ435" s="155"/>
      <c r="BR435" s="155"/>
      <c r="BS435" s="155"/>
      <c r="BT435" s="155"/>
      <c r="BU435" s="155"/>
      <c r="BV435" s="155"/>
      <c r="BW435" s="155"/>
      <c r="BX435" s="155"/>
    </row>
    <row r="436" spans="2:76" s="28" customFormat="1" ht="23.1" hidden="1" customHeight="1" outlineLevel="1">
      <c r="C436" s="515" t="s">
        <v>276</v>
      </c>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c r="AI436" s="239"/>
      <c r="AJ436" s="239"/>
      <c r="AK436" s="239"/>
      <c r="AL436" s="239"/>
      <c r="AM436" s="239"/>
      <c r="AN436" s="239"/>
      <c r="AO436" s="239"/>
      <c r="AP436" s="239"/>
      <c r="AQ436" s="239"/>
      <c r="AR436" s="239"/>
      <c r="AS436" s="239"/>
      <c r="AT436" s="239"/>
      <c r="AU436" s="239"/>
      <c r="AV436" s="239"/>
      <c r="AW436" s="239"/>
      <c r="AX436" s="239"/>
      <c r="AY436" s="239"/>
      <c r="AZ436" s="239"/>
      <c r="BA436" s="239"/>
      <c r="BB436" s="239"/>
      <c r="BC436" s="239"/>
      <c r="BD436" s="239"/>
      <c r="BE436" s="239"/>
      <c r="BF436" s="239"/>
      <c r="BG436" s="239"/>
      <c r="BH436" s="239"/>
      <c r="BI436" s="239"/>
      <c r="BJ436" s="239"/>
      <c r="BK436" s="239"/>
      <c r="BP436" s="155"/>
      <c r="BQ436" s="155"/>
      <c r="BR436" s="155"/>
      <c r="BS436" s="155"/>
      <c r="BT436" s="155"/>
      <c r="BU436" s="155"/>
      <c r="BV436" s="155"/>
      <c r="BW436" s="155"/>
      <c r="BX436" s="155"/>
    </row>
    <row r="437" spans="2:76" ht="16.5" hidden="1" outlineLevel="1">
      <c r="C437" s="5"/>
      <c r="D437" s="1"/>
      <c r="E437" s="1"/>
      <c r="F437" s="1"/>
      <c r="G437" s="1"/>
      <c r="H437" s="1"/>
      <c r="I437" s="1"/>
      <c r="J437" s="1"/>
      <c r="K437" s="1"/>
      <c r="L437" s="1"/>
      <c r="M437" s="1"/>
      <c r="N437" s="1"/>
      <c r="O437" s="1"/>
      <c r="P437" s="1"/>
      <c r="Q437" s="2"/>
      <c r="R437" s="3"/>
      <c r="S437" s="4"/>
      <c r="T437" s="5"/>
      <c r="U437" s="5"/>
      <c r="V437" s="5"/>
      <c r="W437" s="5"/>
      <c r="X437" s="5"/>
      <c r="Y437" s="5"/>
      <c r="Z437" s="1"/>
      <c r="AB437" s="28"/>
      <c r="BL437" s="28"/>
      <c r="BP437" s="155"/>
      <c r="BQ437" s="155"/>
      <c r="BR437" s="155"/>
      <c r="BS437" s="155"/>
      <c r="BT437" s="155"/>
      <c r="BU437" s="155"/>
      <c r="BV437" s="155"/>
      <c r="BW437" s="155"/>
      <c r="BX437" s="155"/>
    </row>
    <row r="438" spans="2:76" s="28" customFormat="1" ht="15" hidden="1" customHeight="1" outlineLevel="1">
      <c r="C438" s="516" t="s">
        <v>277</v>
      </c>
      <c r="D438" s="15"/>
      <c r="E438" s="15"/>
      <c r="N438" s="516" t="s">
        <v>1089</v>
      </c>
      <c r="AF438" s="516" t="s">
        <v>1090</v>
      </c>
    </row>
    <row r="439" spans="2:76" s="28" customFormat="1" ht="18.95" hidden="1" customHeight="1" outlineLevel="1">
      <c r="C439" s="549" t="str">
        <f>X!$C$129</f>
        <v>Ja</v>
      </c>
      <c r="D439" s="16"/>
      <c r="E439" s="26"/>
      <c r="N439" s="549" t="str">
        <f>X!$C$82</f>
        <v>ein/aus</v>
      </c>
      <c r="O439" s="692"/>
      <c r="P439" s="692"/>
      <c r="Q439" s="692"/>
      <c r="R439" s="692"/>
      <c r="S439" s="692"/>
      <c r="T439" s="692"/>
      <c r="U439" s="692"/>
      <c r="V439" s="692"/>
      <c r="W439" s="692"/>
      <c r="X439" s="692"/>
      <c r="Y439" s="692"/>
      <c r="Z439" s="692"/>
      <c r="AA439" s="692"/>
      <c r="AB439" s="693"/>
      <c r="AF439" s="549" t="str">
        <f>X!$C$82</f>
        <v>ein/aus</v>
      </c>
      <c r="AG439" s="692"/>
      <c r="AH439" s="692"/>
      <c r="AI439" s="692"/>
      <c r="AJ439" s="692"/>
      <c r="AK439" s="692"/>
      <c r="AL439" s="692"/>
      <c r="AM439" s="692"/>
      <c r="AN439" s="692"/>
      <c r="AO439" s="692"/>
      <c r="AP439" s="692"/>
      <c r="AQ439" s="692"/>
      <c r="AR439" s="692"/>
      <c r="AS439" s="692"/>
      <c r="AT439" s="692"/>
      <c r="AU439" s="692"/>
      <c r="AV439" s="692"/>
      <c r="AW439" s="693"/>
    </row>
    <row r="440" spans="2:76" s="28" customFormat="1" ht="18.95" hidden="1" customHeight="1" outlineLevel="1">
      <c r="C440" s="549" t="str">
        <f>X!$C$188</f>
        <v>Nein</v>
      </c>
      <c r="D440" s="16"/>
      <c r="E440" s="26"/>
      <c r="N440" s="549" t="str">
        <f>X!$C$42</f>
        <v>bedarfsgerechte Ansteuerung (FU)</v>
      </c>
      <c r="O440" s="692"/>
      <c r="P440" s="692"/>
      <c r="Q440" s="692"/>
      <c r="R440" s="692"/>
      <c r="S440" s="692"/>
      <c r="T440" s="692"/>
      <c r="U440" s="692"/>
      <c r="V440" s="692"/>
      <c r="W440" s="692"/>
      <c r="X440" s="692"/>
      <c r="Y440" s="692"/>
      <c r="Z440" s="692"/>
      <c r="AA440" s="692"/>
      <c r="AB440" s="693"/>
      <c r="AF440" s="549" t="str">
        <f>X!$C$395</f>
        <v>bedarfsgerechte Ansteuerung (FU/EC-modulierbar)</v>
      </c>
      <c r="AG440" s="692"/>
      <c r="AH440" s="692"/>
      <c r="AI440" s="692"/>
      <c r="AJ440" s="692"/>
      <c r="AK440" s="692"/>
      <c r="AL440" s="692"/>
      <c r="AM440" s="692"/>
      <c r="AN440" s="692"/>
      <c r="AO440" s="692"/>
      <c r="AP440" s="692"/>
      <c r="AQ440" s="692"/>
      <c r="AR440" s="692"/>
      <c r="AS440" s="692"/>
      <c r="AT440" s="692"/>
      <c r="AU440" s="692"/>
      <c r="AV440" s="692"/>
      <c r="AW440" s="693"/>
    </row>
    <row r="441" spans="2:76" hidden="1" outlineLevel="1">
      <c r="BL441" s="28"/>
      <c r="BP441" s="155"/>
      <c r="BQ441" s="155"/>
      <c r="BR441" s="155"/>
      <c r="BS441" s="155"/>
      <c r="BT441" s="155"/>
      <c r="BU441" s="155"/>
      <c r="BV441" s="155"/>
      <c r="BW441" s="155"/>
      <c r="BX441" s="155"/>
    </row>
    <row r="442" spans="2:76" s="28" customFormat="1" ht="23.1" hidden="1" customHeight="1" outlineLevel="1">
      <c r="C442" s="515" t="s">
        <v>194</v>
      </c>
      <c r="D442" s="239"/>
      <c r="E442" s="239"/>
      <c r="F442" s="239"/>
      <c r="G442" s="239"/>
      <c r="H442" s="239"/>
      <c r="I442" s="239"/>
      <c r="J442" s="239"/>
      <c r="K442" s="239"/>
      <c r="L442" s="239"/>
      <c r="M442" s="239"/>
      <c r="N442" s="239"/>
      <c r="O442" s="239"/>
      <c r="P442" s="239"/>
      <c r="Q442" s="239"/>
      <c r="R442" s="239"/>
      <c r="S442" s="515" t="s">
        <v>816</v>
      </c>
      <c r="T442" s="239"/>
      <c r="U442" s="239"/>
      <c r="V442" s="239"/>
      <c r="W442" s="239"/>
      <c r="X442" s="239"/>
      <c r="Y442" s="239"/>
      <c r="Z442" s="239"/>
      <c r="AA442" s="239"/>
      <c r="AB442" s="239"/>
      <c r="AC442" s="239"/>
      <c r="AD442" s="239"/>
      <c r="AE442" s="239"/>
      <c r="AF442" s="239"/>
      <c r="AG442" s="239"/>
      <c r="AH442" s="515" t="s">
        <v>816</v>
      </c>
      <c r="AI442" s="239"/>
      <c r="AJ442" s="239"/>
      <c r="AK442" s="239"/>
      <c r="AL442" s="239"/>
      <c r="AM442" s="239"/>
      <c r="AN442" s="239"/>
      <c r="AO442" s="239"/>
      <c r="AP442" s="239"/>
      <c r="AQ442" s="239"/>
      <c r="AR442" s="239"/>
      <c r="AS442" s="239"/>
      <c r="AT442" s="239"/>
      <c r="AU442" s="239"/>
      <c r="AV442" s="515" t="s">
        <v>816</v>
      </c>
      <c r="AW442" s="239"/>
      <c r="AX442" s="239"/>
      <c r="AY442" s="239"/>
      <c r="AZ442" s="239"/>
      <c r="BA442" s="239"/>
      <c r="BB442" s="239"/>
      <c r="BC442" s="239"/>
      <c r="BD442" s="239"/>
      <c r="BE442" s="239"/>
      <c r="BF442" s="239"/>
      <c r="BG442" s="239"/>
      <c r="BH442" s="239"/>
      <c r="BI442" s="239"/>
      <c r="BJ442" s="239"/>
      <c r="BK442" s="239"/>
    </row>
    <row r="443" spans="2:76" ht="16.5" hidden="1" outlineLevel="1">
      <c r="C443" s="5"/>
      <c r="D443" s="1"/>
      <c r="E443" s="1"/>
      <c r="F443" s="1"/>
      <c r="G443" s="1"/>
      <c r="H443" s="1"/>
      <c r="I443" s="1"/>
      <c r="J443" s="1"/>
      <c r="K443" s="1"/>
      <c r="L443" s="1"/>
      <c r="M443" s="1"/>
      <c r="N443" s="1"/>
      <c r="O443" s="1"/>
      <c r="P443" s="1"/>
      <c r="Q443" s="2"/>
      <c r="R443" s="3"/>
      <c r="S443" s="5"/>
      <c r="T443" s="5"/>
      <c r="U443" s="5"/>
      <c r="V443" s="5"/>
      <c r="W443" s="5"/>
      <c r="X443" s="5"/>
      <c r="Y443" s="5"/>
      <c r="Z443" s="1"/>
      <c r="AB443" s="28"/>
      <c r="AH443" s="5"/>
      <c r="BL443" s="28"/>
      <c r="BP443" s="155"/>
      <c r="BQ443" s="155"/>
      <c r="BR443" s="155"/>
      <c r="BS443" s="155"/>
      <c r="BT443" s="155"/>
      <c r="BU443" s="155"/>
      <c r="BV443" s="155"/>
      <c r="BW443" s="155"/>
      <c r="BX443" s="155"/>
    </row>
    <row r="444" spans="2:76" s="28" customFormat="1" ht="15" hidden="1" customHeight="1" outlineLevel="1">
      <c r="C444" s="516" t="s">
        <v>220</v>
      </c>
      <c r="D444" s="15"/>
      <c r="E444" s="15"/>
      <c r="S444" s="516" t="s">
        <v>817</v>
      </c>
      <c r="AH444" s="516" t="s">
        <v>820</v>
      </c>
      <c r="AV444" s="516" t="s">
        <v>859</v>
      </c>
    </row>
    <row r="445" spans="2:76" s="28" customFormat="1" ht="18.95" hidden="1" customHeight="1" outlineLevel="1">
      <c r="C445" s="517">
        <v>1</v>
      </c>
      <c r="D445" s="16"/>
      <c r="E445" s="26"/>
      <c r="S445" s="1049" t="str">
        <f>X!C352</f>
        <v>Trocken</v>
      </c>
      <c r="T445" s="692"/>
      <c r="U445" s="692"/>
      <c r="V445" s="692"/>
      <c r="W445" s="692"/>
      <c r="X445" s="692"/>
      <c r="Y445" s="693"/>
      <c r="AH445" s="737">
        <v>6</v>
      </c>
      <c r="AI445" s="692"/>
      <c r="AJ445" s="692"/>
      <c r="AK445" s="693"/>
      <c r="AV445" s="1050" t="str">
        <f>X!C354</f>
        <v>keine Zusatzfunktion</v>
      </c>
      <c r="AW445" s="692"/>
      <c r="AX445" s="692"/>
      <c r="AY445" s="692"/>
      <c r="AZ445" s="692"/>
      <c r="BA445" s="692"/>
      <c r="BB445" s="692"/>
      <c r="BC445" s="692"/>
      <c r="BD445" s="692"/>
      <c r="BE445" s="692"/>
      <c r="BF445" s="692"/>
      <c r="BG445" s="693"/>
      <c r="BP445" s="155"/>
      <c r="BQ445" s="155"/>
      <c r="BR445" s="155"/>
      <c r="BS445" s="155"/>
      <c r="BT445" s="155"/>
      <c r="BU445" s="155"/>
      <c r="BV445" s="155"/>
      <c r="BW445" s="155"/>
      <c r="BX445" s="155"/>
    </row>
    <row r="446" spans="2:76" s="28" customFormat="1" ht="18.95" hidden="1" customHeight="1" outlineLevel="1">
      <c r="C446" s="517">
        <v>2</v>
      </c>
      <c r="D446" s="16"/>
      <c r="E446" s="26"/>
      <c r="S446" s="1049" t="str">
        <f>X!C353</f>
        <v>Hybrid</v>
      </c>
      <c r="T446" s="692"/>
      <c r="U446" s="692"/>
      <c r="V446" s="692"/>
      <c r="W446" s="692"/>
      <c r="X446" s="692"/>
      <c r="Y446" s="693"/>
      <c r="AH446" s="737">
        <v>10</v>
      </c>
      <c r="AI446" s="692"/>
      <c r="AJ446" s="692"/>
      <c r="AK446" s="693"/>
      <c r="AV446" s="1050" t="str">
        <f>X!C355</f>
        <v>Anlage mit Free-Cooling</v>
      </c>
      <c r="AW446" s="692"/>
      <c r="AX446" s="692"/>
      <c r="AY446" s="692"/>
      <c r="AZ446" s="692"/>
      <c r="BA446" s="692"/>
      <c r="BB446" s="692"/>
      <c r="BC446" s="692"/>
      <c r="BD446" s="692"/>
      <c r="BE446" s="692"/>
      <c r="BF446" s="692"/>
      <c r="BG446" s="693"/>
      <c r="BP446" s="155"/>
      <c r="BQ446" s="155"/>
      <c r="BR446" s="155"/>
      <c r="BS446" s="155"/>
      <c r="BT446" s="155"/>
      <c r="BU446" s="155"/>
      <c r="BV446" s="155"/>
      <c r="BW446" s="155"/>
      <c r="BX446" s="155"/>
    </row>
    <row r="447" spans="2:76" s="28" customFormat="1" ht="18.95" hidden="1" customHeight="1" outlineLevel="1">
      <c r="C447" s="517">
        <v>3</v>
      </c>
      <c r="D447" s="16"/>
      <c r="E447" s="26"/>
      <c r="AH447" s="738">
        <v>14</v>
      </c>
      <c r="AI447" s="692"/>
      <c r="AJ447" s="692"/>
      <c r="AK447" s="693"/>
      <c r="AV447" s="1051" t="str">
        <f>X!C356</f>
        <v>Anlage mit einer Wärmenutzung</v>
      </c>
      <c r="AW447" s="692"/>
      <c r="AX447" s="692"/>
      <c r="AY447" s="692"/>
      <c r="AZ447" s="692"/>
      <c r="BA447" s="692"/>
      <c r="BB447" s="692"/>
      <c r="BC447" s="692"/>
      <c r="BD447" s="692"/>
      <c r="BE447" s="692"/>
      <c r="BF447" s="692"/>
      <c r="BG447" s="693"/>
      <c r="BP447" s="155"/>
      <c r="BQ447" s="155"/>
      <c r="BR447" s="155"/>
      <c r="BS447" s="155"/>
      <c r="BT447" s="155"/>
      <c r="BU447" s="155"/>
      <c r="BV447" s="155"/>
      <c r="BW447" s="155"/>
      <c r="BX447" s="155"/>
    </row>
    <row r="448" spans="2:76" s="28" customFormat="1" ht="18.95" hidden="1" customHeight="1" outlineLevel="1">
      <c r="C448" s="517">
        <v>4</v>
      </c>
      <c r="D448" s="16"/>
      <c r="E448" s="26"/>
      <c r="AH448" s="738">
        <v>18</v>
      </c>
      <c r="AI448" s="692"/>
      <c r="AJ448" s="692"/>
      <c r="AK448" s="693"/>
    </row>
    <row r="449" spans="3:76" ht="18" hidden="1" customHeight="1" outlineLevel="1">
      <c r="C449" s="10"/>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H449" s="739">
        <v>22</v>
      </c>
      <c r="AI449" s="694"/>
      <c r="AJ449" s="694"/>
      <c r="AK449" s="695"/>
      <c r="BL449" s="28"/>
      <c r="BP449" s="28"/>
      <c r="BQ449" s="28"/>
      <c r="BR449" s="28"/>
      <c r="BS449" s="28"/>
      <c r="BT449" s="28"/>
      <c r="BU449" s="28"/>
      <c r="BV449" s="28"/>
      <c r="BW449" s="28"/>
      <c r="BX449" s="28"/>
    </row>
    <row r="450" spans="3:76" ht="16.5" hidden="1" outlineLevel="1">
      <c r="C450" s="5"/>
      <c r="D450" s="1"/>
      <c r="E450" s="1"/>
      <c r="F450" s="1"/>
      <c r="G450" s="1"/>
      <c r="H450" s="1"/>
      <c r="I450" s="1"/>
      <c r="J450" s="1"/>
      <c r="K450" s="1"/>
      <c r="L450" s="1"/>
      <c r="M450" s="1"/>
      <c r="N450" s="1"/>
      <c r="O450" s="1"/>
      <c r="P450" s="1"/>
      <c r="Q450" s="2"/>
      <c r="R450" s="3"/>
      <c r="S450" s="13"/>
      <c r="T450" s="3"/>
      <c r="U450" s="3"/>
      <c r="V450" s="3"/>
      <c r="W450" s="3"/>
      <c r="X450" s="3"/>
      <c r="Y450" s="3"/>
      <c r="Z450" s="3"/>
      <c r="AB450" s="28"/>
      <c r="BL450" s="28"/>
      <c r="BP450" s="28"/>
      <c r="BQ450" s="28"/>
      <c r="BR450" s="28"/>
      <c r="BS450" s="28"/>
      <c r="BT450" s="28"/>
      <c r="BU450" s="28"/>
      <c r="BV450" s="28"/>
      <c r="BW450" s="28"/>
      <c r="BX450" s="28"/>
    </row>
    <row r="451" spans="3:76" hidden="1" outlineLevel="1">
      <c r="BL451" s="28"/>
      <c r="BP451" s="28"/>
      <c r="BQ451" s="28"/>
      <c r="BR451" s="28"/>
      <c r="BS451" s="28"/>
      <c r="BT451" s="28"/>
      <c r="BU451" s="28"/>
      <c r="BV451" s="28"/>
      <c r="BW451" s="28"/>
      <c r="BX451" s="28"/>
    </row>
    <row r="452" spans="3:76" s="28" customFormat="1" ht="23.1" hidden="1" customHeight="1" outlineLevel="1">
      <c r="C452" s="515" t="s">
        <v>156</v>
      </c>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c r="AI452" s="239"/>
      <c r="AJ452" s="239"/>
      <c r="AK452" s="239"/>
      <c r="AL452" s="239"/>
      <c r="AM452" s="239"/>
      <c r="AN452" s="239"/>
      <c r="AO452" s="239"/>
      <c r="AP452" s="239"/>
      <c r="AQ452" s="239"/>
      <c r="AR452" s="239"/>
      <c r="AS452" s="239"/>
      <c r="AT452" s="239"/>
      <c r="AU452" s="239"/>
      <c r="AV452" s="239"/>
      <c r="AW452" s="239"/>
      <c r="AX452" s="239"/>
      <c r="AY452" s="239"/>
      <c r="AZ452" s="239"/>
      <c r="BA452" s="239"/>
      <c r="BB452" s="239"/>
      <c r="BC452" s="239"/>
      <c r="BD452" s="239"/>
      <c r="BE452" s="239"/>
      <c r="BF452" s="239"/>
      <c r="BG452" s="239"/>
      <c r="BH452" s="239"/>
      <c r="BI452" s="239"/>
      <c r="BJ452" s="239"/>
      <c r="BK452" s="239"/>
    </row>
    <row r="453" spans="3:76" hidden="1" outlineLevel="1">
      <c r="BL453" s="28"/>
      <c r="BP453" s="28"/>
      <c r="BQ453" s="28"/>
      <c r="BR453" s="28"/>
      <c r="BS453" s="28"/>
      <c r="BT453" s="28"/>
      <c r="BU453" s="28"/>
      <c r="BV453" s="28"/>
      <c r="BW453" s="28"/>
      <c r="BX453" s="28"/>
    </row>
    <row r="454" spans="3:76" hidden="1" outlineLevel="1">
      <c r="U454" s="1571" t="s">
        <v>117</v>
      </c>
      <c r="V454" s="1571"/>
      <c r="W454" s="1571"/>
      <c r="Y454" s="1652" t="s">
        <v>120</v>
      </c>
      <c r="Z454" s="1652"/>
      <c r="AA454" s="1652"/>
      <c r="AC454" s="1479" t="s">
        <v>121</v>
      </c>
      <c r="AD454" s="1479"/>
      <c r="AE454" s="1479"/>
      <c r="AG454" s="1479" t="s">
        <v>122</v>
      </c>
      <c r="AH454" s="1479"/>
      <c r="AI454" s="1479"/>
      <c r="AK454" s="1479" t="s">
        <v>124</v>
      </c>
      <c r="AL454" s="1479"/>
      <c r="AM454" s="1479"/>
      <c r="AN454" s="1479"/>
      <c r="AO454" s="1479"/>
      <c r="AS454" s="1571" t="s">
        <v>117</v>
      </c>
      <c r="AT454" s="1571"/>
      <c r="AU454" s="1571"/>
      <c r="AW454" s="1652" t="s">
        <v>120</v>
      </c>
      <c r="AX454" s="1652"/>
      <c r="AY454" s="1652"/>
      <c r="BA454" s="1479" t="s">
        <v>121</v>
      </c>
      <c r="BB454" s="1479"/>
      <c r="BC454" s="1479"/>
      <c r="BE454" s="1479" t="s">
        <v>122</v>
      </c>
      <c r="BF454" s="1479"/>
      <c r="BG454" s="1479"/>
      <c r="BI454" s="1479" t="s">
        <v>124</v>
      </c>
      <c r="BJ454" s="1479"/>
      <c r="BK454" s="1479"/>
      <c r="BL454" s="28"/>
      <c r="BP454" s="28"/>
      <c r="BQ454" s="28"/>
      <c r="BR454" s="28"/>
      <c r="BS454" s="28"/>
      <c r="BT454" s="28"/>
      <c r="BU454" s="28"/>
      <c r="BV454" s="28"/>
      <c r="BW454" s="28"/>
      <c r="BX454" s="28"/>
    </row>
    <row r="455" spans="3:76" hidden="1" outlineLevel="1">
      <c r="BL455" s="28"/>
      <c r="BP455" s="28"/>
      <c r="BQ455" s="28"/>
      <c r="BR455" s="28"/>
      <c r="BS455" s="28"/>
      <c r="BT455" s="28"/>
      <c r="BU455" s="28"/>
      <c r="BV455" s="28"/>
      <c r="BW455" s="28"/>
      <c r="BX455" s="28"/>
    </row>
    <row r="456" spans="3:76" ht="17.100000000000001" hidden="1" customHeight="1" outlineLevel="1">
      <c r="C456" s="499"/>
      <c r="D456" s="74"/>
      <c r="E456" s="74"/>
      <c r="F456" s="74"/>
      <c r="G456" s="74"/>
      <c r="H456" s="74"/>
      <c r="I456" s="74"/>
      <c r="J456" s="74"/>
      <c r="K456" s="74"/>
      <c r="L456" s="74"/>
      <c r="M456" s="74"/>
      <c r="N456" s="74"/>
      <c r="O456" s="74"/>
      <c r="P456" s="74"/>
      <c r="Q456" s="74"/>
      <c r="R456" s="74"/>
      <c r="S456" s="74"/>
      <c r="T456" s="74"/>
      <c r="U456" s="74"/>
      <c r="V456" s="74"/>
      <c r="W456" s="74"/>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L456" s="28"/>
      <c r="BP456" s="28"/>
      <c r="BQ456" s="28"/>
      <c r="BR456" s="28"/>
      <c r="BS456" s="28"/>
      <c r="BT456" s="28"/>
      <c r="BU456" s="28"/>
      <c r="BV456" s="28"/>
      <c r="BW456" s="28"/>
      <c r="BX456" s="28"/>
    </row>
    <row r="457" spans="3:76" s="28" customFormat="1" ht="17.100000000000001" hidden="1" customHeight="1" outlineLevel="1">
      <c r="C457" s="518" t="str">
        <f>D66</f>
        <v>Wärmeträgerpumpen</v>
      </c>
      <c r="D457" s="241"/>
      <c r="E457" s="241"/>
      <c r="F457" s="241"/>
      <c r="G457" s="241"/>
      <c r="H457" s="241"/>
      <c r="I457" s="241"/>
      <c r="J457" s="241"/>
      <c r="K457" s="241"/>
      <c r="L457" s="241"/>
      <c r="M457" s="241"/>
      <c r="N457" s="241"/>
      <c r="O457" s="241"/>
      <c r="P457" s="241"/>
      <c r="Q457" s="241"/>
      <c r="R457" s="241"/>
      <c r="S457" s="241"/>
      <c r="T457" s="241"/>
      <c r="U457" s="1446" t="s">
        <v>117</v>
      </c>
      <c r="V457" s="1446"/>
      <c r="W457" s="1446"/>
      <c r="X457" s="55"/>
      <c r="Y457" s="1446" t="s">
        <v>120</v>
      </c>
      <c r="Z457" s="1446"/>
      <c r="AA457" s="1446"/>
      <c r="AB457" s="55"/>
      <c r="AC457" s="1446" t="s">
        <v>121</v>
      </c>
      <c r="AD457" s="1446"/>
      <c r="AE457" s="1446"/>
      <c r="AF457" s="55"/>
      <c r="AG457" s="1446" t="s">
        <v>122</v>
      </c>
      <c r="AH457" s="1446"/>
      <c r="AI457" s="1446"/>
      <c r="AJ457" s="242"/>
      <c r="AK457" s="242"/>
      <c r="AL457" s="242"/>
      <c r="AM457" s="242"/>
      <c r="AN457" s="242"/>
      <c r="AO457" s="242"/>
      <c r="AP457" s="242"/>
      <c r="AQ457" s="242"/>
      <c r="AR457" s="242"/>
      <c r="AS457" s="1446" t="s">
        <v>117</v>
      </c>
      <c r="AT457" s="1446"/>
      <c r="AU457" s="1446"/>
      <c r="AV457" s="55"/>
      <c r="AW457" s="1446" t="s">
        <v>120</v>
      </c>
      <c r="AX457" s="1446"/>
      <c r="AY457" s="1446"/>
      <c r="AZ457" s="55"/>
      <c r="BA457" s="1446" t="s">
        <v>121</v>
      </c>
      <c r="BB457" s="1446"/>
      <c r="BC457" s="1446"/>
      <c r="BD457" s="55"/>
      <c r="BE457" s="1446" t="s">
        <v>122</v>
      </c>
      <c r="BF457" s="1446"/>
      <c r="BG457" s="1446"/>
      <c r="BH457" s="242"/>
      <c r="BI457" s="242"/>
      <c r="BJ457" s="242"/>
      <c r="BK457" s="242"/>
    </row>
    <row r="458" spans="3:76" s="28" customFormat="1" ht="17.100000000000001" hidden="1" customHeight="1" outlineLevel="1">
      <c r="C458" s="489"/>
      <c r="D458" s="550" t="str">
        <f>X!$C$82</f>
        <v>ein/aus</v>
      </c>
      <c r="E458" s="241"/>
      <c r="F458" s="241"/>
      <c r="G458" s="241"/>
      <c r="H458" s="241"/>
      <c r="I458" s="241"/>
      <c r="J458" s="241"/>
      <c r="K458" s="241"/>
      <c r="L458" s="241"/>
      <c r="M458" s="241"/>
      <c r="N458" s="241"/>
      <c r="O458" s="241"/>
      <c r="P458" s="241"/>
      <c r="Q458" s="241"/>
      <c r="R458" s="241"/>
      <c r="S458" s="241"/>
      <c r="T458" s="241"/>
      <c r="U458" s="1446">
        <v>0</v>
      </c>
      <c r="V458" s="1446"/>
      <c r="W458" s="1446"/>
      <c r="X458" s="55"/>
      <c r="Y458" s="1446">
        <v>0</v>
      </c>
      <c r="Z458" s="1446"/>
      <c r="AA458" s="1446"/>
      <c r="AB458" s="55"/>
      <c r="AC458" s="1446">
        <v>0</v>
      </c>
      <c r="AD458" s="1446"/>
      <c r="AE458" s="1446"/>
      <c r="AF458" s="55"/>
      <c r="AG458" s="1446">
        <v>0</v>
      </c>
      <c r="AH458" s="1446"/>
      <c r="AI458" s="1446"/>
      <c r="AJ458" s="242"/>
      <c r="AK458" s="1541">
        <f>0</f>
        <v>0</v>
      </c>
      <c r="AL458" s="1541"/>
      <c r="AM458" s="1541"/>
      <c r="AN458" s="1541"/>
      <c r="AO458" s="1541"/>
      <c r="AP458" s="242"/>
      <c r="AQ458" s="242"/>
      <c r="AR458" s="242"/>
      <c r="AS458" s="1446">
        <f>U458</f>
        <v>0</v>
      </c>
      <c r="AT458" s="1446"/>
      <c r="AU458" s="1446"/>
      <c r="AV458" s="55"/>
      <c r="AW458" s="1446">
        <f>Y458</f>
        <v>0</v>
      </c>
      <c r="AX458" s="1446"/>
      <c r="AY458" s="1446"/>
      <c r="AZ458" s="55"/>
      <c r="BA458" s="1446">
        <f>AC458</f>
        <v>0</v>
      </c>
      <c r="BB458" s="1446"/>
      <c r="BC458" s="1446"/>
      <c r="BD458" s="55"/>
      <c r="BE458" s="1446">
        <f>AG458</f>
        <v>0</v>
      </c>
      <c r="BF458" s="1446"/>
      <c r="BG458" s="1446"/>
      <c r="BH458" s="242"/>
      <c r="BI458" s="1541">
        <f>AK458</f>
        <v>0</v>
      </c>
      <c r="BJ458" s="1541"/>
      <c r="BK458" s="1541"/>
      <c r="BO458" s="28" t="s">
        <v>841</v>
      </c>
      <c r="BP458" s="155"/>
      <c r="BQ458" s="155"/>
      <c r="BR458" s="155"/>
      <c r="BS458" s="155"/>
      <c r="BT458" s="155"/>
      <c r="BU458" s="155"/>
      <c r="BV458" s="155"/>
      <c r="BW458" s="155"/>
      <c r="BX458" s="155"/>
    </row>
    <row r="459" spans="3:76" s="28" customFormat="1" ht="17.100000000000001" hidden="1" customHeight="1" outlineLevel="1">
      <c r="C459" s="489"/>
      <c r="D459" s="550" t="str">
        <f>X!$C$42</f>
        <v>bedarfsgerechte Ansteuerung (FU)</v>
      </c>
      <c r="E459" s="241"/>
      <c r="F459" s="241"/>
      <c r="G459" s="241"/>
      <c r="H459" s="241"/>
      <c r="I459" s="241"/>
      <c r="J459" s="241"/>
      <c r="K459" s="241"/>
      <c r="L459" s="241"/>
      <c r="M459" s="241"/>
      <c r="N459" s="241"/>
      <c r="O459" s="241"/>
      <c r="P459" s="241"/>
      <c r="Q459" s="241"/>
      <c r="R459" s="241"/>
      <c r="S459" s="241"/>
      <c r="T459" s="241"/>
      <c r="U459" s="1446">
        <v>0.3</v>
      </c>
      <c r="V459" s="1446"/>
      <c r="W459" s="1446"/>
      <c r="X459" s="55"/>
      <c r="Y459" s="1446">
        <v>0</v>
      </c>
      <c r="Z459" s="1446"/>
      <c r="AA459" s="1446"/>
      <c r="AB459" s="55"/>
      <c r="AC459" s="1446">
        <v>0.3</v>
      </c>
      <c r="AD459" s="1446"/>
      <c r="AE459" s="1446"/>
      <c r="AF459" s="55"/>
      <c r="AG459" s="1446">
        <v>0.5</v>
      </c>
      <c r="AH459" s="1446"/>
      <c r="AI459" s="1446"/>
      <c r="AJ459" s="242"/>
      <c r="AK459" s="1541">
        <f>AVERAGE(U459:AI459)</f>
        <v>0.27500000000000002</v>
      </c>
      <c r="AL459" s="1541"/>
      <c r="AM459" s="1541"/>
      <c r="AN459" s="1541"/>
      <c r="AO459" s="1541"/>
      <c r="AP459" s="242"/>
      <c r="AQ459" s="242"/>
      <c r="AR459" s="242"/>
      <c r="AS459" s="1446">
        <f>U459</f>
        <v>0.3</v>
      </c>
      <c r="AT459" s="1446"/>
      <c r="AU459" s="1446"/>
      <c r="AV459" s="55"/>
      <c r="AW459" s="1446">
        <f>Y459</f>
        <v>0</v>
      </c>
      <c r="AX459" s="1446"/>
      <c r="AY459" s="1446"/>
      <c r="AZ459" s="55"/>
      <c r="BA459" s="1446">
        <f>AC459</f>
        <v>0.3</v>
      </c>
      <c r="BB459" s="1446"/>
      <c r="BC459" s="1446"/>
      <c r="BD459" s="55"/>
      <c r="BE459" s="1446">
        <f>AG459</f>
        <v>0.5</v>
      </c>
      <c r="BF459" s="1446"/>
      <c r="BG459" s="1446"/>
      <c r="BH459" s="242"/>
      <c r="BI459" s="1541">
        <f>AK459</f>
        <v>0.27500000000000002</v>
      </c>
      <c r="BJ459" s="1541"/>
      <c r="BK459" s="1541"/>
      <c r="BO459" s="28" t="s">
        <v>841</v>
      </c>
    </row>
    <row r="460" spans="3:76" s="28" customFormat="1" ht="17.100000000000001" hidden="1" customHeight="1" outlineLevel="1">
      <c r="C460" s="489"/>
      <c r="D460" s="241"/>
      <c r="E460" s="241"/>
      <c r="F460" s="241"/>
      <c r="G460" s="241"/>
      <c r="H460" s="241"/>
      <c r="I460" s="241"/>
      <c r="J460" s="241"/>
      <c r="K460" s="241"/>
      <c r="L460" s="241"/>
      <c r="M460" s="241"/>
      <c r="N460" s="241"/>
      <c r="O460" s="241"/>
      <c r="P460" s="241"/>
      <c r="Q460" s="241"/>
      <c r="R460" s="241"/>
      <c r="S460" s="241"/>
      <c r="T460" s="241"/>
      <c r="U460" s="243"/>
      <c r="V460" s="243"/>
      <c r="W460" s="243"/>
      <c r="X460" s="55"/>
      <c r="Y460" s="243"/>
      <c r="Z460" s="243"/>
      <c r="AA460" s="243"/>
      <c r="AB460" s="55"/>
      <c r="AC460" s="243"/>
      <c r="AD460" s="243"/>
      <c r="AE460" s="243"/>
      <c r="AF460" s="55"/>
      <c r="AG460" s="243"/>
      <c r="AH460" s="243"/>
      <c r="AI460" s="243"/>
      <c r="AJ460" s="242"/>
      <c r="AK460" s="242"/>
      <c r="AL460" s="242"/>
      <c r="AM460" s="242"/>
      <c r="AN460" s="242"/>
      <c r="AO460" s="242"/>
      <c r="AP460" s="55"/>
      <c r="AQ460" s="55"/>
      <c r="AR460" s="55"/>
      <c r="AS460" s="243"/>
      <c r="AT460" s="243"/>
      <c r="AU460" s="243"/>
      <c r="AV460" s="55"/>
      <c r="AW460" s="243"/>
      <c r="AX460" s="243"/>
      <c r="AY460" s="243"/>
      <c r="AZ460" s="55"/>
      <c r="BA460" s="243"/>
      <c r="BB460" s="243"/>
      <c r="BC460" s="243"/>
      <c r="BD460" s="55"/>
      <c r="BE460" s="243"/>
      <c r="BF460" s="243"/>
      <c r="BG460" s="243"/>
      <c r="BH460" s="242"/>
      <c r="BI460" s="242"/>
      <c r="BJ460" s="242"/>
      <c r="BK460" s="242"/>
      <c r="BP460" s="155"/>
      <c r="BQ460" s="155"/>
      <c r="BR460" s="155"/>
      <c r="BS460" s="155"/>
      <c r="BT460" s="155"/>
      <c r="BU460" s="155"/>
      <c r="BV460" s="155"/>
      <c r="BW460" s="155"/>
      <c r="BX460" s="155"/>
    </row>
    <row r="461" spans="3:76" s="28" customFormat="1" ht="17.100000000000001" hidden="1" customHeight="1" outlineLevel="1">
      <c r="C461" s="489"/>
      <c r="D461" s="244" t="s">
        <v>143</v>
      </c>
      <c r="E461" s="241"/>
      <c r="F461" s="241"/>
      <c r="G461" s="241"/>
      <c r="H461" s="241"/>
      <c r="I461" s="241"/>
      <c r="J461" s="241"/>
      <c r="K461" s="241"/>
      <c r="L461" s="241"/>
      <c r="M461" s="241"/>
      <c r="N461" s="241"/>
      <c r="O461" s="241"/>
      <c r="P461" s="241"/>
      <c r="Q461" s="241"/>
      <c r="R461" s="241"/>
      <c r="S461" s="241"/>
      <c r="T461" s="241"/>
      <c r="U461" s="1530">
        <f>W66</f>
        <v>0</v>
      </c>
      <c r="V461" s="1530"/>
      <c r="W461" s="1530"/>
      <c r="X461" s="1530"/>
      <c r="Y461" s="1530"/>
      <c r="Z461" s="1530"/>
      <c r="AA461" s="1530"/>
      <c r="AB461" s="1530"/>
      <c r="AC461" s="1530"/>
      <c r="AD461" s="1530"/>
      <c r="AE461" s="1530"/>
      <c r="AF461" s="1530"/>
      <c r="AG461" s="1530"/>
      <c r="AH461" s="1530"/>
      <c r="AI461" s="1530"/>
      <c r="AJ461" s="242"/>
      <c r="AK461" s="242"/>
      <c r="AL461" s="242"/>
      <c r="AM461" s="242"/>
      <c r="AN461" s="242"/>
      <c r="AO461" s="242"/>
      <c r="AP461" s="242"/>
      <c r="AQ461" s="242"/>
      <c r="AR461" s="242"/>
      <c r="AS461" s="1530">
        <f>AU66</f>
        <v>0</v>
      </c>
      <c r="AT461" s="1530"/>
      <c r="AU461" s="1530"/>
      <c r="AV461" s="1530"/>
      <c r="AW461" s="1530"/>
      <c r="AX461" s="1530"/>
      <c r="AY461" s="1530"/>
      <c r="AZ461" s="1530"/>
      <c r="BA461" s="1530"/>
      <c r="BB461" s="1530"/>
      <c r="BC461" s="1530"/>
      <c r="BD461" s="1530"/>
      <c r="BE461" s="1530"/>
      <c r="BF461" s="1530"/>
      <c r="BG461" s="1530"/>
      <c r="BH461" s="242"/>
      <c r="BI461" s="242"/>
      <c r="BJ461" s="242"/>
      <c r="BK461" s="242"/>
      <c r="BP461" s="155"/>
      <c r="BQ461" s="155"/>
      <c r="BR461" s="155"/>
      <c r="BS461" s="155"/>
      <c r="BT461" s="155"/>
      <c r="BU461" s="155"/>
      <c r="BV461" s="155"/>
      <c r="BW461" s="155"/>
      <c r="BX461" s="155"/>
    </row>
    <row r="462" spans="3:76" s="155" customFormat="1" ht="17.100000000000001" hidden="1" customHeight="1" outlineLevel="1">
      <c r="C462" s="489"/>
      <c r="D462" s="227" t="s">
        <v>153</v>
      </c>
      <c r="N462" s="240"/>
      <c r="O462" s="240"/>
      <c r="P462" s="240"/>
      <c r="Q462" s="240"/>
      <c r="R462" s="240"/>
      <c r="S462" s="240"/>
      <c r="T462" s="240"/>
      <c r="U462" s="1531">
        <f>IF($D459=$U461,U459,U458)</f>
        <v>0</v>
      </c>
      <c r="V462" s="1531"/>
      <c r="W462" s="1531"/>
      <c r="X462" s="55"/>
      <c r="Y462" s="1531">
        <f>IF($D459=$U461,Y459,Y458)</f>
        <v>0</v>
      </c>
      <c r="Z462" s="1531"/>
      <c r="AA462" s="1531"/>
      <c r="AB462" s="55"/>
      <c r="AC462" s="1531">
        <f>IF($D459=$U461,AC459,AC458)</f>
        <v>0</v>
      </c>
      <c r="AD462" s="1531"/>
      <c r="AE462" s="1531"/>
      <c r="AF462" s="55"/>
      <c r="AG462" s="1531">
        <f>IF($D459=$U461,AG459,AG458)</f>
        <v>0</v>
      </c>
      <c r="AH462" s="1531"/>
      <c r="AI462" s="1531"/>
      <c r="AJ462" s="242"/>
      <c r="AK462" s="1532">
        <f>IF(AK463=0,0,1-AK464/AK463)</f>
        <v>0</v>
      </c>
      <c r="AL462" s="1532"/>
      <c r="AM462" s="1532"/>
      <c r="AN462" s="1532"/>
      <c r="AO462" s="1532"/>
      <c r="AP462" s="242"/>
      <c r="AQ462" s="242"/>
      <c r="AR462" s="242"/>
      <c r="AS462" s="1531">
        <f>IF($D459=$AS461,AS459,AS458)</f>
        <v>0</v>
      </c>
      <c r="AT462" s="1531"/>
      <c r="AU462" s="1531"/>
      <c r="AV462" s="55"/>
      <c r="AW462" s="1531">
        <f>IF($D459=$AS461,AW459,AW458)</f>
        <v>0</v>
      </c>
      <c r="AX462" s="1531"/>
      <c r="AY462" s="1531"/>
      <c r="AZ462" s="55"/>
      <c r="BA462" s="1531">
        <f>IF($D459=$AS461,BA459,BA458)</f>
        <v>0</v>
      </c>
      <c r="BB462" s="1531"/>
      <c r="BC462" s="1531"/>
      <c r="BD462" s="55"/>
      <c r="BE462" s="1531">
        <f>IF($D459=$AS461,BE459,BE458)</f>
        <v>0</v>
      </c>
      <c r="BF462" s="1531"/>
      <c r="BG462" s="1531"/>
      <c r="BH462" s="242"/>
      <c r="BI462" s="1532">
        <f>IF(BI463=0,0,1-BI464/BI463)</f>
        <v>0</v>
      </c>
      <c r="BJ462" s="1532"/>
      <c r="BK462" s="1532"/>
      <c r="BL462" s="28"/>
    </row>
    <row r="463" spans="3:76" s="28" customFormat="1" ht="17.100000000000001" hidden="1" customHeight="1" outlineLevel="1">
      <c r="C463" s="489"/>
      <c r="D463" s="241" t="s">
        <v>154</v>
      </c>
      <c r="E463" s="241"/>
      <c r="F463" s="241"/>
      <c r="G463" s="241"/>
      <c r="H463" s="241"/>
      <c r="I463" s="241"/>
      <c r="J463" s="241"/>
      <c r="K463" s="241"/>
      <c r="L463" s="241"/>
      <c r="M463" s="241"/>
      <c r="N463" s="241"/>
      <c r="O463" s="241"/>
      <c r="P463" s="241" t="s">
        <v>118</v>
      </c>
      <c r="Q463" s="241"/>
      <c r="R463" s="241"/>
      <c r="S463" s="241"/>
      <c r="T463" s="241"/>
      <c r="U463" s="1488">
        <f>S174</f>
        <v>0</v>
      </c>
      <c r="V463" s="1488"/>
      <c r="W463" s="1488"/>
      <c r="X463" s="55"/>
      <c r="Y463" s="1488">
        <f>W174</f>
        <v>0</v>
      </c>
      <c r="Z463" s="1488"/>
      <c r="AA463" s="1488"/>
      <c r="AB463" s="55"/>
      <c r="AC463" s="1488">
        <f>AA174</f>
        <v>0</v>
      </c>
      <c r="AD463" s="1488"/>
      <c r="AE463" s="1488"/>
      <c r="AF463" s="55"/>
      <c r="AG463" s="1488">
        <f>AE174</f>
        <v>0</v>
      </c>
      <c r="AH463" s="1488"/>
      <c r="AI463" s="1488"/>
      <c r="AJ463" s="242"/>
      <c r="AK463" s="1488">
        <f>SUM(U463:AI463)</f>
        <v>0</v>
      </c>
      <c r="AL463" s="1488"/>
      <c r="AM463" s="1488"/>
      <c r="AN463" s="1488"/>
      <c r="AO463" s="1488"/>
      <c r="AP463" s="242"/>
      <c r="AQ463" s="242"/>
      <c r="AR463" s="242"/>
      <c r="AS463" s="1488">
        <f>AQ174</f>
        <v>0</v>
      </c>
      <c r="AT463" s="1488"/>
      <c r="AU463" s="1488"/>
      <c r="AV463" s="55"/>
      <c r="AW463" s="1488">
        <f>AU174</f>
        <v>0</v>
      </c>
      <c r="AX463" s="1488"/>
      <c r="AY463" s="1488"/>
      <c r="AZ463" s="55"/>
      <c r="BA463" s="1488">
        <f>AY174</f>
        <v>0</v>
      </c>
      <c r="BB463" s="1488"/>
      <c r="BC463" s="1488"/>
      <c r="BD463" s="55"/>
      <c r="BE463" s="1488">
        <f>BC174</f>
        <v>0</v>
      </c>
      <c r="BF463" s="1488"/>
      <c r="BG463" s="1488"/>
      <c r="BH463" s="242"/>
      <c r="BI463" s="1488">
        <f>SUM(AS463:BG463)</f>
        <v>0</v>
      </c>
      <c r="BJ463" s="1488"/>
      <c r="BK463" s="1488"/>
    </row>
    <row r="464" spans="3:76" s="155" customFormat="1" ht="17.100000000000001" hidden="1" customHeight="1" outlineLevel="1">
      <c r="C464" s="489"/>
      <c r="D464" s="241" t="s">
        <v>155</v>
      </c>
      <c r="E464" s="241"/>
      <c r="F464" s="241"/>
      <c r="G464" s="241"/>
      <c r="H464" s="241"/>
      <c r="I464" s="241"/>
      <c r="J464" s="241"/>
      <c r="K464" s="241"/>
      <c r="L464" s="241"/>
      <c r="M464" s="241"/>
      <c r="N464" s="240"/>
      <c r="O464" s="240"/>
      <c r="P464" s="241" t="s">
        <v>118</v>
      </c>
      <c r="Q464" s="240"/>
      <c r="R464" s="240"/>
      <c r="S464" s="240"/>
      <c r="T464" s="240"/>
      <c r="U464" s="1489">
        <f>U463-U462*U463</f>
        <v>0</v>
      </c>
      <c r="V464" s="1489"/>
      <c r="W464" s="1489"/>
      <c r="X464" s="245"/>
      <c r="Y464" s="1489">
        <f>Y463-Y462*Y463</f>
        <v>0</v>
      </c>
      <c r="Z464" s="1489"/>
      <c r="AA464" s="1489"/>
      <c r="AB464" s="245"/>
      <c r="AC464" s="1489">
        <f>AC463-AC462*AC463</f>
        <v>0</v>
      </c>
      <c r="AD464" s="1489"/>
      <c r="AE464" s="1489"/>
      <c r="AF464" s="245"/>
      <c r="AG464" s="1489">
        <f>AG463-AG462*AG463</f>
        <v>0</v>
      </c>
      <c r="AH464" s="1489"/>
      <c r="AI464" s="1489"/>
      <c r="AJ464" s="61"/>
      <c r="AK464" s="1489">
        <f>SUM(U464:AI464)</f>
        <v>0</v>
      </c>
      <c r="AL464" s="1489"/>
      <c r="AM464" s="1489"/>
      <c r="AN464" s="1489"/>
      <c r="AO464" s="1489"/>
      <c r="AP464" s="156"/>
      <c r="AQ464" s="242"/>
      <c r="AR464" s="242"/>
      <c r="AS464" s="1490">
        <f>AS463-AS462*AS463</f>
        <v>0</v>
      </c>
      <c r="AT464" s="1490"/>
      <c r="AU464" s="1490"/>
      <c r="AV464" s="246"/>
      <c r="AW464" s="1490">
        <f>AW463-AW462*AW463</f>
        <v>0</v>
      </c>
      <c r="AX464" s="1490"/>
      <c r="AY464" s="1490"/>
      <c r="AZ464" s="246"/>
      <c r="BA464" s="1490">
        <f>BA463-BA462*BA463</f>
        <v>0</v>
      </c>
      <c r="BB464" s="1490"/>
      <c r="BC464" s="1490"/>
      <c r="BD464" s="246"/>
      <c r="BE464" s="1490">
        <f>BE463-BE462*BE463</f>
        <v>0</v>
      </c>
      <c r="BF464" s="1490"/>
      <c r="BG464" s="1490"/>
      <c r="BH464" s="156"/>
      <c r="BI464" s="1490">
        <f>SUM(AS464:BG464)</f>
        <v>0</v>
      </c>
      <c r="BJ464" s="1490"/>
      <c r="BK464" s="1490"/>
      <c r="BL464" s="28"/>
      <c r="BP464" s="28"/>
      <c r="BQ464" s="28"/>
      <c r="BR464" s="28"/>
      <c r="BS464" s="28"/>
      <c r="BT464" s="28"/>
      <c r="BU464" s="28"/>
      <c r="BV464" s="28"/>
      <c r="BW464" s="28"/>
      <c r="BX464" s="28"/>
    </row>
    <row r="465" spans="3:76" s="155" customFormat="1" ht="17.100000000000001" hidden="1" customHeight="1" outlineLevel="1">
      <c r="C465" s="491"/>
      <c r="P465" s="156"/>
      <c r="Q465" s="156"/>
      <c r="R465" s="156"/>
      <c r="S465" s="156"/>
      <c r="T465" s="156"/>
      <c r="U465" s="156"/>
      <c r="V465" s="156"/>
      <c r="W465" s="156"/>
      <c r="X465" s="156"/>
      <c r="Y465" s="156"/>
      <c r="Z465" s="156"/>
      <c r="AA465" s="247"/>
      <c r="AB465" s="247"/>
      <c r="AC465" s="247"/>
      <c r="AD465" s="247"/>
      <c r="AE465" s="247"/>
      <c r="AP465" s="248"/>
      <c r="AQ465" s="248"/>
      <c r="AR465" s="248"/>
      <c r="AS465" s="248"/>
      <c r="AT465" s="248"/>
      <c r="AU465" s="156"/>
      <c r="BA465" s="28"/>
      <c r="BL465" s="28"/>
      <c r="BP465" s="28"/>
      <c r="BQ465" s="28"/>
      <c r="BR465" s="28"/>
      <c r="BS465" s="28"/>
      <c r="BT465" s="28"/>
      <c r="BU465" s="28"/>
      <c r="BV465" s="28"/>
      <c r="BW465" s="28"/>
      <c r="BX465" s="28"/>
    </row>
    <row r="466" spans="3:76" s="155" customFormat="1" ht="17.100000000000001" hidden="1" customHeight="1" outlineLevel="1">
      <c r="C466" s="491"/>
      <c r="P466" s="156"/>
      <c r="Q466" s="156"/>
      <c r="R466" s="156"/>
      <c r="S466" s="156"/>
      <c r="T466" s="156"/>
      <c r="U466" s="156"/>
      <c r="V466" s="156"/>
      <c r="W466" s="156"/>
      <c r="X466" s="156"/>
      <c r="Y466" s="156"/>
      <c r="Z466" s="156"/>
      <c r="AA466" s="247"/>
      <c r="AB466" s="247"/>
      <c r="AC466" s="247"/>
      <c r="AD466" s="247"/>
      <c r="AE466" s="247"/>
      <c r="AP466" s="248"/>
      <c r="AQ466" s="248"/>
      <c r="AR466" s="248"/>
      <c r="AS466" s="248"/>
      <c r="AT466" s="248"/>
      <c r="AU466" s="156"/>
      <c r="BA466" s="28"/>
      <c r="BL466" s="28"/>
      <c r="BP466" s="28"/>
      <c r="BQ466" s="28"/>
      <c r="BR466" s="28"/>
      <c r="BS466" s="28"/>
      <c r="BT466" s="28"/>
      <c r="BU466" s="28"/>
      <c r="BV466" s="28"/>
      <c r="BW466" s="28"/>
      <c r="BX466" s="28"/>
    </row>
    <row r="467" spans="3:76" s="28" customFormat="1" ht="17.100000000000001" hidden="1" customHeight="1" outlineLevel="1">
      <c r="C467" s="518" t="str">
        <f>D68</f>
        <v>Intern-Pumpen für die Besprühung</v>
      </c>
      <c r="D467" s="241"/>
      <c r="E467" s="241"/>
      <c r="F467" s="241"/>
      <c r="G467" s="241"/>
      <c r="H467" s="241"/>
      <c r="I467" s="241"/>
      <c r="J467" s="241"/>
      <c r="K467" s="241"/>
      <c r="L467" s="241"/>
      <c r="M467" s="241"/>
      <c r="N467" s="241"/>
      <c r="O467" s="241"/>
      <c r="P467" s="241"/>
      <c r="Q467" s="241"/>
      <c r="R467" s="241"/>
      <c r="S467" s="241"/>
      <c r="T467" s="241"/>
      <c r="U467" s="1446" t="s">
        <v>117</v>
      </c>
      <c r="V467" s="1446"/>
      <c r="W467" s="1446"/>
      <c r="X467" s="55"/>
      <c r="Y467" s="1446" t="s">
        <v>120</v>
      </c>
      <c r="Z467" s="1446"/>
      <c r="AA467" s="1446"/>
      <c r="AB467" s="55"/>
      <c r="AC467" s="1446" t="s">
        <v>121</v>
      </c>
      <c r="AD467" s="1446"/>
      <c r="AE467" s="1446"/>
      <c r="AF467" s="55"/>
      <c r="AG467" s="1446" t="s">
        <v>122</v>
      </c>
      <c r="AH467" s="1446"/>
      <c r="AI467" s="1446"/>
      <c r="AJ467" s="242"/>
      <c r="AK467" s="242"/>
      <c r="AL467" s="242"/>
      <c r="AM467" s="242"/>
      <c r="AN467" s="242"/>
      <c r="AO467" s="242"/>
      <c r="AP467" s="242"/>
      <c r="AQ467" s="242"/>
      <c r="AR467" s="242"/>
      <c r="AS467" s="1446" t="s">
        <v>117</v>
      </c>
      <c r="AT467" s="1446"/>
      <c r="AU467" s="1446"/>
      <c r="AV467" s="55"/>
      <c r="AW467" s="1446" t="s">
        <v>120</v>
      </c>
      <c r="AX467" s="1446"/>
      <c r="AY467" s="1446"/>
      <c r="AZ467" s="55"/>
      <c r="BA467" s="1446" t="s">
        <v>121</v>
      </c>
      <c r="BB467" s="1446"/>
      <c r="BC467" s="1446"/>
      <c r="BD467" s="55"/>
      <c r="BE467" s="1446" t="s">
        <v>122</v>
      </c>
      <c r="BF467" s="1446"/>
      <c r="BG467" s="1446"/>
      <c r="BH467" s="242"/>
      <c r="BI467" s="242"/>
      <c r="BJ467" s="242"/>
      <c r="BK467" s="242"/>
    </row>
    <row r="468" spans="3:76" s="28" customFormat="1" ht="17.100000000000001" hidden="1" customHeight="1" outlineLevel="1">
      <c r="C468" s="489"/>
      <c r="D468" s="241" t="str">
        <f>D458</f>
        <v>ein/aus</v>
      </c>
      <c r="E468" s="241"/>
      <c r="F468" s="241"/>
      <c r="G468" s="241"/>
      <c r="H468" s="241"/>
      <c r="I468" s="241"/>
      <c r="J468" s="241"/>
      <c r="K468" s="241"/>
      <c r="L468" s="241"/>
      <c r="M468" s="241"/>
      <c r="N468" s="241"/>
      <c r="O468" s="241"/>
      <c r="P468" s="241"/>
      <c r="Q468" s="241"/>
      <c r="R468" s="241"/>
      <c r="S468" s="241"/>
      <c r="T468" s="241"/>
      <c r="U468" s="1447">
        <v>0</v>
      </c>
      <c r="V468" s="1447"/>
      <c r="W468" s="1447"/>
      <c r="X468" s="249"/>
      <c r="Y468" s="1447">
        <v>0</v>
      </c>
      <c r="Z468" s="1447"/>
      <c r="AA468" s="1447"/>
      <c r="AB468" s="249"/>
      <c r="AC468" s="1447">
        <v>0</v>
      </c>
      <c r="AD468" s="1447"/>
      <c r="AE468" s="1447"/>
      <c r="AF468" s="249"/>
      <c r="AG468" s="1447">
        <v>0</v>
      </c>
      <c r="AH468" s="1447"/>
      <c r="AI468" s="1447"/>
      <c r="AJ468" s="242"/>
      <c r="AK468" s="242"/>
      <c r="AL468" s="242"/>
      <c r="AM468" s="242"/>
      <c r="AN468" s="242"/>
      <c r="AO468" s="242"/>
      <c r="AP468" s="242"/>
      <c r="AQ468" s="242"/>
      <c r="AR468" s="242"/>
      <c r="AS468" s="1446">
        <f>U468</f>
        <v>0</v>
      </c>
      <c r="AT468" s="1446"/>
      <c r="AU468" s="1446"/>
      <c r="AV468" s="55"/>
      <c r="AW468" s="1446">
        <f>Y468</f>
        <v>0</v>
      </c>
      <c r="AX468" s="1446"/>
      <c r="AY468" s="1446"/>
      <c r="AZ468" s="55"/>
      <c r="BA468" s="1446">
        <f>AC468</f>
        <v>0</v>
      </c>
      <c r="BB468" s="1446"/>
      <c r="BC468" s="1446"/>
      <c r="BD468" s="55"/>
      <c r="BE468" s="1446">
        <f>AG468</f>
        <v>0</v>
      </c>
      <c r="BF468" s="1446"/>
      <c r="BG468" s="1446"/>
      <c r="BH468" s="242"/>
      <c r="BI468" s="242"/>
      <c r="BJ468" s="242"/>
      <c r="BK468" s="242"/>
      <c r="BP468" s="155"/>
      <c r="BQ468" s="155"/>
      <c r="BR468" s="155"/>
      <c r="BS468" s="155"/>
      <c r="BT468" s="155"/>
      <c r="BU468" s="155"/>
      <c r="BV468" s="155"/>
      <c r="BW468" s="155"/>
      <c r="BX468" s="155"/>
    </row>
    <row r="469" spans="3:76" s="28" customFormat="1" ht="17.100000000000001" hidden="1" customHeight="1" outlineLevel="1">
      <c r="C469" s="489"/>
      <c r="D469" s="241" t="str">
        <f>D459</f>
        <v>bedarfsgerechte Ansteuerung (FU)</v>
      </c>
      <c r="E469" s="241"/>
      <c r="F469" s="241"/>
      <c r="G469" s="241"/>
      <c r="H469" s="241"/>
      <c r="I469" s="241"/>
      <c r="J469" s="241"/>
      <c r="K469" s="241"/>
      <c r="L469" s="241"/>
      <c r="M469" s="241"/>
      <c r="N469" s="241"/>
      <c r="O469" s="241"/>
      <c r="P469" s="241"/>
      <c r="Q469" s="241"/>
      <c r="R469" s="241"/>
      <c r="S469" s="241"/>
      <c r="T469" s="241"/>
      <c r="U469" s="1447">
        <v>0.3</v>
      </c>
      <c r="V469" s="1447"/>
      <c r="W469" s="1447"/>
      <c r="X469" s="249"/>
      <c r="Y469" s="1447">
        <v>0</v>
      </c>
      <c r="Z469" s="1447"/>
      <c r="AA469" s="1447"/>
      <c r="AB469" s="249"/>
      <c r="AC469" s="1447">
        <v>0.3</v>
      </c>
      <c r="AD469" s="1447"/>
      <c r="AE469" s="1447"/>
      <c r="AF469" s="249"/>
      <c r="AG469" s="1447">
        <v>0.5</v>
      </c>
      <c r="AH469" s="1447"/>
      <c r="AI469" s="1447"/>
      <c r="AJ469" s="242"/>
      <c r="AK469" s="242"/>
      <c r="AL469" s="242"/>
      <c r="AM469" s="242"/>
      <c r="AN469" s="242"/>
      <c r="AO469" s="242"/>
      <c r="AP469" s="242"/>
      <c r="AQ469" s="242"/>
      <c r="AR469" s="242"/>
      <c r="AS469" s="1446">
        <f>U469</f>
        <v>0.3</v>
      </c>
      <c r="AT469" s="1446"/>
      <c r="AU469" s="1446"/>
      <c r="AV469" s="55"/>
      <c r="AW469" s="1446">
        <f>Y469</f>
        <v>0</v>
      </c>
      <c r="AX469" s="1446"/>
      <c r="AY469" s="1446"/>
      <c r="AZ469" s="55"/>
      <c r="BA469" s="1446">
        <f>AC469</f>
        <v>0.3</v>
      </c>
      <c r="BB469" s="1446"/>
      <c r="BC469" s="1446"/>
      <c r="BD469" s="55"/>
      <c r="BE469" s="1446">
        <f>AG469</f>
        <v>0.5</v>
      </c>
      <c r="BF469" s="1446"/>
      <c r="BG469" s="1446"/>
      <c r="BH469" s="242"/>
      <c r="BI469" s="242"/>
      <c r="BJ469" s="242"/>
      <c r="BK469" s="242"/>
    </row>
    <row r="470" spans="3:76" ht="17.100000000000001" hidden="1" customHeight="1" outlineLevel="1">
      <c r="D470" s="82"/>
      <c r="E470" s="82"/>
      <c r="F470" s="82"/>
      <c r="G470" s="82"/>
      <c r="H470" s="82"/>
      <c r="I470" s="82"/>
      <c r="J470" s="82"/>
      <c r="K470" s="82"/>
      <c r="L470" s="82"/>
      <c r="M470" s="82"/>
      <c r="N470" s="82"/>
      <c r="O470" s="82"/>
      <c r="P470" s="82"/>
      <c r="Q470" s="82"/>
      <c r="R470" s="82"/>
      <c r="S470" s="83"/>
      <c r="T470" s="83"/>
      <c r="U470" s="250"/>
      <c r="V470" s="250"/>
      <c r="W470" s="250"/>
      <c r="X470" s="92"/>
      <c r="Y470" s="250"/>
      <c r="Z470" s="250"/>
      <c r="AA470" s="250"/>
      <c r="AB470" s="92"/>
      <c r="AC470" s="250"/>
      <c r="AD470" s="250"/>
      <c r="AE470" s="250"/>
      <c r="AF470" s="92"/>
      <c r="AG470" s="250"/>
      <c r="AH470" s="250"/>
      <c r="AI470" s="250"/>
      <c r="AJ470" s="251"/>
      <c r="AK470" s="251"/>
      <c r="AL470" s="251"/>
      <c r="AM470" s="251"/>
      <c r="AN470" s="251"/>
      <c r="AO470" s="251"/>
      <c r="AP470" s="52"/>
      <c r="AQ470" s="52"/>
      <c r="AR470" s="52"/>
      <c r="AS470" s="250"/>
      <c r="AT470" s="250"/>
      <c r="AU470" s="250"/>
      <c r="AV470" s="92"/>
      <c r="AW470" s="250"/>
      <c r="AX470" s="250"/>
      <c r="AY470" s="250"/>
      <c r="AZ470" s="92"/>
      <c r="BA470" s="250"/>
      <c r="BB470" s="250"/>
      <c r="BC470" s="250"/>
      <c r="BD470" s="92"/>
      <c r="BE470" s="250"/>
      <c r="BF470" s="250"/>
      <c r="BG470" s="250"/>
      <c r="BH470" s="251"/>
      <c r="BI470" s="251"/>
      <c r="BJ470" s="251"/>
      <c r="BK470" s="251"/>
      <c r="BL470" s="28"/>
      <c r="BP470" s="155"/>
      <c r="BQ470" s="155"/>
      <c r="BR470" s="155"/>
      <c r="BS470" s="155"/>
      <c r="BT470" s="155"/>
      <c r="BU470" s="155"/>
      <c r="BV470" s="155"/>
      <c r="BW470" s="155"/>
      <c r="BX470" s="155"/>
    </row>
    <row r="471" spans="3:76" s="28" customFormat="1" ht="17.100000000000001" hidden="1" customHeight="1" outlineLevel="1">
      <c r="C471" s="489"/>
      <c r="D471" s="244" t="s">
        <v>143</v>
      </c>
      <c r="E471" s="241"/>
      <c r="F471" s="241"/>
      <c r="G471" s="241"/>
      <c r="H471" s="241"/>
      <c r="I471" s="241"/>
      <c r="J471" s="241"/>
      <c r="K471" s="241"/>
      <c r="L471" s="241"/>
      <c r="M471" s="241"/>
      <c r="N471" s="241"/>
      <c r="O471" s="241"/>
      <c r="P471" s="241"/>
      <c r="Q471" s="241"/>
      <c r="R471" s="241"/>
      <c r="S471" s="241"/>
      <c r="T471" s="241"/>
      <c r="U471" s="1530">
        <f>W68</f>
        <v>0</v>
      </c>
      <c r="V471" s="1530"/>
      <c r="W471" s="1530"/>
      <c r="X471" s="1530"/>
      <c r="Y471" s="1530"/>
      <c r="Z471" s="1530"/>
      <c r="AA471" s="1530"/>
      <c r="AB471" s="1530"/>
      <c r="AC471" s="1530"/>
      <c r="AD471" s="1530"/>
      <c r="AE471" s="1530"/>
      <c r="AF471" s="1530"/>
      <c r="AG471" s="1530"/>
      <c r="AH471" s="1530"/>
      <c r="AI471" s="1530"/>
      <c r="AJ471" s="242"/>
      <c r="AK471" s="242"/>
      <c r="AL471" s="242"/>
      <c r="AM471" s="242"/>
      <c r="AN471" s="242"/>
      <c r="AO471" s="242"/>
      <c r="AP471" s="242"/>
      <c r="AQ471" s="242"/>
      <c r="AR471" s="242"/>
      <c r="AS471" s="1530">
        <f>AU68</f>
        <v>0</v>
      </c>
      <c r="AT471" s="1530"/>
      <c r="AU471" s="1530"/>
      <c r="AV471" s="1530"/>
      <c r="AW471" s="1530"/>
      <c r="AX471" s="1530"/>
      <c r="AY471" s="1530"/>
      <c r="AZ471" s="1530"/>
      <c r="BA471" s="1530"/>
      <c r="BB471" s="1530"/>
      <c r="BC471" s="1530"/>
      <c r="BD471" s="1530"/>
      <c r="BE471" s="1530"/>
      <c r="BF471" s="1530"/>
      <c r="BG471" s="1530"/>
      <c r="BH471" s="242"/>
      <c r="BI471" s="242"/>
      <c r="BJ471" s="242"/>
      <c r="BK471" s="242"/>
      <c r="BP471" s="155"/>
      <c r="BQ471" s="155"/>
      <c r="BR471" s="155"/>
      <c r="BS471" s="155"/>
      <c r="BT471" s="155"/>
      <c r="BU471" s="155"/>
      <c r="BV471" s="155"/>
      <c r="BW471" s="155"/>
      <c r="BX471" s="155"/>
    </row>
    <row r="472" spans="3:76" s="155" customFormat="1" ht="17.100000000000001" hidden="1" customHeight="1" outlineLevel="1">
      <c r="C472" s="489"/>
      <c r="D472" s="227" t="s">
        <v>153</v>
      </c>
      <c r="N472" s="240"/>
      <c r="O472" s="240"/>
      <c r="P472" s="240"/>
      <c r="Q472" s="240"/>
      <c r="R472" s="240"/>
      <c r="S472" s="240"/>
      <c r="T472" s="240"/>
      <c r="U472" s="1531">
        <f>IF($D469=$U471,U469,U468)</f>
        <v>0</v>
      </c>
      <c r="V472" s="1531"/>
      <c r="W472" s="1531"/>
      <c r="X472" s="55"/>
      <c r="Y472" s="1531">
        <f>IF($D469=$U471,Y469,Y468)</f>
        <v>0</v>
      </c>
      <c r="Z472" s="1531"/>
      <c r="AA472" s="1531"/>
      <c r="AB472" s="55"/>
      <c r="AC472" s="1531">
        <f>IF($D469=$U471,AC469,AC468)</f>
        <v>0</v>
      </c>
      <c r="AD472" s="1531"/>
      <c r="AE472" s="1531"/>
      <c r="AF472" s="55"/>
      <c r="AG472" s="1531">
        <f>IF($D469=$U471,AG469,AG468)</f>
        <v>0</v>
      </c>
      <c r="AH472" s="1531"/>
      <c r="AI472" s="1531"/>
      <c r="AJ472" s="242"/>
      <c r="AK472" s="1532">
        <f>IF(AK473=0,0,1-AK474/AK473)</f>
        <v>0</v>
      </c>
      <c r="AL472" s="1532"/>
      <c r="AM472" s="1532"/>
      <c r="AN472" s="1532"/>
      <c r="AO472" s="1532"/>
      <c r="AP472" s="242"/>
      <c r="AQ472" s="242"/>
      <c r="AR472" s="242"/>
      <c r="AS472" s="1531">
        <f>IF($D469=$AS471,AS469,AS468)</f>
        <v>0</v>
      </c>
      <c r="AT472" s="1531"/>
      <c r="AU472" s="1531"/>
      <c r="AV472" s="55"/>
      <c r="AW472" s="1531">
        <f>IF($D469=$AS471,AW469,AW468)</f>
        <v>0</v>
      </c>
      <c r="AX472" s="1531"/>
      <c r="AY472" s="1531"/>
      <c r="AZ472" s="55"/>
      <c r="BA472" s="1531">
        <f>IF($D469=$AS471,BA469,BA468)</f>
        <v>0</v>
      </c>
      <c r="BB472" s="1531"/>
      <c r="BC472" s="1531"/>
      <c r="BD472" s="55"/>
      <c r="BE472" s="1531">
        <f>IF($D469=$AS471,BE469,BE468)</f>
        <v>0</v>
      </c>
      <c r="BF472" s="1531"/>
      <c r="BG472" s="1531"/>
      <c r="BH472" s="242"/>
      <c r="BI472" s="1532">
        <f>IF(BI473=0,0,1-BI474/BI473)</f>
        <v>0</v>
      </c>
      <c r="BJ472" s="1532"/>
      <c r="BK472" s="1532"/>
      <c r="BL472" s="28"/>
      <c r="BP472" s="31"/>
      <c r="BQ472" s="31"/>
      <c r="BR472" s="31"/>
      <c r="BS472" s="31"/>
      <c r="BT472" s="31"/>
      <c r="BU472" s="31"/>
      <c r="BV472" s="31"/>
      <c r="BW472" s="31"/>
      <c r="BX472" s="31"/>
    </row>
    <row r="473" spans="3:76" s="28" customFormat="1" ht="17.100000000000001" hidden="1" customHeight="1" outlineLevel="1">
      <c r="C473" s="489"/>
      <c r="D473" s="241" t="s">
        <v>154</v>
      </c>
      <c r="E473" s="241"/>
      <c r="F473" s="241"/>
      <c r="G473" s="241"/>
      <c r="H473" s="241"/>
      <c r="I473" s="241"/>
      <c r="J473" s="241"/>
      <c r="K473" s="241"/>
      <c r="L473" s="241"/>
      <c r="M473" s="241"/>
      <c r="N473" s="241"/>
      <c r="O473" s="241"/>
      <c r="P473" s="241" t="s">
        <v>118</v>
      </c>
      <c r="Q473" s="241"/>
      <c r="R473" s="241"/>
      <c r="S473" s="241"/>
      <c r="T473" s="241"/>
      <c r="U473" s="1488">
        <f>U$463</f>
        <v>0</v>
      </c>
      <c r="V473" s="1488"/>
      <c r="W473" s="1488"/>
      <c r="X473" s="55"/>
      <c r="Y473" s="1488">
        <f>Y$463</f>
        <v>0</v>
      </c>
      <c r="Z473" s="1488"/>
      <c r="AA473" s="1488"/>
      <c r="AB473" s="55"/>
      <c r="AC473" s="1488">
        <f>AC$463</f>
        <v>0</v>
      </c>
      <c r="AD473" s="1488"/>
      <c r="AE473" s="1488"/>
      <c r="AF473" s="55"/>
      <c r="AG473" s="1488">
        <f>AG$463</f>
        <v>0</v>
      </c>
      <c r="AH473" s="1488"/>
      <c r="AI473" s="1488"/>
      <c r="AJ473" s="242"/>
      <c r="AK473" s="1488">
        <f>SUM(U473:AI473)</f>
        <v>0</v>
      </c>
      <c r="AL473" s="1488"/>
      <c r="AM473" s="1488"/>
      <c r="AN473" s="1488"/>
      <c r="AO473" s="1488"/>
      <c r="AP473" s="242"/>
      <c r="AQ473" s="242"/>
      <c r="AR473" s="242"/>
      <c r="AS473" s="1488">
        <f>AS$463</f>
        <v>0</v>
      </c>
      <c r="AT473" s="1488"/>
      <c r="AU473" s="1488"/>
      <c r="AV473" s="55"/>
      <c r="AW473" s="1488">
        <f>AW$463</f>
        <v>0</v>
      </c>
      <c r="AX473" s="1488"/>
      <c r="AY473" s="1488"/>
      <c r="AZ473" s="55"/>
      <c r="BA473" s="1488">
        <f>BA$463</f>
        <v>0</v>
      </c>
      <c r="BB473" s="1488"/>
      <c r="BC473" s="1488"/>
      <c r="BD473" s="55"/>
      <c r="BE473" s="1488">
        <f>BE$463</f>
        <v>0</v>
      </c>
      <c r="BF473" s="1488"/>
      <c r="BG473" s="1488"/>
      <c r="BH473" s="242"/>
      <c r="BI473" s="1488">
        <f>SUM(AS473:BG473)</f>
        <v>0</v>
      </c>
      <c r="BJ473" s="1488"/>
      <c r="BK473" s="1488"/>
    </row>
    <row r="474" spans="3:76" s="155" customFormat="1" ht="17.100000000000001" hidden="1" customHeight="1" outlineLevel="1">
      <c r="C474" s="489"/>
      <c r="D474" s="241" t="s">
        <v>155</v>
      </c>
      <c r="E474" s="241"/>
      <c r="F474" s="241"/>
      <c r="G474" s="241"/>
      <c r="H474" s="241"/>
      <c r="I474" s="241"/>
      <c r="J474" s="241"/>
      <c r="K474" s="241"/>
      <c r="L474" s="241"/>
      <c r="M474" s="241"/>
      <c r="N474" s="240"/>
      <c r="O474" s="240"/>
      <c r="P474" s="241" t="s">
        <v>118</v>
      </c>
      <c r="Q474" s="240"/>
      <c r="R474" s="240"/>
      <c r="S474" s="240"/>
      <c r="T474" s="240"/>
      <c r="U474" s="1489">
        <f>U473-U472*U473</f>
        <v>0</v>
      </c>
      <c r="V474" s="1489"/>
      <c r="W474" s="1489"/>
      <c r="X474" s="245"/>
      <c r="Y474" s="1489">
        <f>Y473-Y472*Y473</f>
        <v>0</v>
      </c>
      <c r="Z474" s="1489"/>
      <c r="AA474" s="1489"/>
      <c r="AB474" s="245"/>
      <c r="AC474" s="1489">
        <f>AC473-AC472*AC473</f>
        <v>0</v>
      </c>
      <c r="AD474" s="1489"/>
      <c r="AE474" s="1489"/>
      <c r="AF474" s="245"/>
      <c r="AG474" s="1489">
        <f>AG473-AG472*AG473</f>
        <v>0</v>
      </c>
      <c r="AH474" s="1489"/>
      <c r="AI474" s="1489"/>
      <c r="AJ474" s="61"/>
      <c r="AK474" s="1489">
        <f>SUM(U474:AI474)</f>
        <v>0</v>
      </c>
      <c r="AL474" s="1489"/>
      <c r="AM474" s="1489"/>
      <c r="AN474" s="1489"/>
      <c r="AO474" s="1489"/>
      <c r="AP474" s="156"/>
      <c r="AQ474" s="242"/>
      <c r="AR474" s="242"/>
      <c r="AS474" s="1490">
        <f>AS473-AS472*AS473</f>
        <v>0</v>
      </c>
      <c r="AT474" s="1490"/>
      <c r="AU474" s="1490"/>
      <c r="AV474" s="246"/>
      <c r="AW474" s="1490">
        <f>AW473-AW472*AW473</f>
        <v>0</v>
      </c>
      <c r="AX474" s="1490"/>
      <c r="AY474" s="1490"/>
      <c r="AZ474" s="246"/>
      <c r="BA474" s="1490">
        <f>BA473-BA472*BA473</f>
        <v>0</v>
      </c>
      <c r="BB474" s="1490"/>
      <c r="BC474" s="1490"/>
      <c r="BD474" s="246"/>
      <c r="BE474" s="1490">
        <f>BE473-BE472*BE473</f>
        <v>0</v>
      </c>
      <c r="BF474" s="1490"/>
      <c r="BG474" s="1490"/>
      <c r="BH474" s="156"/>
      <c r="BI474" s="1490">
        <f>SUM(AS474:BG474)</f>
        <v>0</v>
      </c>
      <c r="BJ474" s="1490"/>
      <c r="BK474" s="1490"/>
      <c r="BL474" s="28"/>
      <c r="BP474" s="31"/>
      <c r="BQ474" s="31"/>
      <c r="BR474" s="31"/>
      <c r="BS474" s="31"/>
      <c r="BT474" s="31"/>
      <c r="BU474" s="31"/>
      <c r="BV474" s="31"/>
      <c r="BW474" s="31"/>
      <c r="BX474" s="31"/>
    </row>
    <row r="475" spans="3:76" s="155" customFormat="1" ht="17.100000000000001" hidden="1" customHeight="1" outlineLevel="1">
      <c r="C475" s="491"/>
      <c r="P475" s="156"/>
      <c r="Q475" s="156"/>
      <c r="R475" s="156"/>
      <c r="S475" s="156"/>
      <c r="T475" s="156"/>
      <c r="U475" s="156"/>
      <c r="V475" s="156"/>
      <c r="W475" s="156"/>
      <c r="X475" s="156"/>
      <c r="Y475" s="156"/>
      <c r="Z475" s="156"/>
      <c r="AA475" s="247"/>
      <c r="AB475" s="247"/>
      <c r="AC475" s="247"/>
      <c r="AD475" s="247"/>
      <c r="AE475" s="247"/>
      <c r="AP475" s="248"/>
      <c r="AQ475" s="248"/>
      <c r="AR475" s="248"/>
      <c r="AS475" s="248"/>
      <c r="AT475" s="248"/>
      <c r="AU475" s="156"/>
      <c r="BA475" s="28"/>
      <c r="BL475" s="28"/>
      <c r="BP475" s="28"/>
      <c r="BQ475" s="28"/>
      <c r="BR475" s="28"/>
      <c r="BS475" s="28"/>
      <c r="BT475" s="28"/>
      <c r="BU475" s="28"/>
      <c r="BV475" s="28"/>
      <c r="BW475" s="28"/>
      <c r="BX475" s="28"/>
    </row>
    <row r="476" spans="3:76" s="155" customFormat="1" ht="17.100000000000001" hidden="1" customHeight="1" outlineLevel="1">
      <c r="C476" s="494"/>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c r="AA476" s="247"/>
      <c r="AB476" s="247"/>
      <c r="AC476" s="247"/>
      <c r="AD476" s="247"/>
      <c r="AE476" s="247"/>
      <c r="AP476" s="248"/>
      <c r="AQ476" s="248"/>
      <c r="AR476" s="248"/>
      <c r="AS476" s="248"/>
      <c r="AT476" s="248"/>
      <c r="AU476" s="156"/>
      <c r="BA476" s="28"/>
      <c r="BL476" s="28"/>
      <c r="BP476" s="31"/>
      <c r="BQ476" s="31"/>
      <c r="BR476" s="31"/>
      <c r="BS476" s="31"/>
      <c r="BT476" s="31"/>
      <c r="BU476" s="31"/>
      <c r="BV476" s="31"/>
      <c r="BW476" s="31"/>
      <c r="BX476" s="31"/>
    </row>
    <row r="477" spans="3:76" s="28" customFormat="1" ht="17.100000000000001" hidden="1" customHeight="1" outlineLevel="1">
      <c r="C477" s="518" t="str">
        <f>D70</f>
        <v>Ventilatoren Rückkühler/Verflüssiger</v>
      </c>
      <c r="D477" s="241"/>
      <c r="E477" s="241"/>
      <c r="F477" s="241"/>
      <c r="G477" s="241"/>
      <c r="H477" s="241"/>
      <c r="I477" s="241"/>
      <c r="J477" s="241"/>
      <c r="K477" s="241"/>
      <c r="L477" s="241"/>
      <c r="M477" s="241"/>
      <c r="N477" s="241"/>
      <c r="O477" s="241"/>
      <c r="P477" s="241"/>
      <c r="Q477" s="241"/>
      <c r="R477" s="241"/>
      <c r="S477" s="241"/>
      <c r="T477" s="241"/>
      <c r="U477" s="1446" t="s">
        <v>117</v>
      </c>
      <c r="V477" s="1446"/>
      <c r="W477" s="1446"/>
      <c r="X477" s="55"/>
      <c r="Y477" s="1446" t="s">
        <v>120</v>
      </c>
      <c r="Z477" s="1446"/>
      <c r="AA477" s="1446"/>
      <c r="AB477" s="55"/>
      <c r="AC477" s="1446" t="s">
        <v>121</v>
      </c>
      <c r="AD477" s="1446"/>
      <c r="AE477" s="1446"/>
      <c r="AF477" s="55"/>
      <c r="AG477" s="1446" t="s">
        <v>122</v>
      </c>
      <c r="AH477" s="1446"/>
      <c r="AI477" s="1446"/>
      <c r="AJ477" s="155"/>
      <c r="AK477" s="155"/>
      <c r="AL477" s="155"/>
      <c r="AM477" s="155"/>
      <c r="AN477" s="155"/>
      <c r="AO477" s="155"/>
      <c r="AP477" s="248"/>
      <c r="AS477" s="1446" t="s">
        <v>117</v>
      </c>
      <c r="AT477" s="1446"/>
      <c r="AU477" s="1446"/>
      <c r="AV477" s="55"/>
      <c r="AW477" s="1446" t="s">
        <v>120</v>
      </c>
      <c r="AX477" s="1446"/>
      <c r="AY477" s="1446"/>
      <c r="AZ477" s="55"/>
      <c r="BA477" s="1446" t="s">
        <v>121</v>
      </c>
      <c r="BB477" s="1446"/>
      <c r="BC477" s="1446"/>
      <c r="BD477" s="55"/>
      <c r="BE477" s="1446" t="s">
        <v>122</v>
      </c>
      <c r="BF477" s="1446"/>
      <c r="BG477" s="1446"/>
      <c r="BH477" s="242"/>
      <c r="BI477" s="242"/>
      <c r="BJ477" s="242"/>
      <c r="BK477" s="242"/>
    </row>
    <row r="478" spans="3:76" s="28" customFormat="1" ht="17.100000000000001" hidden="1" customHeight="1" outlineLevel="1">
      <c r="C478" s="489"/>
      <c r="D478" s="241" t="str">
        <f>D458</f>
        <v>ein/aus</v>
      </c>
      <c r="E478" s="241"/>
      <c r="F478" s="241"/>
      <c r="G478" s="241"/>
      <c r="H478" s="241"/>
      <c r="I478" s="241"/>
      <c r="J478" s="241"/>
      <c r="K478" s="241"/>
      <c r="L478" s="241"/>
      <c r="M478" s="241"/>
      <c r="N478" s="241"/>
      <c r="O478" s="241"/>
      <c r="P478" s="241"/>
      <c r="Q478" s="241"/>
      <c r="R478" s="241"/>
      <c r="S478" s="241"/>
      <c r="T478" s="241"/>
      <c r="U478" s="1447">
        <v>0</v>
      </c>
      <c r="V478" s="1447"/>
      <c r="W478" s="1447"/>
      <c r="X478" s="249"/>
      <c r="Y478" s="1447">
        <v>0</v>
      </c>
      <c r="Z478" s="1447"/>
      <c r="AA478" s="1447"/>
      <c r="AB478" s="249"/>
      <c r="AC478" s="1447">
        <v>0</v>
      </c>
      <c r="AD478" s="1447"/>
      <c r="AE478" s="1447"/>
      <c r="AF478" s="249"/>
      <c r="AG478" s="1447">
        <v>0</v>
      </c>
      <c r="AH478" s="1447"/>
      <c r="AI478" s="1447"/>
      <c r="AJ478" s="155"/>
      <c r="AK478" s="155"/>
      <c r="AL478" s="155"/>
      <c r="AM478" s="155"/>
      <c r="AN478" s="155"/>
      <c r="AO478" s="155"/>
      <c r="AP478" s="248"/>
      <c r="AS478" s="1446">
        <f>U478</f>
        <v>0</v>
      </c>
      <c r="AT478" s="1446"/>
      <c r="AU478" s="1446"/>
      <c r="AV478" s="55"/>
      <c r="AW478" s="1446">
        <f>Y478</f>
        <v>0</v>
      </c>
      <c r="AX478" s="1446"/>
      <c r="AY478" s="1446"/>
      <c r="AZ478" s="55"/>
      <c r="BA478" s="1446">
        <f>AC478</f>
        <v>0</v>
      </c>
      <c r="BB478" s="1446"/>
      <c r="BC478" s="1446"/>
      <c r="BD478" s="55"/>
      <c r="BE478" s="1446">
        <f>AG478</f>
        <v>0</v>
      </c>
      <c r="BF478" s="1446"/>
      <c r="BG478" s="1446"/>
      <c r="BH478" s="242"/>
      <c r="BI478" s="242"/>
      <c r="BJ478" s="242"/>
      <c r="BK478" s="242"/>
    </row>
    <row r="479" spans="3:76" s="28" customFormat="1" ht="17.100000000000001" hidden="1" customHeight="1" outlineLevel="1">
      <c r="C479" s="489"/>
      <c r="D479" s="241" t="str">
        <f>AF440</f>
        <v>bedarfsgerechte Ansteuerung (FU/EC-modulierbar)</v>
      </c>
      <c r="E479" s="241"/>
      <c r="F479" s="241"/>
      <c r="G479" s="241"/>
      <c r="H479" s="241"/>
      <c r="I479" s="241"/>
      <c r="J479" s="241"/>
      <c r="K479" s="241"/>
      <c r="L479" s="241"/>
      <c r="M479" s="241"/>
      <c r="N479" s="241"/>
      <c r="O479" s="241"/>
      <c r="P479" s="241"/>
      <c r="Q479" s="241"/>
      <c r="R479" s="241"/>
      <c r="S479" s="241"/>
      <c r="T479" s="241"/>
      <c r="U479" s="1447">
        <v>0.3</v>
      </c>
      <c r="V479" s="1447"/>
      <c r="W479" s="1447"/>
      <c r="X479" s="249"/>
      <c r="Y479" s="1447">
        <v>0</v>
      </c>
      <c r="Z479" s="1447"/>
      <c r="AA479" s="1447"/>
      <c r="AB479" s="249"/>
      <c r="AC479" s="1447">
        <v>0.3</v>
      </c>
      <c r="AD479" s="1447"/>
      <c r="AE479" s="1447"/>
      <c r="AF479" s="249"/>
      <c r="AG479" s="1447">
        <v>0.5</v>
      </c>
      <c r="AH479" s="1447"/>
      <c r="AI479" s="1447"/>
      <c r="AJ479" s="155"/>
      <c r="AK479" s="155"/>
      <c r="AL479" s="155"/>
      <c r="AM479" s="155"/>
      <c r="AN479" s="155"/>
      <c r="AO479" s="155"/>
      <c r="AP479" s="248"/>
      <c r="AS479" s="1446">
        <f>U479</f>
        <v>0.3</v>
      </c>
      <c r="AT479" s="1446"/>
      <c r="AU479" s="1446"/>
      <c r="AV479" s="55"/>
      <c r="AW479" s="1446">
        <f>Y479</f>
        <v>0</v>
      </c>
      <c r="AX479" s="1446"/>
      <c r="AY479" s="1446"/>
      <c r="AZ479" s="55"/>
      <c r="BA479" s="1446">
        <f>AC479</f>
        <v>0.3</v>
      </c>
      <c r="BB479" s="1446"/>
      <c r="BC479" s="1446"/>
      <c r="BD479" s="55"/>
      <c r="BE479" s="1446">
        <f>AG479</f>
        <v>0.5</v>
      </c>
      <c r="BF479" s="1446"/>
      <c r="BG479" s="1446"/>
      <c r="BH479" s="242"/>
      <c r="BI479" s="242"/>
      <c r="BJ479" s="242"/>
      <c r="BK479" s="242"/>
    </row>
    <row r="480" spans="3:76" s="28" customFormat="1" ht="17.100000000000001" hidden="1" customHeight="1" outlineLevel="1">
      <c r="C480" s="489"/>
      <c r="D480" s="241"/>
      <c r="E480" s="241"/>
      <c r="F480" s="241"/>
      <c r="G480" s="241"/>
      <c r="H480" s="241"/>
      <c r="I480" s="241"/>
      <c r="J480" s="241"/>
      <c r="K480" s="241"/>
      <c r="L480" s="241"/>
      <c r="M480" s="241"/>
      <c r="N480" s="241"/>
      <c r="O480" s="241"/>
      <c r="P480" s="241"/>
      <c r="Q480" s="241"/>
      <c r="R480" s="241"/>
      <c r="S480" s="241"/>
      <c r="T480" s="241"/>
      <c r="U480" s="243"/>
      <c r="V480" s="243"/>
      <c r="W480" s="243"/>
      <c r="X480" s="55"/>
      <c r="Y480" s="243"/>
      <c r="Z480" s="243"/>
      <c r="AA480" s="243"/>
      <c r="AB480" s="55"/>
      <c r="AC480" s="243"/>
      <c r="AD480" s="243"/>
      <c r="AE480" s="243"/>
      <c r="AF480" s="55"/>
      <c r="AG480" s="243"/>
      <c r="AH480" s="243"/>
      <c r="AI480" s="243"/>
      <c r="AJ480" s="155"/>
      <c r="AK480" s="155"/>
      <c r="AL480" s="155"/>
      <c r="AM480" s="155"/>
      <c r="AN480" s="155"/>
      <c r="AO480" s="155"/>
      <c r="AP480" s="248"/>
      <c r="AQ480" s="55"/>
      <c r="AR480" s="55"/>
      <c r="AS480" s="243"/>
      <c r="AT480" s="243"/>
      <c r="AU480" s="243"/>
      <c r="AV480" s="55"/>
      <c r="AW480" s="243"/>
      <c r="AX480" s="243"/>
      <c r="AY480" s="243"/>
      <c r="AZ480" s="55"/>
      <c r="BA480" s="243"/>
      <c r="BB480" s="243"/>
      <c r="BC480" s="243"/>
      <c r="BD480" s="55"/>
      <c r="BE480" s="243"/>
      <c r="BF480" s="243"/>
      <c r="BG480" s="243"/>
      <c r="BH480" s="242"/>
      <c r="BI480" s="242"/>
      <c r="BJ480" s="242"/>
      <c r="BK480" s="242"/>
    </row>
    <row r="481" spans="3:76" s="28" customFormat="1" ht="17.100000000000001" hidden="1" customHeight="1" outlineLevel="1">
      <c r="C481" s="489"/>
      <c r="D481" s="244" t="s">
        <v>143</v>
      </c>
      <c r="E481" s="241"/>
      <c r="F481" s="241"/>
      <c r="G481" s="241"/>
      <c r="H481" s="241"/>
      <c r="I481" s="241"/>
      <c r="J481" s="241"/>
      <c r="K481" s="241"/>
      <c r="L481" s="241"/>
      <c r="M481" s="241"/>
      <c r="N481" s="241"/>
      <c r="O481" s="241"/>
      <c r="P481" s="241"/>
      <c r="Q481" s="241"/>
      <c r="R481" s="241"/>
      <c r="S481" s="241"/>
      <c r="T481" s="241"/>
      <c r="U481" s="1530">
        <f>W70</f>
        <v>0</v>
      </c>
      <c r="V481" s="1530"/>
      <c r="W481" s="1530"/>
      <c r="X481" s="1530"/>
      <c r="Y481" s="1530"/>
      <c r="Z481" s="1530"/>
      <c r="AA481" s="1530"/>
      <c r="AB481" s="1530"/>
      <c r="AC481" s="1530"/>
      <c r="AD481" s="1530"/>
      <c r="AE481" s="1530"/>
      <c r="AF481" s="1530"/>
      <c r="AG481" s="1530"/>
      <c r="AH481" s="1530"/>
      <c r="AI481" s="1530"/>
      <c r="AJ481" s="242"/>
      <c r="AK481" s="242"/>
      <c r="AL481" s="242"/>
      <c r="AM481" s="242"/>
      <c r="AN481" s="242"/>
      <c r="AO481" s="242"/>
      <c r="AP481" s="242"/>
      <c r="AQ481" s="242"/>
      <c r="AR481" s="242"/>
      <c r="AS481" s="1530">
        <f>AU70</f>
        <v>0</v>
      </c>
      <c r="AT481" s="1530"/>
      <c r="AU481" s="1530"/>
      <c r="AV481" s="1530"/>
      <c r="AW481" s="1530"/>
      <c r="AX481" s="1530"/>
      <c r="AY481" s="1530"/>
      <c r="AZ481" s="1530"/>
      <c r="BA481" s="1530"/>
      <c r="BB481" s="1530"/>
      <c r="BC481" s="1530"/>
      <c r="BD481" s="1530"/>
      <c r="BE481" s="1530"/>
      <c r="BF481" s="1530"/>
      <c r="BG481" s="1530"/>
      <c r="BH481" s="242"/>
      <c r="BI481" s="242"/>
      <c r="BJ481" s="242"/>
      <c r="BK481" s="242"/>
    </row>
    <row r="482" spans="3:76" s="155" customFormat="1" ht="17.100000000000001" hidden="1" customHeight="1" outlineLevel="1">
      <c r="C482" s="489"/>
      <c r="D482" s="227" t="s">
        <v>153</v>
      </c>
      <c r="N482" s="240"/>
      <c r="O482" s="240"/>
      <c r="P482" s="240"/>
      <c r="Q482" s="240"/>
      <c r="R482" s="240"/>
      <c r="S482" s="240"/>
      <c r="T482" s="240"/>
      <c r="U482" s="1531">
        <f>IF($D479=$U481,U479,U478)</f>
        <v>0</v>
      </c>
      <c r="V482" s="1531"/>
      <c r="W482" s="1531"/>
      <c r="X482" s="55"/>
      <c r="Y482" s="1531">
        <f>IF($D479=$U481,Y479,Y478)</f>
        <v>0</v>
      </c>
      <c r="Z482" s="1531"/>
      <c r="AA482" s="1531"/>
      <c r="AB482" s="55"/>
      <c r="AC482" s="1531">
        <f>IF($D479=$U481,AC479,AC478)</f>
        <v>0</v>
      </c>
      <c r="AD482" s="1531"/>
      <c r="AE482" s="1531"/>
      <c r="AF482" s="55"/>
      <c r="AG482" s="1531">
        <f>IF($D479=$U481,AG479,AG478)</f>
        <v>0</v>
      </c>
      <c r="AH482" s="1531"/>
      <c r="AI482" s="1531"/>
      <c r="AJ482" s="242"/>
      <c r="AK482" s="1532">
        <f>IF(AK483=0,0,1-AK484/AK483)</f>
        <v>0</v>
      </c>
      <c r="AL482" s="1532"/>
      <c r="AM482" s="1532"/>
      <c r="AN482" s="1532"/>
      <c r="AO482" s="1532"/>
      <c r="AP482" s="242"/>
      <c r="AQ482" s="242"/>
      <c r="AR482" s="242"/>
      <c r="AS482" s="1531">
        <f>IF($D479=$AS481,AS479,AS478)</f>
        <v>0</v>
      </c>
      <c r="AT482" s="1531"/>
      <c r="AU482" s="1531"/>
      <c r="AV482" s="55"/>
      <c r="AW482" s="1531">
        <f>IF($D479=$AS481,AW479,AW478)</f>
        <v>0</v>
      </c>
      <c r="AX482" s="1531"/>
      <c r="AY482" s="1531"/>
      <c r="AZ482" s="55"/>
      <c r="BA482" s="1531">
        <f>IF($D479=$AS481,BA479,BA478)</f>
        <v>0</v>
      </c>
      <c r="BB482" s="1531"/>
      <c r="BC482" s="1531"/>
      <c r="BD482" s="55"/>
      <c r="BE482" s="1531">
        <f>IF($D479=$AS481,BE479,BE478)</f>
        <v>0</v>
      </c>
      <c r="BF482" s="1531"/>
      <c r="BG482" s="1531"/>
      <c r="BH482" s="242"/>
      <c r="BI482" s="1532">
        <f>IF(BI483=0,0,1-BI484/BI483)</f>
        <v>0</v>
      </c>
      <c r="BJ482" s="1532"/>
      <c r="BK482" s="1532"/>
      <c r="BL482" s="28"/>
      <c r="BP482" s="28"/>
      <c r="BQ482" s="28"/>
      <c r="BR482" s="28"/>
      <c r="BS482" s="28"/>
      <c r="BT482" s="28"/>
      <c r="BU482" s="28"/>
      <c r="BV482" s="28"/>
      <c r="BW482" s="28"/>
      <c r="BX482" s="28"/>
    </row>
    <row r="483" spans="3:76" s="28" customFormat="1" ht="17.100000000000001" hidden="1" customHeight="1" outlineLevel="1">
      <c r="C483" s="489"/>
      <c r="D483" s="241" t="s">
        <v>154</v>
      </c>
      <c r="E483" s="241"/>
      <c r="F483" s="241"/>
      <c r="G483" s="241"/>
      <c r="H483" s="241"/>
      <c r="I483" s="241"/>
      <c r="J483" s="241"/>
      <c r="K483" s="241"/>
      <c r="L483" s="241"/>
      <c r="M483" s="241"/>
      <c r="N483" s="241"/>
      <c r="O483" s="241"/>
      <c r="P483" s="241" t="s">
        <v>118</v>
      </c>
      <c r="Q483" s="241"/>
      <c r="R483" s="241"/>
      <c r="S483" s="241"/>
      <c r="T483" s="241"/>
      <c r="U483" s="1488">
        <f>U$463</f>
        <v>0</v>
      </c>
      <c r="V483" s="1488"/>
      <c r="W483" s="1488"/>
      <c r="X483" s="55"/>
      <c r="Y483" s="1488">
        <f>Y$463</f>
        <v>0</v>
      </c>
      <c r="Z483" s="1488"/>
      <c r="AA483" s="1488"/>
      <c r="AB483" s="55"/>
      <c r="AC483" s="1488">
        <f>AC$463</f>
        <v>0</v>
      </c>
      <c r="AD483" s="1488"/>
      <c r="AE483" s="1488"/>
      <c r="AF483" s="55"/>
      <c r="AG483" s="1488">
        <f>AG$463</f>
        <v>0</v>
      </c>
      <c r="AH483" s="1488"/>
      <c r="AI483" s="1488"/>
      <c r="AJ483" s="242"/>
      <c r="AK483" s="1488">
        <f>SUM(U483:AI483)</f>
        <v>0</v>
      </c>
      <c r="AL483" s="1488"/>
      <c r="AM483" s="1488"/>
      <c r="AN483" s="1488"/>
      <c r="AO483" s="1488"/>
      <c r="AP483" s="242"/>
      <c r="AQ483" s="242"/>
      <c r="AR483" s="242"/>
      <c r="AS483" s="1488">
        <f>AS$463</f>
        <v>0</v>
      </c>
      <c r="AT483" s="1488"/>
      <c r="AU483" s="1488"/>
      <c r="AV483" s="55"/>
      <c r="AW483" s="1488">
        <f>AW$463</f>
        <v>0</v>
      </c>
      <c r="AX483" s="1488"/>
      <c r="AY483" s="1488"/>
      <c r="AZ483" s="55"/>
      <c r="BA483" s="1488">
        <f>BA$463</f>
        <v>0</v>
      </c>
      <c r="BB483" s="1488"/>
      <c r="BC483" s="1488"/>
      <c r="BD483" s="55"/>
      <c r="BE483" s="1488">
        <f>BE$463</f>
        <v>0</v>
      </c>
      <c r="BF483" s="1488"/>
      <c r="BG483" s="1488"/>
      <c r="BH483" s="242"/>
      <c r="BI483" s="1488">
        <f>SUM(AS483:BG483)</f>
        <v>0</v>
      </c>
      <c r="BJ483" s="1488"/>
      <c r="BK483" s="1488"/>
    </row>
    <row r="484" spans="3:76" s="155" customFormat="1" ht="17.100000000000001" hidden="1" customHeight="1" outlineLevel="1">
      <c r="C484" s="489"/>
      <c r="D484" s="241" t="s">
        <v>155</v>
      </c>
      <c r="E484" s="241"/>
      <c r="F484" s="241"/>
      <c r="G484" s="241"/>
      <c r="H484" s="241"/>
      <c r="I484" s="241"/>
      <c r="J484" s="241"/>
      <c r="K484" s="241"/>
      <c r="L484" s="241"/>
      <c r="M484" s="241"/>
      <c r="N484" s="240"/>
      <c r="O484" s="240"/>
      <c r="P484" s="241" t="s">
        <v>118</v>
      </c>
      <c r="Q484" s="240"/>
      <c r="R484" s="240"/>
      <c r="S484" s="240"/>
      <c r="T484" s="240"/>
      <c r="U484" s="1489">
        <f>U483-U482*U483</f>
        <v>0</v>
      </c>
      <c r="V484" s="1489"/>
      <c r="W484" s="1489"/>
      <c r="X484" s="245"/>
      <c r="Y484" s="1489">
        <f>Y483-Y482*Y483</f>
        <v>0</v>
      </c>
      <c r="Z484" s="1489"/>
      <c r="AA484" s="1489"/>
      <c r="AB484" s="245"/>
      <c r="AC484" s="1489">
        <f>AC483-AC482*AC483</f>
        <v>0</v>
      </c>
      <c r="AD484" s="1489"/>
      <c r="AE484" s="1489"/>
      <c r="AF484" s="245"/>
      <c r="AG484" s="1489">
        <f>AG483-AG482*AG483</f>
        <v>0</v>
      </c>
      <c r="AH484" s="1489"/>
      <c r="AI484" s="1489"/>
      <c r="AJ484" s="61"/>
      <c r="AK484" s="1489">
        <f>SUM(U484:AI484)</f>
        <v>0</v>
      </c>
      <c r="AL484" s="1489"/>
      <c r="AM484" s="1489"/>
      <c r="AN484" s="1489"/>
      <c r="AO484" s="1489"/>
      <c r="AP484" s="156"/>
      <c r="AQ484" s="242"/>
      <c r="AR484" s="242"/>
      <c r="AS484" s="1490">
        <f>AS483-AS482*AS483</f>
        <v>0</v>
      </c>
      <c r="AT484" s="1490"/>
      <c r="AU484" s="1490"/>
      <c r="AV484" s="246"/>
      <c r="AW484" s="1490">
        <f>AW483-AW482*AW483</f>
        <v>0</v>
      </c>
      <c r="AX484" s="1490"/>
      <c r="AY484" s="1490"/>
      <c r="AZ484" s="246"/>
      <c r="BA484" s="1490">
        <f>BA483-BA482*BA483</f>
        <v>0</v>
      </c>
      <c r="BB484" s="1490"/>
      <c r="BC484" s="1490"/>
      <c r="BD484" s="246"/>
      <c r="BE484" s="1490">
        <f>BE483-BE482*BE483</f>
        <v>0</v>
      </c>
      <c r="BF484" s="1490"/>
      <c r="BG484" s="1490"/>
      <c r="BH484" s="156"/>
      <c r="BI484" s="1490">
        <f>SUM(AS484:BG484)</f>
        <v>0</v>
      </c>
      <c r="BJ484" s="1490"/>
      <c r="BK484" s="1490"/>
      <c r="BL484" s="28"/>
      <c r="BP484" s="31"/>
      <c r="BQ484" s="31"/>
      <c r="BR484" s="31"/>
      <c r="BS484" s="31"/>
      <c r="BT484" s="31"/>
      <c r="BU484" s="31"/>
      <c r="BV484" s="31"/>
      <c r="BW484" s="31"/>
      <c r="BX484" s="31"/>
    </row>
    <row r="485" spans="3:76" s="155" customFormat="1" ht="17.100000000000001" hidden="1" customHeight="1" outlineLevel="1">
      <c r="C485" s="494"/>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c r="AA485" s="247"/>
      <c r="AB485" s="247"/>
      <c r="AC485" s="247"/>
      <c r="AD485" s="247"/>
      <c r="AE485" s="247"/>
      <c r="AP485" s="248"/>
      <c r="AQ485" s="248"/>
      <c r="AR485" s="248"/>
      <c r="AS485" s="248"/>
      <c r="AT485" s="248"/>
      <c r="AU485" s="156"/>
      <c r="BA485" s="28"/>
      <c r="BL485" s="28"/>
      <c r="BP485" s="31"/>
      <c r="BQ485" s="31"/>
      <c r="BR485" s="31"/>
      <c r="BS485" s="31"/>
      <c r="BT485" s="31"/>
      <c r="BU485" s="31"/>
      <c r="BV485" s="31"/>
      <c r="BW485" s="31"/>
      <c r="BX485" s="31"/>
    </row>
    <row r="486" spans="3:76" s="155" customFormat="1" ht="17.100000000000001" hidden="1" customHeight="1" outlineLevel="1">
      <c r="C486" s="494" t="s">
        <v>960</v>
      </c>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c r="AA486" s="247"/>
      <c r="AB486" s="247"/>
      <c r="AC486" s="247"/>
      <c r="AD486" s="247"/>
      <c r="AE486" s="247"/>
      <c r="AP486" s="248"/>
      <c r="AQ486" s="248"/>
      <c r="AR486" s="248"/>
      <c r="AS486" s="248"/>
      <c r="AT486" s="248"/>
      <c r="AU486" s="156"/>
      <c r="BA486" s="28"/>
      <c r="BL486" s="28"/>
      <c r="BP486" s="28"/>
      <c r="BQ486" s="28"/>
      <c r="BR486" s="28"/>
      <c r="BS486" s="28"/>
      <c r="BT486" s="28"/>
      <c r="BU486" s="28"/>
      <c r="BV486" s="28"/>
      <c r="BW486" s="28"/>
      <c r="BX486" s="28"/>
    </row>
    <row r="487" spans="3:76" s="28" customFormat="1" ht="17.100000000000001" hidden="1" customHeight="1" outlineLevel="1">
      <c r="C487" s="518">
        <f>D72</f>
        <v>0</v>
      </c>
      <c r="D487" s="241"/>
      <c r="E487" s="241"/>
      <c r="F487" s="241"/>
      <c r="G487" s="241"/>
      <c r="H487" s="241"/>
      <c r="I487" s="241"/>
      <c r="J487" s="241"/>
      <c r="K487" s="241"/>
      <c r="L487" s="241"/>
      <c r="M487" s="241"/>
      <c r="N487" s="241"/>
      <c r="O487" s="241"/>
      <c r="P487" s="241"/>
      <c r="Q487" s="241"/>
      <c r="R487" s="241"/>
      <c r="S487" s="241"/>
      <c r="T487" s="241"/>
      <c r="U487" s="1446" t="s">
        <v>117</v>
      </c>
      <c r="V487" s="1446"/>
      <c r="W487" s="1446"/>
      <c r="X487" s="55"/>
      <c r="Y487" s="1446" t="s">
        <v>120</v>
      </c>
      <c r="Z487" s="1446"/>
      <c r="AA487" s="1446"/>
      <c r="AB487" s="55"/>
      <c r="AC487" s="1446" t="s">
        <v>121</v>
      </c>
      <c r="AD487" s="1446"/>
      <c r="AE487" s="1446"/>
      <c r="AF487" s="55"/>
      <c r="AG487" s="1446" t="s">
        <v>122</v>
      </c>
      <c r="AH487" s="1446"/>
      <c r="AI487" s="1446"/>
      <c r="AJ487" s="155"/>
      <c r="AK487" s="155"/>
      <c r="AL487" s="155"/>
      <c r="AM487" s="155"/>
      <c r="AN487" s="155"/>
      <c r="AO487" s="155"/>
      <c r="AS487" s="1446" t="s">
        <v>117</v>
      </c>
      <c r="AT487" s="1446"/>
      <c r="AU487" s="1446"/>
      <c r="AV487" s="55"/>
      <c r="AW487" s="1446" t="s">
        <v>120</v>
      </c>
      <c r="AX487" s="1446"/>
      <c r="AY487" s="1446"/>
      <c r="AZ487" s="55"/>
      <c r="BA487" s="1446" t="s">
        <v>121</v>
      </c>
      <c r="BB487" s="1446"/>
      <c r="BC487" s="1446"/>
      <c r="BD487" s="55"/>
      <c r="BE487" s="1446" t="s">
        <v>122</v>
      </c>
      <c r="BF487" s="1446"/>
      <c r="BG487" s="1446"/>
      <c r="BP487" s="31"/>
      <c r="BQ487" s="31"/>
      <c r="BR487" s="31"/>
      <c r="BS487" s="31"/>
      <c r="BT487" s="31"/>
      <c r="BU487" s="31"/>
      <c r="BV487" s="31"/>
      <c r="BW487" s="31"/>
      <c r="BX487" s="31"/>
    </row>
    <row r="488" spans="3:76" s="28" customFormat="1" ht="17.100000000000001" hidden="1" customHeight="1" outlineLevel="1">
      <c r="C488" s="489"/>
      <c r="D488" s="241" t="str">
        <f>D458</f>
        <v>ein/aus</v>
      </c>
      <c r="E488" s="241"/>
      <c r="F488" s="241"/>
      <c r="G488" s="241"/>
      <c r="H488" s="241"/>
      <c r="I488" s="241"/>
      <c r="J488" s="241"/>
      <c r="K488" s="241"/>
      <c r="L488" s="241"/>
      <c r="M488" s="241"/>
      <c r="N488" s="241"/>
      <c r="O488" s="241"/>
      <c r="P488" s="241"/>
      <c r="Q488" s="241"/>
      <c r="R488" s="241"/>
      <c r="S488" s="241"/>
      <c r="T488" s="241"/>
      <c r="U488" s="1447">
        <v>0</v>
      </c>
      <c r="V488" s="1447"/>
      <c r="W488" s="1447"/>
      <c r="X488" s="249"/>
      <c r="Y488" s="1447">
        <v>0</v>
      </c>
      <c r="Z488" s="1447"/>
      <c r="AA488" s="1447"/>
      <c r="AB488" s="249"/>
      <c r="AC488" s="1447">
        <v>0</v>
      </c>
      <c r="AD488" s="1447"/>
      <c r="AE488" s="1447"/>
      <c r="AF488" s="249"/>
      <c r="AG488" s="1447">
        <v>0</v>
      </c>
      <c r="AH488" s="1447"/>
      <c r="AI488" s="1447"/>
      <c r="AJ488" s="155"/>
      <c r="AK488" s="155"/>
      <c r="AL488" s="155"/>
      <c r="AM488" s="155"/>
      <c r="AN488" s="155"/>
      <c r="AO488" s="155"/>
      <c r="AS488" s="1446">
        <f>U488</f>
        <v>0</v>
      </c>
      <c r="AT488" s="1446"/>
      <c r="AU488" s="1446"/>
      <c r="AV488" s="55"/>
      <c r="AW488" s="1446">
        <f>Y488</f>
        <v>0</v>
      </c>
      <c r="AX488" s="1446"/>
      <c r="AY488" s="1446"/>
      <c r="AZ488" s="55"/>
      <c r="BA488" s="1446">
        <f>AC488</f>
        <v>0</v>
      </c>
      <c r="BB488" s="1446"/>
      <c r="BC488" s="1446"/>
      <c r="BD488" s="55"/>
      <c r="BE488" s="1446">
        <f>AG488</f>
        <v>0</v>
      </c>
      <c r="BF488" s="1446"/>
      <c r="BG488" s="1446"/>
      <c r="BP488" s="31"/>
      <c r="BQ488" s="31"/>
      <c r="BR488" s="31"/>
      <c r="BS488" s="31"/>
      <c r="BT488" s="31"/>
      <c r="BU488" s="31"/>
      <c r="BV488" s="31"/>
      <c r="BW488" s="31"/>
      <c r="BX488" s="31"/>
    </row>
    <row r="489" spans="3:76" s="28" customFormat="1" ht="17.100000000000001" hidden="1" customHeight="1" outlineLevel="1">
      <c r="C489" s="489"/>
      <c r="D489" s="241" t="str">
        <f>D479</f>
        <v>bedarfsgerechte Ansteuerung (FU/EC-modulierbar)</v>
      </c>
      <c r="E489" s="241"/>
      <c r="F489" s="241"/>
      <c r="G489" s="241"/>
      <c r="H489" s="241"/>
      <c r="I489" s="241"/>
      <c r="J489" s="241"/>
      <c r="K489" s="241"/>
      <c r="L489" s="241"/>
      <c r="M489" s="241"/>
      <c r="N489" s="241"/>
      <c r="O489" s="241"/>
      <c r="P489" s="241"/>
      <c r="Q489" s="241"/>
      <c r="R489" s="241"/>
      <c r="S489" s="241"/>
      <c r="T489" s="241"/>
      <c r="U489" s="1447">
        <v>0.3</v>
      </c>
      <c r="V489" s="1447"/>
      <c r="W489" s="1447"/>
      <c r="X489" s="249"/>
      <c r="Y489" s="1447">
        <v>0</v>
      </c>
      <c r="Z489" s="1447"/>
      <c r="AA489" s="1447"/>
      <c r="AB489" s="249"/>
      <c r="AC489" s="1447">
        <v>0.3</v>
      </c>
      <c r="AD489" s="1447"/>
      <c r="AE489" s="1447"/>
      <c r="AF489" s="249"/>
      <c r="AG489" s="1447">
        <v>0.5</v>
      </c>
      <c r="AH489" s="1447"/>
      <c r="AI489" s="1447"/>
      <c r="AJ489" s="155"/>
      <c r="AK489" s="155"/>
      <c r="AL489" s="155"/>
      <c r="AM489" s="155"/>
      <c r="AN489" s="155"/>
      <c r="AO489" s="155"/>
      <c r="AS489" s="1446">
        <f>U489</f>
        <v>0.3</v>
      </c>
      <c r="AT489" s="1446"/>
      <c r="AU489" s="1446"/>
      <c r="AV489" s="55"/>
      <c r="AW489" s="1446">
        <f>Y489</f>
        <v>0</v>
      </c>
      <c r="AX489" s="1446"/>
      <c r="AY489" s="1446"/>
      <c r="AZ489" s="55"/>
      <c r="BA489" s="1446">
        <f>AC489</f>
        <v>0.3</v>
      </c>
      <c r="BB489" s="1446"/>
      <c r="BC489" s="1446"/>
      <c r="BD489" s="55"/>
      <c r="BE489" s="1446">
        <f>AG489</f>
        <v>0.5</v>
      </c>
      <c r="BF489" s="1446"/>
      <c r="BG489" s="1446"/>
      <c r="BP489" s="31"/>
      <c r="BQ489" s="31"/>
      <c r="BR489" s="31"/>
      <c r="BS489" s="31"/>
      <c r="BT489" s="31"/>
      <c r="BU489" s="31"/>
      <c r="BV489" s="31"/>
      <c r="BW489" s="31"/>
      <c r="BX489" s="31"/>
    </row>
    <row r="490" spans="3:76" s="155" customFormat="1" ht="17.100000000000001" hidden="1" customHeight="1" outlineLevel="1">
      <c r="C490" s="494"/>
      <c r="D490" s="156"/>
      <c r="E490" s="156"/>
      <c r="F490" s="156"/>
      <c r="G490" s="156"/>
      <c r="H490" s="156"/>
      <c r="I490" s="156"/>
      <c r="J490" s="156"/>
      <c r="K490" s="156"/>
      <c r="L490" s="156"/>
      <c r="M490" s="156"/>
      <c r="N490" s="156"/>
      <c r="O490" s="156"/>
      <c r="P490" s="156"/>
      <c r="Q490" s="156"/>
      <c r="R490" s="156"/>
      <c r="S490" s="156"/>
      <c r="T490" s="156"/>
      <c r="U490" s="1446"/>
      <c r="V490" s="1446"/>
      <c r="W490" s="1446"/>
      <c r="X490" s="55"/>
      <c r="Y490" s="1446"/>
      <c r="Z490" s="1446"/>
      <c r="AA490" s="1446"/>
      <c r="AB490" s="55"/>
      <c r="AC490" s="1446"/>
      <c r="AD490" s="1446"/>
      <c r="AE490" s="1446"/>
      <c r="AF490" s="55"/>
      <c r="AG490" s="1446"/>
      <c r="AH490" s="1446"/>
      <c r="AI490" s="1446"/>
      <c r="AP490" s="248"/>
      <c r="AQ490" s="248"/>
      <c r="AR490" s="248"/>
      <c r="AS490" s="248"/>
      <c r="AT490" s="248"/>
      <c r="AU490" s="156"/>
      <c r="BA490" s="28"/>
      <c r="BL490" s="28"/>
      <c r="BP490" s="31"/>
      <c r="BQ490" s="31"/>
      <c r="BR490" s="31"/>
      <c r="BS490" s="31"/>
      <c r="BT490" s="31"/>
      <c r="BU490" s="31"/>
      <c r="BV490" s="31"/>
      <c r="BW490" s="31"/>
      <c r="BX490" s="31"/>
    </row>
    <row r="491" spans="3:76" s="28" customFormat="1" ht="17.100000000000001" hidden="1" customHeight="1" outlineLevel="1">
      <c r="C491" s="489"/>
      <c r="D491" s="244" t="s">
        <v>143</v>
      </c>
      <c r="E491" s="241"/>
      <c r="F491" s="241"/>
      <c r="G491" s="241"/>
      <c r="H491" s="241"/>
      <c r="I491" s="241"/>
      <c r="J491" s="241"/>
      <c r="K491" s="241"/>
      <c r="L491" s="241"/>
      <c r="M491" s="241"/>
      <c r="N491" s="241"/>
      <c r="O491" s="241"/>
      <c r="P491" s="241"/>
      <c r="Q491" s="241"/>
      <c r="R491" s="241"/>
      <c r="S491" s="241"/>
      <c r="T491" s="241"/>
      <c r="U491" s="1530">
        <f>W72</f>
        <v>0</v>
      </c>
      <c r="V491" s="1530"/>
      <c r="W491" s="1530"/>
      <c r="X491" s="1530"/>
      <c r="Y491" s="1530"/>
      <c r="Z491" s="1530"/>
      <c r="AA491" s="1530"/>
      <c r="AB491" s="1530"/>
      <c r="AC491" s="1530"/>
      <c r="AD491" s="1530"/>
      <c r="AE491" s="1530"/>
      <c r="AF491" s="1530"/>
      <c r="AG491" s="1530"/>
      <c r="AH491" s="1530"/>
      <c r="AI491" s="1530"/>
      <c r="AJ491" s="242"/>
      <c r="AK491" s="242"/>
      <c r="AL491" s="242"/>
      <c r="AM491" s="242"/>
      <c r="AN491" s="242"/>
      <c r="AO491" s="242"/>
      <c r="AP491" s="242"/>
      <c r="AQ491" s="242"/>
      <c r="AR491" s="242"/>
      <c r="AS491" s="1530">
        <f>AU72</f>
        <v>0</v>
      </c>
      <c r="AT491" s="1530"/>
      <c r="AU491" s="1530"/>
      <c r="AV491" s="1530"/>
      <c r="AW491" s="1530"/>
      <c r="AX491" s="1530"/>
      <c r="AY491" s="1530"/>
      <c r="AZ491" s="1530"/>
      <c r="BA491" s="1530"/>
      <c r="BB491" s="1530"/>
      <c r="BC491" s="1530"/>
      <c r="BD491" s="1530"/>
      <c r="BE491" s="1530"/>
      <c r="BF491" s="1530"/>
      <c r="BG491" s="1530"/>
      <c r="BH491" s="242"/>
      <c r="BI491" s="242"/>
      <c r="BJ491" s="242"/>
      <c r="BK491" s="242"/>
      <c r="BP491" s="31"/>
      <c r="BQ491" s="31"/>
      <c r="BR491" s="31"/>
      <c r="BS491" s="31"/>
      <c r="BT491" s="31"/>
      <c r="BU491" s="31"/>
      <c r="BV491" s="31"/>
      <c r="BW491" s="31"/>
      <c r="BX491" s="31"/>
    </row>
    <row r="492" spans="3:76" s="155" customFormat="1" ht="17.100000000000001" hidden="1" customHeight="1" outlineLevel="1">
      <c r="C492" s="489"/>
      <c r="D492" s="227" t="s">
        <v>153</v>
      </c>
      <c r="N492" s="240"/>
      <c r="O492" s="240"/>
      <c r="P492" s="240"/>
      <c r="Q492" s="240"/>
      <c r="R492" s="240"/>
      <c r="S492" s="240"/>
      <c r="T492" s="240"/>
      <c r="U492" s="1531">
        <f>IF($D489=$U491,U489,U488)</f>
        <v>0</v>
      </c>
      <c r="V492" s="1531"/>
      <c r="W492" s="1531"/>
      <c r="X492" s="55"/>
      <c r="Y492" s="1531">
        <f>IF($D489=$U491,Y489,Y488)</f>
        <v>0</v>
      </c>
      <c r="Z492" s="1531"/>
      <c r="AA492" s="1531"/>
      <c r="AB492" s="55"/>
      <c r="AC492" s="1531">
        <f>IF($D489=$U491,AC489,AC488)</f>
        <v>0</v>
      </c>
      <c r="AD492" s="1531"/>
      <c r="AE492" s="1531"/>
      <c r="AF492" s="55"/>
      <c r="AG492" s="1531">
        <f>IF($D489=$U491,AG489,AG488)</f>
        <v>0</v>
      </c>
      <c r="AH492" s="1531"/>
      <c r="AI492" s="1531"/>
      <c r="AJ492" s="242"/>
      <c r="AK492" s="1532">
        <f>IF(AK493=0,0,1-AK494/AK493)</f>
        <v>0</v>
      </c>
      <c r="AL492" s="1532"/>
      <c r="AM492" s="1532"/>
      <c r="AN492" s="1532"/>
      <c r="AO492" s="1532"/>
      <c r="AP492" s="242"/>
      <c r="AQ492" s="242"/>
      <c r="AR492" s="242"/>
      <c r="AS492" s="1531">
        <f>IF($D489=$AS491,AS489,AS488)</f>
        <v>0</v>
      </c>
      <c r="AT492" s="1531"/>
      <c r="AU492" s="1531"/>
      <c r="AV492" s="55"/>
      <c r="AW492" s="1531">
        <f>IF($D489=$AS491,AW489,AW488)</f>
        <v>0</v>
      </c>
      <c r="AX492" s="1531"/>
      <c r="AY492" s="1531"/>
      <c r="AZ492" s="55"/>
      <c r="BA492" s="1531">
        <f>IF($D489=$AS491,BA489,BA488)</f>
        <v>0</v>
      </c>
      <c r="BB492" s="1531"/>
      <c r="BC492" s="1531"/>
      <c r="BD492" s="55"/>
      <c r="BE492" s="1531">
        <f>IF($D489=$AS491,BE489,BE488)</f>
        <v>0</v>
      </c>
      <c r="BF492" s="1531"/>
      <c r="BG492" s="1531"/>
      <c r="BH492" s="242"/>
      <c r="BI492" s="1532">
        <f>IF(BI493=0,0,1-BI494/BI493)</f>
        <v>0</v>
      </c>
      <c r="BJ492" s="1532"/>
      <c r="BK492" s="1532"/>
      <c r="BL492" s="28"/>
      <c r="BP492" s="31"/>
      <c r="BQ492" s="31"/>
      <c r="BR492" s="31"/>
      <c r="BS492" s="31"/>
      <c r="BT492" s="31"/>
      <c r="BU492" s="31"/>
      <c r="BV492" s="31"/>
      <c r="BW492" s="31"/>
      <c r="BX492" s="31"/>
    </row>
    <row r="493" spans="3:76" s="28" customFormat="1" ht="17.100000000000001" hidden="1" customHeight="1" outlineLevel="1">
      <c r="C493" s="489"/>
      <c r="D493" s="241" t="s">
        <v>154</v>
      </c>
      <c r="E493" s="241"/>
      <c r="F493" s="241"/>
      <c r="G493" s="241"/>
      <c r="H493" s="241"/>
      <c r="I493" s="241"/>
      <c r="J493" s="241"/>
      <c r="K493" s="241"/>
      <c r="L493" s="241"/>
      <c r="M493" s="241"/>
      <c r="N493" s="241"/>
      <c r="O493" s="241"/>
      <c r="P493" s="241" t="s">
        <v>118</v>
      </c>
      <c r="Q493" s="241"/>
      <c r="R493" s="241"/>
      <c r="S493" s="241"/>
      <c r="T493" s="241"/>
      <c r="U493" s="1488">
        <f>U$463</f>
        <v>0</v>
      </c>
      <c r="V493" s="1488"/>
      <c r="W493" s="1488"/>
      <c r="X493" s="55"/>
      <c r="Y493" s="1488">
        <f>Y$463</f>
        <v>0</v>
      </c>
      <c r="Z493" s="1488"/>
      <c r="AA493" s="1488"/>
      <c r="AB493" s="55"/>
      <c r="AC493" s="1488">
        <f>AC$463</f>
        <v>0</v>
      </c>
      <c r="AD493" s="1488"/>
      <c r="AE493" s="1488"/>
      <c r="AF493" s="55"/>
      <c r="AG493" s="1488">
        <f>AG$463</f>
        <v>0</v>
      </c>
      <c r="AH493" s="1488"/>
      <c r="AI493" s="1488"/>
      <c r="AJ493" s="242"/>
      <c r="AK493" s="1488">
        <f>SUM(U493:AI493)</f>
        <v>0</v>
      </c>
      <c r="AL493" s="1488"/>
      <c r="AM493" s="1488"/>
      <c r="AN493" s="1488"/>
      <c r="AO493" s="1488"/>
      <c r="AP493" s="242"/>
      <c r="AQ493" s="242"/>
      <c r="AR493" s="242"/>
      <c r="AS493" s="1488">
        <f>AS$463</f>
        <v>0</v>
      </c>
      <c r="AT493" s="1488"/>
      <c r="AU493" s="1488"/>
      <c r="AV493" s="55"/>
      <c r="AW493" s="1488">
        <f>AW$463</f>
        <v>0</v>
      </c>
      <c r="AX493" s="1488"/>
      <c r="AY493" s="1488"/>
      <c r="AZ493" s="55"/>
      <c r="BA493" s="1488">
        <f>BA$463</f>
        <v>0</v>
      </c>
      <c r="BB493" s="1488"/>
      <c r="BC493" s="1488"/>
      <c r="BD493" s="55"/>
      <c r="BE493" s="1488">
        <f>BE$463</f>
        <v>0</v>
      </c>
      <c r="BF493" s="1488"/>
      <c r="BG493" s="1488"/>
      <c r="BH493" s="242"/>
      <c r="BI493" s="1488">
        <f>SUM(AS493:BG493)</f>
        <v>0</v>
      </c>
      <c r="BJ493" s="1488"/>
      <c r="BK493" s="1488"/>
      <c r="BP493" s="31"/>
      <c r="BQ493" s="31"/>
      <c r="BR493" s="31"/>
      <c r="BS493" s="31"/>
      <c r="BT493" s="31"/>
      <c r="BU493" s="31"/>
      <c r="BV493" s="31"/>
      <c r="BW493" s="31"/>
      <c r="BX493" s="31"/>
    </row>
    <row r="494" spans="3:76" s="155" customFormat="1" ht="17.100000000000001" hidden="1" customHeight="1" outlineLevel="1">
      <c r="C494" s="489"/>
      <c r="D494" s="241" t="s">
        <v>155</v>
      </c>
      <c r="E494" s="241"/>
      <c r="F494" s="241"/>
      <c r="G494" s="241"/>
      <c r="H494" s="241"/>
      <c r="I494" s="241"/>
      <c r="J494" s="241"/>
      <c r="K494" s="241"/>
      <c r="L494" s="241"/>
      <c r="M494" s="241"/>
      <c r="N494" s="240"/>
      <c r="O494" s="240"/>
      <c r="P494" s="241" t="s">
        <v>118</v>
      </c>
      <c r="Q494" s="240"/>
      <c r="R494" s="240"/>
      <c r="S494" s="240"/>
      <c r="T494" s="240"/>
      <c r="U494" s="1489">
        <f>U493-U492*U493</f>
        <v>0</v>
      </c>
      <c r="V494" s="1489"/>
      <c r="W494" s="1489"/>
      <c r="X494" s="245"/>
      <c r="Y494" s="1489">
        <f>Y493-Y492*Y493</f>
        <v>0</v>
      </c>
      <c r="Z494" s="1489"/>
      <c r="AA494" s="1489"/>
      <c r="AB494" s="245"/>
      <c r="AC494" s="1489">
        <f>AC493-AC492*AC493</f>
        <v>0</v>
      </c>
      <c r="AD494" s="1489"/>
      <c r="AE494" s="1489"/>
      <c r="AF494" s="245"/>
      <c r="AG494" s="1489">
        <f>AG493-AG492*AG493</f>
        <v>0</v>
      </c>
      <c r="AH494" s="1489"/>
      <c r="AI494" s="1489"/>
      <c r="AJ494" s="61"/>
      <c r="AK494" s="1489">
        <f>SUM(U494:AI494)</f>
        <v>0</v>
      </c>
      <c r="AL494" s="1489"/>
      <c r="AM494" s="1489"/>
      <c r="AN494" s="1489"/>
      <c r="AO494" s="1489"/>
      <c r="AP494" s="156"/>
      <c r="AQ494" s="242"/>
      <c r="AR494" s="242"/>
      <c r="AS494" s="1490">
        <f>AS493-AS492*AS493</f>
        <v>0</v>
      </c>
      <c r="AT494" s="1490"/>
      <c r="AU494" s="1490"/>
      <c r="AV494" s="246"/>
      <c r="AW494" s="1490">
        <f>AW493-AW492*AW493</f>
        <v>0</v>
      </c>
      <c r="AX494" s="1490"/>
      <c r="AY494" s="1490"/>
      <c r="AZ494" s="246"/>
      <c r="BA494" s="1490">
        <f>BA493-BA492*BA493</f>
        <v>0</v>
      </c>
      <c r="BB494" s="1490"/>
      <c r="BC494" s="1490"/>
      <c r="BD494" s="246"/>
      <c r="BE494" s="1490">
        <f>BE493-BE492*BE493</f>
        <v>0</v>
      </c>
      <c r="BF494" s="1490"/>
      <c r="BG494" s="1490"/>
      <c r="BH494" s="156"/>
      <c r="BI494" s="1490">
        <f>SUM(AS494:BG494)</f>
        <v>0</v>
      </c>
      <c r="BJ494" s="1490"/>
      <c r="BK494" s="1490"/>
      <c r="BL494" s="28"/>
      <c r="BP494" s="31"/>
      <c r="BQ494" s="31"/>
      <c r="BR494" s="31"/>
      <c r="BS494" s="31"/>
      <c r="BT494" s="31"/>
      <c r="BU494" s="31"/>
      <c r="BV494" s="31"/>
      <c r="BW494" s="31"/>
      <c r="BX494" s="31"/>
    </row>
    <row r="495" spans="3:76" s="155" customFormat="1" ht="17.100000000000001" hidden="1" customHeight="1" outlineLevel="1">
      <c r="C495" s="494"/>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c r="AA495" s="247"/>
      <c r="AB495" s="247"/>
      <c r="AC495" s="247"/>
      <c r="AD495" s="247"/>
      <c r="AE495" s="247"/>
      <c r="AP495" s="248"/>
      <c r="AQ495" s="248"/>
      <c r="AR495" s="248"/>
      <c r="AS495" s="248"/>
      <c r="AT495" s="248"/>
      <c r="AU495" s="156"/>
      <c r="BA495" s="28"/>
      <c r="BL495" s="28"/>
      <c r="BP495" s="31"/>
      <c r="BQ495" s="31"/>
      <c r="BR495" s="31"/>
      <c r="BS495" s="31"/>
      <c r="BT495" s="31"/>
      <c r="BU495" s="31"/>
      <c r="BV495" s="31"/>
      <c r="BW495" s="31"/>
      <c r="BX495" s="31"/>
    </row>
    <row r="496" spans="3:76" s="155" customFormat="1" ht="17.100000000000001" hidden="1" customHeight="1" outlineLevel="1">
      <c r="C496" s="494" t="s">
        <v>1091</v>
      </c>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c r="AA496" s="247"/>
      <c r="AB496" s="247"/>
      <c r="AC496" s="247"/>
      <c r="AD496" s="247"/>
      <c r="AE496" s="247"/>
      <c r="AP496" s="248"/>
      <c r="AQ496" s="248"/>
      <c r="AR496" s="248"/>
      <c r="AS496" s="248"/>
      <c r="AT496" s="248"/>
      <c r="AU496" s="156"/>
      <c r="BA496" s="28"/>
      <c r="BL496" s="28"/>
      <c r="BP496" s="28"/>
      <c r="BQ496" s="28"/>
      <c r="BR496" s="28"/>
      <c r="BS496" s="28"/>
      <c r="BT496" s="28"/>
      <c r="BU496" s="28"/>
      <c r="BV496" s="28"/>
      <c r="BW496" s="28"/>
      <c r="BX496" s="28"/>
    </row>
    <row r="497" spans="3:76" s="28" customFormat="1" ht="17.100000000000001" hidden="1" customHeight="1" outlineLevel="1">
      <c r="C497" s="518">
        <f>D110</f>
        <v>0</v>
      </c>
      <c r="D497" s="241"/>
      <c r="E497" s="241"/>
      <c r="F497" s="241"/>
      <c r="G497" s="241"/>
      <c r="H497" s="241"/>
      <c r="I497" s="241"/>
      <c r="J497" s="241"/>
      <c r="K497" s="241"/>
      <c r="L497" s="241"/>
      <c r="M497" s="241"/>
      <c r="N497" s="241"/>
      <c r="O497" s="241"/>
      <c r="P497" s="241"/>
      <c r="Q497" s="241"/>
      <c r="R497" s="241"/>
      <c r="S497" s="241"/>
      <c r="T497" s="241"/>
      <c r="U497" s="1446" t="s">
        <v>117</v>
      </c>
      <c r="V497" s="1446"/>
      <c r="W497" s="1446"/>
      <c r="X497" s="640"/>
      <c r="Y497" s="1446" t="s">
        <v>120</v>
      </c>
      <c r="Z497" s="1446"/>
      <c r="AA497" s="1446"/>
      <c r="AB497" s="640"/>
      <c r="AC497" s="1446" t="s">
        <v>121</v>
      </c>
      <c r="AD497" s="1446"/>
      <c r="AE497" s="1446"/>
      <c r="AF497" s="640"/>
      <c r="AG497" s="1446" t="s">
        <v>122</v>
      </c>
      <c r="AH497" s="1446"/>
      <c r="AI497" s="1446"/>
      <c r="AJ497" s="155"/>
      <c r="AK497" s="155"/>
      <c r="AL497" s="155"/>
      <c r="AM497" s="155"/>
      <c r="AN497" s="155"/>
      <c r="AO497" s="155"/>
      <c r="AS497" s="1446" t="s">
        <v>117</v>
      </c>
      <c r="AT497" s="1446"/>
      <c r="AU497" s="1446"/>
      <c r="AV497" s="640"/>
      <c r="AW497" s="1446" t="s">
        <v>120</v>
      </c>
      <c r="AX497" s="1446"/>
      <c r="AY497" s="1446"/>
      <c r="AZ497" s="640"/>
      <c r="BA497" s="1446" t="s">
        <v>121</v>
      </c>
      <c r="BB497" s="1446"/>
      <c r="BC497" s="1446"/>
      <c r="BD497" s="640"/>
      <c r="BE497" s="1446" t="s">
        <v>122</v>
      </c>
      <c r="BF497" s="1446"/>
      <c r="BG497" s="1446"/>
      <c r="BP497" s="31"/>
      <c r="BQ497" s="31"/>
      <c r="BR497" s="31"/>
      <c r="BS497" s="31"/>
      <c r="BT497" s="31"/>
      <c r="BU497" s="31"/>
      <c r="BV497" s="31"/>
      <c r="BW497" s="31"/>
      <c r="BX497" s="31"/>
    </row>
    <row r="498" spans="3:76" s="28" customFormat="1" ht="17.100000000000001" hidden="1" customHeight="1" outlineLevel="1">
      <c r="C498" s="1282"/>
      <c r="D498" s="241" t="str">
        <f>D488</f>
        <v>ein/aus</v>
      </c>
      <c r="E498" s="241"/>
      <c r="F498" s="241"/>
      <c r="G498" s="241"/>
      <c r="H498" s="241"/>
      <c r="I498" s="241"/>
      <c r="J498" s="241"/>
      <c r="K498" s="241"/>
      <c r="L498" s="241"/>
      <c r="M498" s="241"/>
      <c r="N498" s="241"/>
      <c r="O498" s="241"/>
      <c r="P498" s="241"/>
      <c r="Q498" s="241"/>
      <c r="R498" s="241"/>
      <c r="S498" s="241"/>
      <c r="T498" s="241"/>
      <c r="U498" s="1447">
        <v>0</v>
      </c>
      <c r="V498" s="1447"/>
      <c r="W498" s="1447"/>
      <c r="X498" s="249"/>
      <c r="Y498" s="1447">
        <v>0</v>
      </c>
      <c r="Z498" s="1447"/>
      <c r="AA498" s="1447"/>
      <c r="AB498" s="249"/>
      <c r="AC498" s="1447">
        <v>0</v>
      </c>
      <c r="AD498" s="1447"/>
      <c r="AE498" s="1447"/>
      <c r="AF498" s="249"/>
      <c r="AG498" s="1447">
        <v>0</v>
      </c>
      <c r="AH498" s="1447"/>
      <c r="AI498" s="1447"/>
      <c r="AJ498" s="155"/>
      <c r="AK498" s="155"/>
      <c r="AL498" s="155"/>
      <c r="AM498" s="155"/>
      <c r="AN498" s="155"/>
      <c r="AO498" s="155"/>
      <c r="AS498" s="1446">
        <f>U498</f>
        <v>0</v>
      </c>
      <c r="AT498" s="1446"/>
      <c r="AU498" s="1446"/>
      <c r="AV498" s="640"/>
      <c r="AW498" s="1446">
        <f>Y498</f>
        <v>0</v>
      </c>
      <c r="AX498" s="1446"/>
      <c r="AY498" s="1446"/>
      <c r="AZ498" s="640"/>
      <c r="BA498" s="1446">
        <f>AC498</f>
        <v>0</v>
      </c>
      <c r="BB498" s="1446"/>
      <c r="BC498" s="1446"/>
      <c r="BD498" s="640"/>
      <c r="BE498" s="1446">
        <f>AG498</f>
        <v>0</v>
      </c>
      <c r="BF498" s="1446"/>
      <c r="BG498" s="1446"/>
      <c r="BP498" s="31"/>
      <c r="BQ498" s="31"/>
      <c r="BR498" s="31"/>
      <c r="BS498" s="31"/>
      <c r="BT498" s="31"/>
      <c r="BU498" s="31"/>
      <c r="BV498" s="31"/>
      <c r="BW498" s="31"/>
      <c r="BX498" s="31"/>
    </row>
    <row r="499" spans="3:76" s="28" customFormat="1" ht="17.100000000000001" hidden="1" customHeight="1" outlineLevel="1">
      <c r="C499" s="1282"/>
      <c r="D499" s="241" t="str">
        <f>D489</f>
        <v>bedarfsgerechte Ansteuerung (FU/EC-modulierbar)</v>
      </c>
      <c r="E499" s="241"/>
      <c r="F499" s="241"/>
      <c r="G499" s="241"/>
      <c r="H499" s="241"/>
      <c r="I499" s="241"/>
      <c r="J499" s="241"/>
      <c r="K499" s="241"/>
      <c r="L499" s="241"/>
      <c r="M499" s="241"/>
      <c r="N499" s="241"/>
      <c r="O499" s="241"/>
      <c r="P499" s="241"/>
      <c r="Q499" s="241"/>
      <c r="R499" s="241"/>
      <c r="S499" s="241"/>
      <c r="T499" s="241"/>
      <c r="U499" s="1447">
        <v>0.3</v>
      </c>
      <c r="V499" s="1447"/>
      <c r="W499" s="1447"/>
      <c r="X499" s="249"/>
      <c r="Y499" s="1447">
        <v>0</v>
      </c>
      <c r="Z499" s="1447"/>
      <c r="AA499" s="1447"/>
      <c r="AB499" s="249"/>
      <c r="AC499" s="1447">
        <v>0.3</v>
      </c>
      <c r="AD499" s="1447"/>
      <c r="AE499" s="1447"/>
      <c r="AF499" s="249"/>
      <c r="AG499" s="1447">
        <v>0.5</v>
      </c>
      <c r="AH499" s="1447"/>
      <c r="AI499" s="1447"/>
      <c r="AJ499" s="155"/>
      <c r="AK499" s="155"/>
      <c r="AL499" s="155"/>
      <c r="AM499" s="155"/>
      <c r="AN499" s="155"/>
      <c r="AO499" s="155"/>
      <c r="AS499" s="1446">
        <f>U499</f>
        <v>0.3</v>
      </c>
      <c r="AT499" s="1446"/>
      <c r="AU499" s="1446"/>
      <c r="AV499" s="640"/>
      <c r="AW499" s="1446">
        <f>Y499</f>
        <v>0</v>
      </c>
      <c r="AX499" s="1446"/>
      <c r="AY499" s="1446"/>
      <c r="AZ499" s="640"/>
      <c r="BA499" s="1446">
        <f>AC499</f>
        <v>0.3</v>
      </c>
      <c r="BB499" s="1446"/>
      <c r="BC499" s="1446"/>
      <c r="BD499" s="640"/>
      <c r="BE499" s="1446">
        <f>AG499</f>
        <v>0.5</v>
      </c>
      <c r="BF499" s="1446"/>
      <c r="BG499" s="1446"/>
      <c r="BP499" s="31"/>
      <c r="BQ499" s="31"/>
      <c r="BR499" s="31"/>
      <c r="BS499" s="31"/>
      <c r="BT499" s="31"/>
      <c r="BU499" s="31"/>
      <c r="BV499" s="31"/>
      <c r="BW499" s="31"/>
      <c r="BX499" s="31"/>
    </row>
    <row r="500" spans="3:76" s="155" customFormat="1" ht="17.100000000000001" hidden="1" customHeight="1" outlineLevel="1">
      <c r="C500" s="494"/>
      <c r="D500" s="156"/>
      <c r="E500" s="156"/>
      <c r="F500" s="156"/>
      <c r="G500" s="156"/>
      <c r="H500" s="156"/>
      <c r="I500" s="156"/>
      <c r="J500" s="156"/>
      <c r="K500" s="156"/>
      <c r="L500" s="156"/>
      <c r="M500" s="156"/>
      <c r="N500" s="156"/>
      <c r="O500" s="156"/>
      <c r="P500" s="156"/>
      <c r="Q500" s="156"/>
      <c r="R500" s="156"/>
      <c r="S500" s="156"/>
      <c r="T500" s="156"/>
      <c r="U500" s="1446"/>
      <c r="V500" s="1446"/>
      <c r="W500" s="1446"/>
      <c r="X500" s="640"/>
      <c r="Y500" s="1446"/>
      <c r="Z500" s="1446"/>
      <c r="AA500" s="1446"/>
      <c r="AB500" s="640"/>
      <c r="AC500" s="1446"/>
      <c r="AD500" s="1446"/>
      <c r="AE500" s="1446"/>
      <c r="AF500" s="640"/>
      <c r="AG500" s="1446"/>
      <c r="AH500" s="1446"/>
      <c r="AI500" s="1446"/>
      <c r="AP500" s="248"/>
      <c r="AQ500" s="248"/>
      <c r="AR500" s="248"/>
      <c r="AS500" s="248"/>
      <c r="AT500" s="248"/>
      <c r="AU500" s="156"/>
      <c r="BA500" s="28"/>
      <c r="BL500" s="28"/>
      <c r="BP500" s="31"/>
      <c r="BQ500" s="31"/>
      <c r="BR500" s="31"/>
      <c r="BS500" s="31"/>
      <c r="BT500" s="31"/>
      <c r="BU500" s="31"/>
      <c r="BV500" s="31"/>
      <c r="BW500" s="31"/>
      <c r="BX500" s="31"/>
    </row>
    <row r="501" spans="3:76" s="28" customFormat="1" ht="17.100000000000001" hidden="1" customHeight="1" outlineLevel="1">
      <c r="C501" s="1282"/>
      <c r="D501" s="244" t="s">
        <v>143</v>
      </c>
      <c r="E501" s="241"/>
      <c r="F501" s="241"/>
      <c r="G501" s="241"/>
      <c r="H501" s="241"/>
      <c r="I501" s="241"/>
      <c r="J501" s="241"/>
      <c r="K501" s="241"/>
      <c r="L501" s="241"/>
      <c r="M501" s="241"/>
      <c r="N501" s="241"/>
      <c r="O501" s="241"/>
      <c r="P501" s="241"/>
      <c r="Q501" s="241"/>
      <c r="R501" s="241"/>
      <c r="S501" s="241"/>
      <c r="T501" s="241"/>
      <c r="U501" s="1530">
        <f>W110</f>
        <v>0</v>
      </c>
      <c r="V501" s="1530"/>
      <c r="W501" s="1530"/>
      <c r="X501" s="1530"/>
      <c r="Y501" s="1530"/>
      <c r="Z501" s="1530"/>
      <c r="AA501" s="1530"/>
      <c r="AB501" s="1530"/>
      <c r="AC501" s="1530"/>
      <c r="AD501" s="1530"/>
      <c r="AE501" s="1530"/>
      <c r="AF501" s="1530"/>
      <c r="AG501" s="1530"/>
      <c r="AH501" s="1530"/>
      <c r="AI501" s="1530"/>
      <c r="AJ501" s="242"/>
      <c r="AK501" s="242"/>
      <c r="AL501" s="242"/>
      <c r="AM501" s="242"/>
      <c r="AN501" s="242"/>
      <c r="AO501" s="242"/>
      <c r="AP501" s="242"/>
      <c r="AQ501" s="242"/>
      <c r="AR501" s="242"/>
      <c r="AS501" s="1530">
        <f>AU110</f>
        <v>0</v>
      </c>
      <c r="AT501" s="1530"/>
      <c r="AU501" s="1530"/>
      <c r="AV501" s="1530"/>
      <c r="AW501" s="1530"/>
      <c r="AX501" s="1530"/>
      <c r="AY501" s="1530"/>
      <c r="AZ501" s="1530"/>
      <c r="BA501" s="1530"/>
      <c r="BB501" s="1530"/>
      <c r="BC501" s="1530"/>
      <c r="BD501" s="1530"/>
      <c r="BE501" s="1530"/>
      <c r="BF501" s="1530"/>
      <c r="BG501" s="1530"/>
      <c r="BH501" s="242"/>
      <c r="BI501" s="242"/>
      <c r="BJ501" s="242"/>
      <c r="BK501" s="242"/>
      <c r="BP501" s="31"/>
      <c r="BQ501" s="31"/>
      <c r="BR501" s="31"/>
      <c r="BS501" s="31"/>
      <c r="BT501" s="31"/>
      <c r="BU501" s="31"/>
      <c r="BV501" s="31"/>
      <c r="BW501" s="31"/>
      <c r="BX501" s="31"/>
    </row>
    <row r="502" spans="3:76" s="155" customFormat="1" ht="17.100000000000001" hidden="1" customHeight="1" outlineLevel="1">
      <c r="C502" s="1282"/>
      <c r="D502" s="227" t="s">
        <v>153</v>
      </c>
      <c r="N502" s="240"/>
      <c r="O502" s="240"/>
      <c r="P502" s="240"/>
      <c r="Q502" s="240"/>
      <c r="R502" s="240"/>
      <c r="S502" s="240"/>
      <c r="T502" s="240"/>
      <c r="U502" s="1531">
        <f>IF($D499=$U501,U499,U498)</f>
        <v>0</v>
      </c>
      <c r="V502" s="1531"/>
      <c r="W502" s="1531"/>
      <c r="X502" s="640"/>
      <c r="Y502" s="1531">
        <f>IF($D499=$U501,Y499,Y498)</f>
        <v>0</v>
      </c>
      <c r="Z502" s="1531"/>
      <c r="AA502" s="1531"/>
      <c r="AB502" s="640"/>
      <c r="AC502" s="1531">
        <f>IF($D499=$U501,AC499,AC498)</f>
        <v>0</v>
      </c>
      <c r="AD502" s="1531"/>
      <c r="AE502" s="1531"/>
      <c r="AF502" s="640"/>
      <c r="AG502" s="1531">
        <f>IF($D499=$U501,AG499,AG498)</f>
        <v>0</v>
      </c>
      <c r="AH502" s="1531"/>
      <c r="AI502" s="1531"/>
      <c r="AJ502" s="242"/>
      <c r="AK502" s="1532">
        <f>IF(AK503=0,0,1-AK504/AK503)</f>
        <v>0</v>
      </c>
      <c r="AL502" s="1532"/>
      <c r="AM502" s="1532"/>
      <c r="AN502" s="1532"/>
      <c r="AO502" s="1532"/>
      <c r="AP502" s="242"/>
      <c r="AQ502" s="242"/>
      <c r="AR502" s="242"/>
      <c r="AS502" s="1531">
        <f>IF($D499=$AS501,AS499,AS498)</f>
        <v>0</v>
      </c>
      <c r="AT502" s="1531"/>
      <c r="AU502" s="1531"/>
      <c r="AV502" s="640"/>
      <c r="AW502" s="1531">
        <f>IF($D499=$AS501,AW499,AW498)</f>
        <v>0</v>
      </c>
      <c r="AX502" s="1531"/>
      <c r="AY502" s="1531"/>
      <c r="AZ502" s="640"/>
      <c r="BA502" s="1531">
        <f>IF($D499=$AS501,BA499,BA498)</f>
        <v>0</v>
      </c>
      <c r="BB502" s="1531"/>
      <c r="BC502" s="1531"/>
      <c r="BD502" s="640"/>
      <c r="BE502" s="1531">
        <f>IF($D499=$AS501,BE499,BE498)</f>
        <v>0</v>
      </c>
      <c r="BF502" s="1531"/>
      <c r="BG502" s="1531"/>
      <c r="BH502" s="242"/>
      <c r="BI502" s="1532">
        <f>IF(BI503=0,0,1-BI504/BI503)</f>
        <v>0</v>
      </c>
      <c r="BJ502" s="1532"/>
      <c r="BK502" s="1532"/>
      <c r="BL502" s="28"/>
      <c r="BP502" s="31"/>
      <c r="BQ502" s="31"/>
      <c r="BR502" s="31"/>
      <c r="BS502" s="31"/>
      <c r="BT502" s="31"/>
      <c r="BU502" s="31"/>
      <c r="BV502" s="31"/>
      <c r="BW502" s="31"/>
      <c r="BX502" s="31"/>
    </row>
    <row r="503" spans="3:76" s="28" customFormat="1" ht="17.100000000000001" hidden="1" customHeight="1" outlineLevel="1">
      <c r="C503" s="1282"/>
      <c r="D503" s="241" t="s">
        <v>154</v>
      </c>
      <c r="E503" s="241"/>
      <c r="F503" s="241"/>
      <c r="G503" s="241"/>
      <c r="H503" s="241"/>
      <c r="I503" s="241"/>
      <c r="J503" s="241"/>
      <c r="K503" s="241"/>
      <c r="L503" s="241"/>
      <c r="M503" s="241"/>
      <c r="N503" s="241"/>
      <c r="O503" s="241"/>
      <c r="P503" s="241" t="s">
        <v>118</v>
      </c>
      <c r="Q503" s="241"/>
      <c r="R503" s="241"/>
      <c r="S503" s="241"/>
      <c r="T503" s="241"/>
      <c r="U503" s="1488">
        <f>U$463</f>
        <v>0</v>
      </c>
      <c r="V503" s="1488"/>
      <c r="W503" s="1488"/>
      <c r="X503" s="640"/>
      <c r="Y503" s="1488">
        <f>Y$463</f>
        <v>0</v>
      </c>
      <c r="Z503" s="1488"/>
      <c r="AA503" s="1488"/>
      <c r="AB503" s="640"/>
      <c r="AC503" s="1488">
        <f>AC$463</f>
        <v>0</v>
      </c>
      <c r="AD503" s="1488"/>
      <c r="AE503" s="1488"/>
      <c r="AF503" s="640"/>
      <c r="AG503" s="1488">
        <f>AG$463</f>
        <v>0</v>
      </c>
      <c r="AH503" s="1488"/>
      <c r="AI503" s="1488"/>
      <c r="AJ503" s="242"/>
      <c r="AK503" s="1488">
        <f>SUM(U503:AI503)</f>
        <v>0</v>
      </c>
      <c r="AL503" s="1488"/>
      <c r="AM503" s="1488"/>
      <c r="AN503" s="1488"/>
      <c r="AO503" s="1488"/>
      <c r="AP503" s="242"/>
      <c r="AQ503" s="242"/>
      <c r="AR503" s="242"/>
      <c r="AS503" s="1488">
        <f>AS$463</f>
        <v>0</v>
      </c>
      <c r="AT503" s="1488"/>
      <c r="AU503" s="1488"/>
      <c r="AV503" s="640"/>
      <c r="AW503" s="1488">
        <f>AW$463</f>
        <v>0</v>
      </c>
      <c r="AX503" s="1488"/>
      <c r="AY503" s="1488"/>
      <c r="AZ503" s="640"/>
      <c r="BA503" s="1488">
        <f>BA$463</f>
        <v>0</v>
      </c>
      <c r="BB503" s="1488"/>
      <c r="BC503" s="1488"/>
      <c r="BD503" s="640"/>
      <c r="BE503" s="1488">
        <f>BE$463</f>
        <v>0</v>
      </c>
      <c r="BF503" s="1488"/>
      <c r="BG503" s="1488"/>
      <c r="BH503" s="242"/>
      <c r="BI503" s="1488">
        <f>SUM(AS503:BG503)</f>
        <v>0</v>
      </c>
      <c r="BJ503" s="1488"/>
      <c r="BK503" s="1488"/>
      <c r="BP503" s="31"/>
      <c r="BQ503" s="31"/>
      <c r="BR503" s="31"/>
      <c r="BS503" s="31"/>
      <c r="BT503" s="31"/>
      <c r="BU503" s="31"/>
      <c r="BV503" s="31"/>
      <c r="BW503" s="31"/>
      <c r="BX503" s="31"/>
    </row>
    <row r="504" spans="3:76" s="155" customFormat="1" ht="17.100000000000001" hidden="1" customHeight="1" outlineLevel="1">
      <c r="C504" s="1282"/>
      <c r="D504" s="241" t="s">
        <v>155</v>
      </c>
      <c r="E504" s="241"/>
      <c r="F504" s="241"/>
      <c r="G504" s="241"/>
      <c r="H504" s="241"/>
      <c r="I504" s="241"/>
      <c r="J504" s="241"/>
      <c r="K504" s="241"/>
      <c r="L504" s="241"/>
      <c r="M504" s="241"/>
      <c r="N504" s="240"/>
      <c r="O504" s="240"/>
      <c r="P504" s="241" t="s">
        <v>118</v>
      </c>
      <c r="Q504" s="240"/>
      <c r="R504" s="240"/>
      <c r="S504" s="240"/>
      <c r="T504" s="240"/>
      <c r="U504" s="1489">
        <f>U503-U502*U503</f>
        <v>0</v>
      </c>
      <c r="V504" s="1489"/>
      <c r="W504" s="1489"/>
      <c r="X504" s="245"/>
      <c r="Y504" s="1489">
        <f>Y503-Y502*Y503</f>
        <v>0</v>
      </c>
      <c r="Z504" s="1489"/>
      <c r="AA504" s="1489"/>
      <c r="AB504" s="245"/>
      <c r="AC504" s="1489">
        <f>AC503-AC502*AC503</f>
        <v>0</v>
      </c>
      <c r="AD504" s="1489"/>
      <c r="AE504" s="1489"/>
      <c r="AF504" s="245"/>
      <c r="AG504" s="1489">
        <f>AG503-AG502*AG503</f>
        <v>0</v>
      </c>
      <c r="AH504" s="1489"/>
      <c r="AI504" s="1489"/>
      <c r="AJ504" s="61"/>
      <c r="AK504" s="1489">
        <f>SUM(U504:AI504)</f>
        <v>0</v>
      </c>
      <c r="AL504" s="1489"/>
      <c r="AM504" s="1489"/>
      <c r="AN504" s="1489"/>
      <c r="AO504" s="1489"/>
      <c r="AP504" s="156"/>
      <c r="AQ504" s="242"/>
      <c r="AR504" s="242"/>
      <c r="AS504" s="1490">
        <f>AS503-AS502*AS503</f>
        <v>0</v>
      </c>
      <c r="AT504" s="1490"/>
      <c r="AU504" s="1490"/>
      <c r="AV504" s="246"/>
      <c r="AW504" s="1490">
        <f>AW503-AW502*AW503</f>
        <v>0</v>
      </c>
      <c r="AX504" s="1490"/>
      <c r="AY504" s="1490"/>
      <c r="AZ504" s="246"/>
      <c r="BA504" s="1490">
        <f>BA503-BA502*BA503</f>
        <v>0</v>
      </c>
      <c r="BB504" s="1490"/>
      <c r="BC504" s="1490"/>
      <c r="BD504" s="246"/>
      <c r="BE504" s="1490">
        <f>BE503-BE502*BE503</f>
        <v>0</v>
      </c>
      <c r="BF504" s="1490"/>
      <c r="BG504" s="1490"/>
      <c r="BH504" s="156"/>
      <c r="BI504" s="1490">
        <f>SUM(AS504:BG504)</f>
        <v>0</v>
      </c>
      <c r="BJ504" s="1490"/>
      <c r="BK504" s="1490"/>
      <c r="BL504" s="28"/>
      <c r="BP504" s="31"/>
      <c r="BQ504" s="31"/>
      <c r="BR504" s="31"/>
      <c r="BS504" s="31"/>
      <c r="BT504" s="31"/>
      <c r="BU504" s="31"/>
      <c r="BV504" s="31"/>
      <c r="BW504" s="31"/>
      <c r="BX504" s="31"/>
    </row>
    <row r="505" spans="3:76" s="155" customFormat="1" ht="17.100000000000001" hidden="1" customHeight="1" outlineLevel="1">
      <c r="C505" s="494"/>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c r="AA505" s="247"/>
      <c r="AB505" s="247"/>
      <c r="AC505" s="247"/>
      <c r="AD505" s="247"/>
      <c r="AE505" s="247"/>
      <c r="AP505" s="248"/>
      <c r="AQ505" s="248"/>
      <c r="AR505" s="248"/>
      <c r="AS505" s="248"/>
      <c r="AT505" s="248"/>
      <c r="AU505" s="156"/>
      <c r="BA505" s="28"/>
      <c r="BL505" s="28"/>
      <c r="BP505" s="31"/>
      <c r="BQ505" s="31"/>
      <c r="BR505" s="31"/>
      <c r="BS505" s="31"/>
      <c r="BT505" s="31"/>
      <c r="BU505" s="31"/>
      <c r="BV505" s="31"/>
      <c r="BW505" s="31"/>
      <c r="BX505" s="31"/>
    </row>
    <row r="506" spans="3:76" s="155" customFormat="1" ht="17.100000000000001" hidden="1" customHeight="1" outlineLevel="1">
      <c r="C506" s="494"/>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c r="AA506" s="247"/>
      <c r="AB506" s="247"/>
      <c r="AC506" s="247"/>
      <c r="AD506" s="247"/>
      <c r="AE506" s="247"/>
      <c r="AP506" s="248"/>
      <c r="AQ506" s="248"/>
      <c r="AR506" s="248"/>
      <c r="AS506" s="248"/>
      <c r="AT506" s="248"/>
      <c r="AU506" s="156"/>
      <c r="BA506" s="28"/>
      <c r="BL506" s="28"/>
      <c r="BP506" s="31"/>
      <c r="BQ506" s="31"/>
      <c r="BR506" s="31"/>
      <c r="BS506" s="31"/>
      <c r="BT506" s="31"/>
      <c r="BU506" s="31"/>
      <c r="BV506" s="31"/>
      <c r="BW506" s="31"/>
      <c r="BX506" s="31"/>
    </row>
    <row r="507" spans="3:76" s="28" customFormat="1" ht="23.1" hidden="1" customHeight="1" outlineLevel="1">
      <c r="C507" s="515" t="s">
        <v>157</v>
      </c>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239"/>
      <c r="AJ507" s="239"/>
      <c r="AK507" s="239"/>
      <c r="AL507" s="239"/>
      <c r="AM507" s="239"/>
      <c r="AN507" s="239"/>
      <c r="AO507" s="239"/>
      <c r="AP507" s="239"/>
      <c r="AQ507" s="239"/>
      <c r="AR507" s="239"/>
      <c r="AS507" s="239"/>
      <c r="AT507" s="239"/>
      <c r="AU507" s="239"/>
      <c r="AV507" s="239"/>
      <c r="AW507" s="239"/>
      <c r="AX507" s="239"/>
      <c r="AY507" s="239"/>
      <c r="AZ507" s="239"/>
      <c r="BA507" s="239"/>
      <c r="BB507" s="239"/>
      <c r="BC507" s="239"/>
      <c r="BD507" s="239"/>
      <c r="BE507" s="239"/>
      <c r="BF507" s="239"/>
      <c r="BG507" s="239"/>
      <c r="BH507" s="239"/>
      <c r="BI507" s="239"/>
      <c r="BJ507" s="239"/>
      <c r="BK507" s="239"/>
      <c r="BP507" s="31"/>
      <c r="BQ507" s="31"/>
      <c r="BR507" s="31"/>
      <c r="BS507" s="31"/>
      <c r="BT507" s="31"/>
      <c r="BU507" s="31"/>
      <c r="BV507" s="31"/>
      <c r="BW507" s="31"/>
      <c r="BX507" s="31"/>
    </row>
    <row r="508" spans="3:76" s="28" customFormat="1" hidden="1" outlineLevel="1">
      <c r="C508" s="489"/>
      <c r="BP508" s="31"/>
      <c r="BQ508" s="31"/>
      <c r="BR508" s="31"/>
      <c r="BS508" s="31"/>
      <c r="BT508" s="31"/>
      <c r="BU508" s="31"/>
      <c r="BV508" s="31"/>
      <c r="BW508" s="31"/>
      <c r="BX508" s="31"/>
    </row>
    <row r="509" spans="3:76" s="28" customFormat="1" hidden="1" outlineLevel="1">
      <c r="C509" s="489"/>
      <c r="U509" s="1569" t="s">
        <v>117</v>
      </c>
      <c r="V509" s="1569"/>
      <c r="W509" s="1569"/>
      <c r="Y509" s="1570" t="s">
        <v>120</v>
      </c>
      <c r="Z509" s="1570"/>
      <c r="AA509" s="1570"/>
      <c r="AC509" s="1568" t="s">
        <v>121</v>
      </c>
      <c r="AD509" s="1568"/>
      <c r="AE509" s="1568"/>
      <c r="AG509" s="1568" t="s">
        <v>122</v>
      </c>
      <c r="AH509" s="1568"/>
      <c r="AI509" s="1568"/>
      <c r="AK509" s="1568" t="s">
        <v>124</v>
      </c>
      <c r="AL509" s="1568"/>
      <c r="AM509" s="1568"/>
      <c r="AN509" s="1568"/>
      <c r="AO509" s="1568"/>
      <c r="AS509" s="1569" t="s">
        <v>117</v>
      </c>
      <c r="AT509" s="1569"/>
      <c r="AU509" s="1569"/>
      <c r="AW509" s="1570" t="s">
        <v>120</v>
      </c>
      <c r="AX509" s="1570"/>
      <c r="AY509" s="1570"/>
      <c r="BA509" s="1568" t="s">
        <v>121</v>
      </c>
      <c r="BB509" s="1568"/>
      <c r="BC509" s="1568"/>
      <c r="BE509" s="1568" t="s">
        <v>122</v>
      </c>
      <c r="BF509" s="1568"/>
      <c r="BG509" s="1568"/>
      <c r="BI509" s="1568" t="s">
        <v>124</v>
      </c>
      <c r="BJ509" s="1568"/>
      <c r="BK509" s="1568"/>
      <c r="BP509" s="31"/>
      <c r="BQ509" s="31"/>
      <c r="BR509" s="31"/>
      <c r="BS509" s="31"/>
      <c r="BT509" s="31"/>
      <c r="BU509" s="31"/>
      <c r="BV509" s="31"/>
      <c r="BW509" s="31"/>
      <c r="BX509" s="31"/>
    </row>
    <row r="510" spans="3:76" s="28" customFormat="1" hidden="1" outlineLevel="1">
      <c r="C510" s="489"/>
      <c r="BP510" s="31"/>
      <c r="BQ510" s="31"/>
      <c r="BR510" s="31"/>
      <c r="BS510" s="31"/>
      <c r="BT510" s="31"/>
      <c r="BU510" s="31"/>
      <c r="BV510" s="31"/>
      <c r="BW510" s="31"/>
      <c r="BX510" s="31"/>
    </row>
    <row r="511" spans="3:76" s="28" customFormat="1" ht="17.100000000000001" hidden="1" customHeight="1" outlineLevel="1">
      <c r="C511" s="519"/>
      <c r="D511" s="252"/>
      <c r="E511" s="252"/>
      <c r="F511" s="252"/>
      <c r="G511" s="252"/>
      <c r="H511" s="252"/>
      <c r="I511" s="252"/>
      <c r="J511" s="252"/>
      <c r="K511" s="252"/>
      <c r="L511" s="252"/>
      <c r="M511" s="252"/>
      <c r="N511" s="252"/>
      <c r="O511" s="252"/>
      <c r="P511" s="252"/>
      <c r="Q511" s="252"/>
      <c r="R511" s="252"/>
      <c r="S511" s="252"/>
      <c r="T511" s="252"/>
      <c r="U511" s="252"/>
      <c r="V511" s="252"/>
      <c r="W511" s="252"/>
      <c r="X511" s="252"/>
      <c r="Y511" s="252"/>
      <c r="Z511" s="252"/>
      <c r="AA511" s="252"/>
      <c r="AB511" s="252"/>
      <c r="AC511" s="252"/>
      <c r="AD511" s="252"/>
      <c r="AE511" s="252"/>
      <c r="AF511" s="252"/>
      <c r="AG511" s="252"/>
      <c r="AH511" s="252"/>
      <c r="AI511" s="252"/>
      <c r="AJ511" s="252"/>
      <c r="AK511" s="252"/>
      <c r="AL511" s="252"/>
      <c r="AM511" s="252"/>
      <c r="AN511" s="252"/>
      <c r="AO511" s="252"/>
      <c r="AP511" s="252"/>
      <c r="AQ511" s="252"/>
      <c r="AR511" s="252"/>
      <c r="AS511" s="252"/>
      <c r="AT511" s="252"/>
      <c r="AU511" s="252"/>
      <c r="AV511" s="252"/>
      <c r="AW511" s="252"/>
      <c r="AX511" s="252"/>
      <c r="AY511" s="252"/>
      <c r="AZ511" s="252"/>
      <c r="BA511" s="252"/>
      <c r="BB511" s="252"/>
      <c r="BC511" s="252"/>
      <c r="BD511" s="252"/>
      <c r="BE511" s="252"/>
      <c r="BF511" s="252"/>
      <c r="BG511" s="252"/>
      <c r="BP511" s="31"/>
      <c r="BQ511" s="31"/>
      <c r="BR511" s="31"/>
      <c r="BS511" s="31"/>
      <c r="BT511" s="31"/>
      <c r="BU511" s="31"/>
      <c r="BV511" s="31"/>
      <c r="BW511" s="31"/>
      <c r="BX511" s="31"/>
    </row>
    <row r="512" spans="3:76" s="28" customFormat="1" ht="17.100000000000001" hidden="1" customHeight="1" outlineLevel="1">
      <c r="C512" s="518" t="str">
        <f>D76</f>
        <v>Kälteträgerpumpen</v>
      </c>
      <c r="D512" s="241"/>
      <c r="E512" s="241"/>
      <c r="F512" s="241"/>
      <c r="G512" s="241"/>
      <c r="H512" s="241"/>
      <c r="I512" s="241"/>
      <c r="J512" s="241"/>
      <c r="K512" s="241"/>
      <c r="L512" s="241"/>
      <c r="M512" s="241"/>
      <c r="N512" s="241"/>
      <c r="O512" s="241"/>
      <c r="P512" s="241"/>
      <c r="Q512" s="241"/>
      <c r="R512" s="241"/>
      <c r="S512" s="241"/>
      <c r="T512" s="241"/>
      <c r="U512" s="1446" t="s">
        <v>117</v>
      </c>
      <c r="V512" s="1446"/>
      <c r="W512" s="1446"/>
      <c r="X512" s="55"/>
      <c r="Y512" s="1446" t="s">
        <v>120</v>
      </c>
      <c r="Z512" s="1446"/>
      <c r="AA512" s="1446"/>
      <c r="AB512" s="55"/>
      <c r="AC512" s="1446" t="s">
        <v>121</v>
      </c>
      <c r="AD512" s="1446"/>
      <c r="AE512" s="1446"/>
      <c r="AF512" s="55"/>
      <c r="AG512" s="1446" t="s">
        <v>122</v>
      </c>
      <c r="AH512" s="1446"/>
      <c r="AI512" s="1446"/>
      <c r="AJ512" s="242"/>
      <c r="AK512" s="242"/>
      <c r="AL512" s="242"/>
      <c r="AM512" s="242"/>
      <c r="AN512" s="242"/>
      <c r="AO512" s="242"/>
      <c r="AP512" s="242"/>
      <c r="AQ512" s="242"/>
      <c r="AR512" s="242"/>
      <c r="AS512" s="1446" t="s">
        <v>117</v>
      </c>
      <c r="AT512" s="1446"/>
      <c r="AU512" s="1446"/>
      <c r="AV512" s="55"/>
      <c r="AW512" s="1446" t="s">
        <v>120</v>
      </c>
      <c r="AX512" s="1446"/>
      <c r="AY512" s="1446"/>
      <c r="AZ512" s="55"/>
      <c r="BA512" s="1446" t="s">
        <v>121</v>
      </c>
      <c r="BB512" s="1446"/>
      <c r="BC512" s="1446"/>
      <c r="BD512" s="55"/>
      <c r="BE512" s="1446" t="s">
        <v>122</v>
      </c>
      <c r="BF512" s="1446"/>
      <c r="BG512" s="1446"/>
      <c r="BH512" s="242"/>
      <c r="BI512" s="242"/>
      <c r="BJ512" s="242"/>
      <c r="BK512" s="242"/>
      <c r="BP512" s="31"/>
      <c r="BQ512" s="31"/>
      <c r="BR512" s="31"/>
      <c r="BS512" s="31"/>
      <c r="BT512" s="31"/>
      <c r="BU512" s="31"/>
      <c r="BV512" s="31"/>
      <c r="BW512" s="31"/>
      <c r="BX512" s="31"/>
    </row>
    <row r="513" spans="3:76" s="28" customFormat="1" ht="17.100000000000001" hidden="1" customHeight="1" outlineLevel="1">
      <c r="C513" s="489"/>
      <c r="D513" s="241" t="str">
        <f>D458</f>
        <v>ein/aus</v>
      </c>
      <c r="E513" s="241"/>
      <c r="F513" s="241"/>
      <c r="G513" s="241"/>
      <c r="H513" s="241"/>
      <c r="I513" s="241"/>
      <c r="J513" s="241"/>
      <c r="K513" s="241"/>
      <c r="L513" s="241"/>
      <c r="M513" s="241"/>
      <c r="N513" s="241"/>
      <c r="O513" s="241"/>
      <c r="P513" s="241"/>
      <c r="Q513" s="241"/>
      <c r="R513" s="241"/>
      <c r="S513" s="241"/>
      <c r="T513" s="241"/>
      <c r="U513" s="1447">
        <v>0</v>
      </c>
      <c r="V513" s="1447"/>
      <c r="W513" s="1447"/>
      <c r="X513" s="249"/>
      <c r="Y513" s="1447">
        <v>0</v>
      </c>
      <c r="Z513" s="1447"/>
      <c r="AA513" s="1447"/>
      <c r="AB513" s="249"/>
      <c r="AC513" s="1447">
        <v>0</v>
      </c>
      <c r="AD513" s="1447"/>
      <c r="AE513" s="1447"/>
      <c r="AF513" s="249"/>
      <c r="AG513" s="1447">
        <v>0</v>
      </c>
      <c r="AH513" s="1447"/>
      <c r="AI513" s="1447"/>
      <c r="AJ513" s="242"/>
      <c r="AK513" s="242"/>
      <c r="AL513" s="242"/>
      <c r="AM513" s="242"/>
      <c r="AN513" s="242"/>
      <c r="AO513" s="242"/>
      <c r="AP513" s="242"/>
      <c r="AQ513" s="242"/>
      <c r="AR513" s="242"/>
      <c r="AS513" s="1446">
        <f>U513</f>
        <v>0</v>
      </c>
      <c r="AT513" s="1446"/>
      <c r="AU513" s="1446"/>
      <c r="AV513" s="55"/>
      <c r="AW513" s="1446">
        <f>Y513</f>
        <v>0</v>
      </c>
      <c r="AX513" s="1446"/>
      <c r="AY513" s="1446"/>
      <c r="AZ513" s="55"/>
      <c r="BA513" s="1446">
        <f>AC513</f>
        <v>0</v>
      </c>
      <c r="BB513" s="1446"/>
      <c r="BC513" s="1446"/>
      <c r="BD513" s="55"/>
      <c r="BE513" s="1446">
        <f>AG513</f>
        <v>0</v>
      </c>
      <c r="BF513" s="1446"/>
      <c r="BG513" s="1446"/>
      <c r="BH513" s="242"/>
      <c r="BI513" s="242"/>
      <c r="BJ513" s="242"/>
      <c r="BK513" s="242"/>
      <c r="BP513" s="31"/>
      <c r="BQ513" s="31"/>
      <c r="BR513" s="31"/>
      <c r="BS513" s="31"/>
      <c r="BT513" s="31"/>
      <c r="BU513" s="31"/>
      <c r="BV513" s="31"/>
      <c r="BW513" s="31"/>
      <c r="BX513" s="31"/>
    </row>
    <row r="514" spans="3:76" s="28" customFormat="1" ht="17.100000000000001" hidden="1" customHeight="1" outlineLevel="1">
      <c r="C514" s="489"/>
      <c r="D514" s="241" t="str">
        <f>D459</f>
        <v>bedarfsgerechte Ansteuerung (FU)</v>
      </c>
      <c r="E514" s="241"/>
      <c r="F514" s="241"/>
      <c r="G514" s="241"/>
      <c r="H514" s="241"/>
      <c r="I514" s="241"/>
      <c r="J514" s="241"/>
      <c r="K514" s="241"/>
      <c r="L514" s="241"/>
      <c r="M514" s="241"/>
      <c r="N514" s="241"/>
      <c r="O514" s="241"/>
      <c r="P514" s="241"/>
      <c r="Q514" s="241"/>
      <c r="R514" s="241"/>
      <c r="S514" s="241"/>
      <c r="T514" s="241"/>
      <c r="U514" s="1447">
        <v>0.3</v>
      </c>
      <c r="V514" s="1447"/>
      <c r="W514" s="1447"/>
      <c r="X514" s="249"/>
      <c r="Y514" s="1447">
        <v>0</v>
      </c>
      <c r="Z514" s="1447"/>
      <c r="AA514" s="1447"/>
      <c r="AB514" s="249"/>
      <c r="AC514" s="1447">
        <v>0.3</v>
      </c>
      <c r="AD514" s="1447"/>
      <c r="AE514" s="1447"/>
      <c r="AF514" s="249"/>
      <c r="AG514" s="1447">
        <v>0.5</v>
      </c>
      <c r="AH514" s="1447"/>
      <c r="AI514" s="1447"/>
      <c r="AJ514" s="242"/>
      <c r="AK514" s="242"/>
      <c r="AL514" s="242"/>
      <c r="AM514" s="242"/>
      <c r="AN514" s="242"/>
      <c r="AO514" s="242"/>
      <c r="AP514" s="242"/>
      <c r="AQ514" s="242"/>
      <c r="AR514" s="242"/>
      <c r="AS514" s="1446">
        <f>U514</f>
        <v>0.3</v>
      </c>
      <c r="AT514" s="1446"/>
      <c r="AU514" s="1446"/>
      <c r="AV514" s="55"/>
      <c r="AW514" s="1446">
        <f>Y514</f>
        <v>0</v>
      </c>
      <c r="AX514" s="1446"/>
      <c r="AY514" s="1446"/>
      <c r="AZ514" s="55"/>
      <c r="BA514" s="1446">
        <f>AC514</f>
        <v>0.3</v>
      </c>
      <c r="BB514" s="1446"/>
      <c r="BC514" s="1446"/>
      <c r="BD514" s="55"/>
      <c r="BE514" s="1446">
        <f>AG514</f>
        <v>0.5</v>
      </c>
      <c r="BF514" s="1446"/>
      <c r="BG514" s="1446"/>
      <c r="BH514" s="242"/>
      <c r="BI514" s="242"/>
      <c r="BJ514" s="242"/>
      <c r="BK514" s="242"/>
      <c r="BP514" s="31"/>
      <c r="BQ514" s="31"/>
      <c r="BR514" s="31"/>
      <c r="BS514" s="31"/>
      <c r="BT514" s="31"/>
      <c r="BU514" s="31"/>
      <c r="BV514" s="31"/>
      <c r="BW514" s="31"/>
      <c r="BX514" s="31"/>
    </row>
    <row r="515" spans="3:76" s="28" customFormat="1" ht="17.100000000000001" hidden="1" customHeight="1" outlineLevel="1">
      <c r="C515" s="489"/>
      <c r="D515" s="241"/>
      <c r="E515" s="241"/>
      <c r="F515" s="241"/>
      <c r="G515" s="241"/>
      <c r="H515" s="241"/>
      <c r="I515" s="241"/>
      <c r="J515" s="241"/>
      <c r="K515" s="241"/>
      <c r="L515" s="241"/>
      <c r="M515" s="241"/>
      <c r="N515" s="241"/>
      <c r="O515" s="241"/>
      <c r="P515" s="241"/>
      <c r="Q515" s="241"/>
      <c r="R515" s="241"/>
      <c r="S515" s="241"/>
      <c r="T515" s="241"/>
      <c r="U515" s="243"/>
      <c r="V515" s="243"/>
      <c r="W515" s="243"/>
      <c r="X515" s="55"/>
      <c r="Y515" s="243"/>
      <c r="Z515" s="243"/>
      <c r="AA515" s="243"/>
      <c r="AB515" s="55"/>
      <c r="AC515" s="243"/>
      <c r="AD515" s="243"/>
      <c r="AE515" s="243"/>
      <c r="AF515" s="55"/>
      <c r="AG515" s="243"/>
      <c r="AH515" s="243"/>
      <c r="AI515" s="243"/>
      <c r="AJ515" s="242"/>
      <c r="AK515" s="242"/>
      <c r="AL515" s="242"/>
      <c r="AM515" s="242"/>
      <c r="AN515" s="242"/>
      <c r="AO515" s="242"/>
      <c r="AP515" s="55"/>
      <c r="AQ515" s="55"/>
      <c r="AR515" s="55"/>
      <c r="AS515" s="243"/>
      <c r="AT515" s="243"/>
      <c r="AU515" s="243"/>
      <c r="AV515" s="55"/>
      <c r="AW515" s="243"/>
      <c r="AX515" s="243"/>
      <c r="AY515" s="243"/>
      <c r="AZ515" s="55"/>
      <c r="BA515" s="243"/>
      <c r="BB515" s="243"/>
      <c r="BC515" s="243"/>
      <c r="BD515" s="55"/>
      <c r="BE515" s="243"/>
      <c r="BF515" s="243"/>
      <c r="BG515" s="243"/>
      <c r="BH515" s="242"/>
      <c r="BI515" s="242"/>
      <c r="BJ515" s="242"/>
      <c r="BK515" s="242"/>
      <c r="BP515" s="31"/>
      <c r="BQ515" s="31"/>
      <c r="BR515" s="31"/>
      <c r="BS515" s="31"/>
      <c r="BT515" s="31"/>
      <c r="BU515" s="31"/>
      <c r="BV515" s="31"/>
      <c r="BW515" s="31"/>
      <c r="BX515" s="31"/>
    </row>
    <row r="516" spans="3:76" s="28" customFormat="1" ht="17.100000000000001" hidden="1" customHeight="1" outlineLevel="1">
      <c r="C516" s="489"/>
      <c r="D516" s="244" t="s">
        <v>143</v>
      </c>
      <c r="E516" s="241"/>
      <c r="F516" s="241"/>
      <c r="G516" s="241"/>
      <c r="H516" s="241"/>
      <c r="I516" s="241"/>
      <c r="J516" s="241"/>
      <c r="K516" s="241"/>
      <c r="L516" s="241"/>
      <c r="M516" s="241"/>
      <c r="N516" s="241"/>
      <c r="O516" s="241"/>
      <c r="P516" s="241"/>
      <c r="Q516" s="241"/>
      <c r="R516" s="241"/>
      <c r="S516" s="241"/>
      <c r="T516" s="241"/>
      <c r="U516" s="1530">
        <f>W76</f>
        <v>0</v>
      </c>
      <c r="V516" s="1530"/>
      <c r="W516" s="1530"/>
      <c r="X516" s="1530"/>
      <c r="Y516" s="1530"/>
      <c r="Z516" s="1530"/>
      <c r="AA516" s="1530"/>
      <c r="AB516" s="1530"/>
      <c r="AC516" s="1530"/>
      <c r="AD516" s="1530"/>
      <c r="AE516" s="1530"/>
      <c r="AF516" s="1530"/>
      <c r="AG516" s="1530"/>
      <c r="AH516" s="1530"/>
      <c r="AI516" s="1530"/>
      <c r="AJ516" s="242"/>
      <c r="AK516" s="242"/>
      <c r="AL516" s="242"/>
      <c r="AM516" s="242"/>
      <c r="AN516" s="242"/>
      <c r="AO516" s="242"/>
      <c r="AP516" s="242"/>
      <c r="AQ516" s="242"/>
      <c r="AR516" s="242"/>
      <c r="AS516" s="1530">
        <f>AU76</f>
        <v>0</v>
      </c>
      <c r="AT516" s="1530"/>
      <c r="AU516" s="1530"/>
      <c r="AV516" s="1530"/>
      <c r="AW516" s="1530"/>
      <c r="AX516" s="1530"/>
      <c r="AY516" s="1530"/>
      <c r="AZ516" s="1530"/>
      <c r="BA516" s="1530"/>
      <c r="BB516" s="1530"/>
      <c r="BC516" s="1530"/>
      <c r="BD516" s="1530"/>
      <c r="BE516" s="1530"/>
      <c r="BF516" s="1530"/>
      <c r="BG516" s="1530"/>
      <c r="BH516" s="242"/>
      <c r="BI516" s="242"/>
      <c r="BJ516" s="242"/>
      <c r="BK516" s="242"/>
      <c r="BP516" s="31"/>
      <c r="BQ516" s="31"/>
      <c r="BR516" s="31"/>
      <c r="BS516" s="31"/>
      <c r="BT516" s="31"/>
      <c r="BU516" s="31"/>
      <c r="BV516" s="31"/>
      <c r="BW516" s="31"/>
      <c r="BX516" s="31"/>
    </row>
    <row r="517" spans="3:76" s="155" customFormat="1" ht="17.100000000000001" hidden="1" customHeight="1" outlineLevel="1">
      <c r="C517" s="489"/>
      <c r="D517" s="227" t="s">
        <v>153</v>
      </c>
      <c r="N517" s="240"/>
      <c r="O517" s="240"/>
      <c r="P517" s="240"/>
      <c r="Q517" s="240"/>
      <c r="R517" s="240"/>
      <c r="S517" s="240"/>
      <c r="T517" s="240"/>
      <c r="U517" s="1531">
        <f>IF($D514=$U516,U514,U513)</f>
        <v>0</v>
      </c>
      <c r="V517" s="1531"/>
      <c r="W517" s="1531"/>
      <c r="X517" s="55"/>
      <c r="Y517" s="1531">
        <f>IF($D514=$U516,Y514,Y513)</f>
        <v>0</v>
      </c>
      <c r="Z517" s="1531"/>
      <c r="AA517" s="1531"/>
      <c r="AB517" s="55"/>
      <c r="AC517" s="1531">
        <f>IF($D514=$U516,AC514,AC513)</f>
        <v>0</v>
      </c>
      <c r="AD517" s="1531"/>
      <c r="AE517" s="1531"/>
      <c r="AF517" s="55"/>
      <c r="AG517" s="1531">
        <f>IF($D514=$U516,AG514,AG513)</f>
        <v>0</v>
      </c>
      <c r="AH517" s="1531"/>
      <c r="AI517" s="1531"/>
      <c r="AJ517" s="242"/>
      <c r="AK517" s="1532">
        <f>IF(AK518=0,0,1-AK519/AK518)</f>
        <v>0</v>
      </c>
      <c r="AL517" s="1532"/>
      <c r="AM517" s="1532"/>
      <c r="AN517" s="1532"/>
      <c r="AO517" s="1532"/>
      <c r="AP517" s="242"/>
      <c r="AQ517" s="242"/>
      <c r="AR517" s="242"/>
      <c r="AS517" s="1531">
        <f>IF($D514=$AS516,AS514,AS513)</f>
        <v>0</v>
      </c>
      <c r="AT517" s="1531"/>
      <c r="AU517" s="1531"/>
      <c r="AV517" s="55"/>
      <c r="AW517" s="1531">
        <f>IF($D514=$AS516,AW514,AW513)</f>
        <v>0</v>
      </c>
      <c r="AX517" s="1531"/>
      <c r="AY517" s="1531"/>
      <c r="AZ517" s="55"/>
      <c r="BA517" s="1531">
        <f>IF($D514=$AS516,BA514,BA513)</f>
        <v>0</v>
      </c>
      <c r="BB517" s="1531"/>
      <c r="BC517" s="1531"/>
      <c r="BD517" s="55"/>
      <c r="BE517" s="1531">
        <f>IF($D514=$AS516,BE514,BE513)</f>
        <v>0</v>
      </c>
      <c r="BF517" s="1531"/>
      <c r="BG517" s="1531"/>
      <c r="BH517" s="242"/>
      <c r="BI517" s="1532">
        <f>IF(BI518=0,0,1-BI519/BI518)</f>
        <v>0</v>
      </c>
      <c r="BJ517" s="1532"/>
      <c r="BK517" s="1532"/>
      <c r="BL517" s="28"/>
      <c r="BP517" s="31"/>
      <c r="BQ517" s="31"/>
      <c r="BR517" s="31"/>
      <c r="BS517" s="31"/>
      <c r="BT517" s="31"/>
      <c r="BU517" s="31"/>
      <c r="BV517" s="31"/>
      <c r="BW517" s="31"/>
      <c r="BX517" s="31"/>
    </row>
    <row r="518" spans="3:76" s="28" customFormat="1" ht="17.100000000000001" hidden="1" customHeight="1" outlineLevel="1">
      <c r="C518" s="489"/>
      <c r="D518" s="241" t="s">
        <v>154</v>
      </c>
      <c r="E518" s="241"/>
      <c r="F518" s="241"/>
      <c r="G518" s="241"/>
      <c r="H518" s="241"/>
      <c r="I518" s="241"/>
      <c r="J518" s="241"/>
      <c r="K518" s="241"/>
      <c r="L518" s="241"/>
      <c r="M518" s="241"/>
      <c r="N518" s="241"/>
      <c r="O518" s="241"/>
      <c r="P518" s="241" t="s">
        <v>118</v>
      </c>
      <c r="Q518" s="241"/>
      <c r="R518" s="241"/>
      <c r="S518" s="241"/>
      <c r="T518" s="241"/>
      <c r="U518" s="1488">
        <f>U$463</f>
        <v>0</v>
      </c>
      <c r="V518" s="1488"/>
      <c r="W518" s="1488"/>
      <c r="X518" s="55"/>
      <c r="Y518" s="1488">
        <f>Y$463</f>
        <v>0</v>
      </c>
      <c r="Z518" s="1488"/>
      <c r="AA518" s="1488"/>
      <c r="AB518" s="55"/>
      <c r="AC518" s="1488">
        <f>AC$463</f>
        <v>0</v>
      </c>
      <c r="AD518" s="1488"/>
      <c r="AE518" s="1488"/>
      <c r="AF518" s="55"/>
      <c r="AG518" s="1488">
        <f>AG$463</f>
        <v>0</v>
      </c>
      <c r="AH518" s="1488"/>
      <c r="AI518" s="1488"/>
      <c r="AJ518" s="242"/>
      <c r="AK518" s="1488">
        <f>SUM(U518:AI518)</f>
        <v>0</v>
      </c>
      <c r="AL518" s="1488"/>
      <c r="AM518" s="1488"/>
      <c r="AN518" s="1488"/>
      <c r="AO518" s="1488"/>
      <c r="AP518" s="242"/>
      <c r="AQ518" s="242"/>
      <c r="AR518" s="242"/>
      <c r="AS518" s="1488">
        <f>AS$463</f>
        <v>0</v>
      </c>
      <c r="AT518" s="1488"/>
      <c r="AU518" s="1488"/>
      <c r="AV518" s="55"/>
      <c r="AW518" s="1488">
        <f>AW$463</f>
        <v>0</v>
      </c>
      <c r="AX518" s="1488"/>
      <c r="AY518" s="1488"/>
      <c r="AZ518" s="55"/>
      <c r="BA518" s="1488">
        <f>BA$463</f>
        <v>0</v>
      </c>
      <c r="BB518" s="1488"/>
      <c r="BC518" s="1488"/>
      <c r="BD518" s="55"/>
      <c r="BE518" s="1488">
        <f>BE$463</f>
        <v>0</v>
      </c>
      <c r="BF518" s="1488"/>
      <c r="BG518" s="1488"/>
      <c r="BH518" s="242"/>
      <c r="BI518" s="1488">
        <f>SUM(AS518:BG518)</f>
        <v>0</v>
      </c>
      <c r="BJ518" s="1488"/>
      <c r="BK518" s="1488"/>
      <c r="BP518" s="31"/>
      <c r="BQ518" s="31"/>
      <c r="BR518" s="31"/>
      <c r="BS518" s="31"/>
      <c r="BT518" s="31"/>
      <c r="BU518" s="31"/>
      <c r="BV518" s="31"/>
      <c r="BW518" s="31"/>
      <c r="BX518" s="31"/>
    </row>
    <row r="519" spans="3:76" s="155" customFormat="1" ht="17.100000000000001" hidden="1" customHeight="1" outlineLevel="1">
      <c r="C519" s="489"/>
      <c r="D519" s="241" t="s">
        <v>155</v>
      </c>
      <c r="E519" s="241"/>
      <c r="F519" s="241"/>
      <c r="G519" s="241"/>
      <c r="H519" s="241"/>
      <c r="I519" s="241"/>
      <c r="J519" s="241"/>
      <c r="K519" s="241"/>
      <c r="L519" s="241"/>
      <c r="M519" s="241"/>
      <c r="N519" s="240"/>
      <c r="O519" s="240"/>
      <c r="P519" s="241" t="s">
        <v>118</v>
      </c>
      <c r="Q519" s="240"/>
      <c r="R519" s="240"/>
      <c r="S519" s="240"/>
      <c r="T519" s="240"/>
      <c r="U519" s="1489">
        <f>U518-U517*U518</f>
        <v>0</v>
      </c>
      <c r="V519" s="1489"/>
      <c r="W519" s="1489"/>
      <c r="X519" s="245"/>
      <c r="Y519" s="1489">
        <f>Y518-Y517*Y518</f>
        <v>0</v>
      </c>
      <c r="Z519" s="1489"/>
      <c r="AA519" s="1489"/>
      <c r="AB519" s="245"/>
      <c r="AC519" s="1489">
        <f>AC518-AC517*AC518</f>
        <v>0</v>
      </c>
      <c r="AD519" s="1489"/>
      <c r="AE519" s="1489"/>
      <c r="AF519" s="245"/>
      <c r="AG519" s="1489">
        <f>AG518-AG517*AG518</f>
        <v>0</v>
      </c>
      <c r="AH519" s="1489"/>
      <c r="AI519" s="1489"/>
      <c r="AJ519" s="61"/>
      <c r="AK519" s="1489">
        <f>SUM(U519:AI519)</f>
        <v>0</v>
      </c>
      <c r="AL519" s="1489"/>
      <c r="AM519" s="1489"/>
      <c r="AN519" s="1489"/>
      <c r="AO519" s="1489"/>
      <c r="AP519" s="156"/>
      <c r="AQ519" s="242"/>
      <c r="AR519" s="242"/>
      <c r="AS519" s="1490">
        <f>AS518-AS517*AS518</f>
        <v>0</v>
      </c>
      <c r="AT519" s="1490"/>
      <c r="AU519" s="1490"/>
      <c r="AV519" s="246"/>
      <c r="AW519" s="1490">
        <f>AW518-AW517*AW518</f>
        <v>0</v>
      </c>
      <c r="AX519" s="1490"/>
      <c r="AY519" s="1490"/>
      <c r="AZ519" s="246"/>
      <c r="BA519" s="1490">
        <f>BA518-BA517*BA518</f>
        <v>0</v>
      </c>
      <c r="BB519" s="1490"/>
      <c r="BC519" s="1490"/>
      <c r="BD519" s="246"/>
      <c r="BE519" s="1490">
        <f>BE518-BE517*BE518</f>
        <v>0</v>
      </c>
      <c r="BF519" s="1490"/>
      <c r="BG519" s="1490"/>
      <c r="BH519" s="156"/>
      <c r="BI519" s="1490">
        <f>SUM(AS519:BG519)</f>
        <v>0</v>
      </c>
      <c r="BJ519" s="1490"/>
      <c r="BK519" s="1490"/>
      <c r="BL519" s="28"/>
      <c r="BP519" s="31"/>
      <c r="BQ519" s="31"/>
      <c r="BR519" s="31"/>
      <c r="BS519" s="31"/>
      <c r="BT519" s="31"/>
      <c r="BU519" s="31"/>
      <c r="BV519" s="31"/>
      <c r="BW519" s="31"/>
      <c r="BX519" s="31"/>
    </row>
    <row r="520" spans="3:76" s="155" customFormat="1" ht="17.100000000000001" hidden="1" customHeight="1" outlineLevel="1">
      <c r="C520" s="491"/>
      <c r="P520" s="156"/>
      <c r="Q520" s="156"/>
      <c r="R520" s="156"/>
      <c r="S520" s="156"/>
      <c r="T520" s="156"/>
      <c r="U520" s="156"/>
      <c r="V520" s="156"/>
      <c r="W520" s="156"/>
      <c r="X520" s="156"/>
      <c r="Y520" s="156"/>
      <c r="Z520" s="156"/>
      <c r="AA520" s="247"/>
      <c r="AB520" s="247"/>
      <c r="AC520" s="247"/>
      <c r="AD520" s="247"/>
      <c r="AE520" s="247"/>
      <c r="AP520" s="248"/>
      <c r="AQ520" s="248"/>
      <c r="AR520" s="248"/>
      <c r="AS520" s="248"/>
      <c r="AT520" s="248"/>
      <c r="AU520" s="156"/>
      <c r="BA520" s="28"/>
      <c r="BL520" s="28"/>
      <c r="BP520" s="31"/>
      <c r="BQ520" s="31"/>
      <c r="BR520" s="31"/>
      <c r="BS520" s="31"/>
      <c r="BT520" s="31"/>
      <c r="BU520" s="31"/>
      <c r="BV520" s="31"/>
      <c r="BW520" s="31"/>
      <c r="BX520" s="31"/>
    </row>
    <row r="521" spans="3:76" s="155" customFormat="1" ht="17.100000000000001" hidden="1" customHeight="1" outlineLevel="1">
      <c r="C521" s="491"/>
      <c r="P521" s="156"/>
      <c r="Q521" s="156"/>
      <c r="R521" s="156"/>
      <c r="S521" s="156"/>
      <c r="T521" s="156"/>
      <c r="U521" s="156"/>
      <c r="V521" s="156"/>
      <c r="W521" s="156"/>
      <c r="X521" s="156"/>
      <c r="Y521" s="156"/>
      <c r="Z521" s="156"/>
      <c r="AA521" s="247"/>
      <c r="AB521" s="247"/>
      <c r="AC521" s="247"/>
      <c r="AD521" s="247"/>
      <c r="AE521" s="247"/>
      <c r="AP521" s="248"/>
      <c r="AQ521" s="248"/>
      <c r="AR521" s="248"/>
      <c r="AS521" s="248"/>
      <c r="AT521" s="248"/>
      <c r="AU521" s="156"/>
      <c r="BA521" s="28"/>
      <c r="BL521" s="28"/>
      <c r="BP521" s="28"/>
      <c r="BQ521" s="28"/>
      <c r="BR521" s="28"/>
      <c r="BS521" s="28"/>
      <c r="BT521" s="28"/>
      <c r="BU521" s="28"/>
      <c r="BV521" s="28"/>
      <c r="BW521" s="28"/>
      <c r="BX521" s="28"/>
    </row>
    <row r="522" spans="3:76" s="28" customFormat="1" ht="17.100000000000001" hidden="1" customHeight="1" outlineLevel="1">
      <c r="C522" s="518" t="str">
        <f>D78</f>
        <v>Ventilatoren Kühler</v>
      </c>
      <c r="D522" s="241"/>
      <c r="E522" s="241"/>
      <c r="F522" s="241"/>
      <c r="G522" s="241"/>
      <c r="H522" s="241"/>
      <c r="I522" s="241"/>
      <c r="J522" s="241"/>
      <c r="K522" s="241"/>
      <c r="L522" s="241"/>
      <c r="M522" s="241"/>
      <c r="N522" s="241"/>
      <c r="O522" s="241"/>
      <c r="P522" s="241"/>
      <c r="Q522" s="241"/>
      <c r="R522" s="241"/>
      <c r="S522" s="241"/>
      <c r="T522" s="241"/>
      <c r="U522" s="1446" t="s">
        <v>117</v>
      </c>
      <c r="V522" s="1446"/>
      <c r="W522" s="1446"/>
      <c r="X522" s="55"/>
      <c r="Y522" s="1446" t="s">
        <v>120</v>
      </c>
      <c r="Z522" s="1446"/>
      <c r="AA522" s="1446"/>
      <c r="AB522" s="55"/>
      <c r="AC522" s="1446" t="s">
        <v>121</v>
      </c>
      <c r="AD522" s="1446"/>
      <c r="AE522" s="1446"/>
      <c r="AF522" s="55"/>
      <c r="AG522" s="1446" t="s">
        <v>122</v>
      </c>
      <c r="AH522" s="1446"/>
      <c r="AI522" s="1446"/>
      <c r="AJ522" s="242"/>
      <c r="AK522" s="242"/>
      <c r="AL522" s="242"/>
      <c r="AM522" s="242"/>
      <c r="AN522" s="242"/>
      <c r="AO522" s="242"/>
      <c r="AP522" s="242"/>
      <c r="AQ522" s="242"/>
      <c r="AR522" s="242"/>
      <c r="AS522" s="1446" t="s">
        <v>117</v>
      </c>
      <c r="AT522" s="1446"/>
      <c r="AU522" s="1446"/>
      <c r="AV522" s="55"/>
      <c r="AW522" s="1446" t="s">
        <v>120</v>
      </c>
      <c r="AX522" s="1446"/>
      <c r="AY522" s="1446"/>
      <c r="AZ522" s="55"/>
      <c r="BA522" s="1446" t="s">
        <v>121</v>
      </c>
      <c r="BB522" s="1446"/>
      <c r="BC522" s="1446"/>
      <c r="BD522" s="55"/>
      <c r="BE522" s="1446" t="s">
        <v>122</v>
      </c>
      <c r="BF522" s="1446"/>
      <c r="BG522" s="1446"/>
      <c r="BH522" s="242"/>
      <c r="BI522" s="242"/>
      <c r="BJ522" s="242"/>
      <c r="BK522" s="242"/>
      <c r="BP522" s="31"/>
      <c r="BQ522" s="31"/>
      <c r="BR522" s="31"/>
      <c r="BS522" s="31"/>
      <c r="BT522" s="31"/>
      <c r="BU522" s="31"/>
      <c r="BV522" s="31"/>
      <c r="BW522" s="31"/>
      <c r="BX522" s="31"/>
    </row>
    <row r="523" spans="3:76" s="28" customFormat="1" ht="17.100000000000001" hidden="1" customHeight="1" outlineLevel="1">
      <c r="C523" s="489"/>
      <c r="D523" s="241" t="str">
        <f>D468</f>
        <v>ein/aus</v>
      </c>
      <c r="E523" s="241"/>
      <c r="F523" s="241"/>
      <c r="G523" s="241"/>
      <c r="H523" s="241"/>
      <c r="I523" s="241"/>
      <c r="J523" s="241"/>
      <c r="K523" s="241"/>
      <c r="L523" s="241"/>
      <c r="M523" s="241"/>
      <c r="N523" s="241"/>
      <c r="O523" s="241"/>
      <c r="P523" s="241"/>
      <c r="Q523" s="241"/>
      <c r="R523" s="241"/>
      <c r="S523" s="241"/>
      <c r="T523" s="241"/>
      <c r="U523" s="1447">
        <v>0</v>
      </c>
      <c r="V523" s="1447"/>
      <c r="W523" s="1447"/>
      <c r="X523" s="249"/>
      <c r="Y523" s="1447">
        <v>0</v>
      </c>
      <c r="Z523" s="1447"/>
      <c r="AA523" s="1447"/>
      <c r="AB523" s="249"/>
      <c r="AC523" s="1447">
        <v>0</v>
      </c>
      <c r="AD523" s="1447"/>
      <c r="AE523" s="1447"/>
      <c r="AF523" s="249"/>
      <c r="AG523" s="1447">
        <v>0</v>
      </c>
      <c r="AH523" s="1447"/>
      <c r="AI523" s="1447"/>
      <c r="AJ523" s="242"/>
      <c r="AK523" s="242"/>
      <c r="AL523" s="242"/>
      <c r="AM523" s="242"/>
      <c r="AN523" s="242"/>
      <c r="AO523" s="242"/>
      <c r="AP523" s="242"/>
      <c r="AQ523" s="242"/>
      <c r="AR523" s="242"/>
      <c r="AS523" s="1446">
        <f>U523</f>
        <v>0</v>
      </c>
      <c r="AT523" s="1446"/>
      <c r="AU523" s="1446"/>
      <c r="AV523" s="55"/>
      <c r="AW523" s="1446">
        <f>Y523</f>
        <v>0</v>
      </c>
      <c r="AX523" s="1446"/>
      <c r="AY523" s="1446"/>
      <c r="AZ523" s="55"/>
      <c r="BA523" s="1446">
        <f>AC523</f>
        <v>0</v>
      </c>
      <c r="BB523" s="1446"/>
      <c r="BC523" s="1446"/>
      <c r="BD523" s="55"/>
      <c r="BE523" s="1446">
        <f>AG523</f>
        <v>0</v>
      </c>
      <c r="BF523" s="1446"/>
      <c r="BG523" s="1446"/>
      <c r="BH523" s="242"/>
      <c r="BI523" s="242"/>
      <c r="BJ523" s="242"/>
      <c r="BK523" s="242"/>
      <c r="BP523" s="31"/>
      <c r="BQ523" s="31"/>
      <c r="BR523" s="31"/>
      <c r="BS523" s="31"/>
      <c r="BT523" s="31"/>
      <c r="BU523" s="31"/>
      <c r="BV523" s="31"/>
      <c r="BW523" s="31"/>
      <c r="BX523" s="31"/>
    </row>
    <row r="524" spans="3:76" s="28" customFormat="1" ht="17.100000000000001" hidden="1" customHeight="1" outlineLevel="1">
      <c r="C524" s="489"/>
      <c r="D524" s="241" t="str">
        <f>D489</f>
        <v>bedarfsgerechte Ansteuerung (FU/EC-modulierbar)</v>
      </c>
      <c r="E524" s="241"/>
      <c r="F524" s="241"/>
      <c r="G524" s="241"/>
      <c r="H524" s="241"/>
      <c r="I524" s="241"/>
      <c r="J524" s="241"/>
      <c r="K524" s="241"/>
      <c r="L524" s="241"/>
      <c r="M524" s="241"/>
      <c r="N524" s="241"/>
      <c r="O524" s="241"/>
      <c r="P524" s="241"/>
      <c r="Q524" s="241"/>
      <c r="R524" s="241"/>
      <c r="S524" s="241"/>
      <c r="T524" s="241"/>
      <c r="U524" s="1447">
        <v>0.3</v>
      </c>
      <c r="V524" s="1447"/>
      <c r="W524" s="1447"/>
      <c r="X524" s="249"/>
      <c r="Y524" s="1447">
        <v>0</v>
      </c>
      <c r="Z524" s="1447"/>
      <c r="AA524" s="1447"/>
      <c r="AB524" s="249"/>
      <c r="AC524" s="1447">
        <v>0.3</v>
      </c>
      <c r="AD524" s="1447"/>
      <c r="AE524" s="1447"/>
      <c r="AF524" s="249"/>
      <c r="AG524" s="1447">
        <v>0.5</v>
      </c>
      <c r="AH524" s="1447"/>
      <c r="AI524" s="1447"/>
      <c r="AJ524" s="242"/>
      <c r="AK524" s="242"/>
      <c r="AL524" s="242"/>
      <c r="AM524" s="242"/>
      <c r="AN524" s="242"/>
      <c r="AO524" s="242"/>
      <c r="AP524" s="242"/>
      <c r="AQ524" s="242"/>
      <c r="AR524" s="242"/>
      <c r="AS524" s="1446">
        <f>U524</f>
        <v>0.3</v>
      </c>
      <c r="AT524" s="1446"/>
      <c r="AU524" s="1446"/>
      <c r="AV524" s="55"/>
      <c r="AW524" s="1446">
        <f>Y524</f>
        <v>0</v>
      </c>
      <c r="AX524" s="1446"/>
      <c r="AY524" s="1446"/>
      <c r="AZ524" s="55"/>
      <c r="BA524" s="1446">
        <f>AC524</f>
        <v>0.3</v>
      </c>
      <c r="BB524" s="1446"/>
      <c r="BC524" s="1446"/>
      <c r="BD524" s="55"/>
      <c r="BE524" s="1446">
        <f>AG524</f>
        <v>0.5</v>
      </c>
      <c r="BF524" s="1446"/>
      <c r="BG524" s="1446"/>
      <c r="BH524" s="242"/>
      <c r="BI524" s="242"/>
      <c r="BJ524" s="242"/>
      <c r="BK524" s="242"/>
      <c r="BP524" s="31"/>
      <c r="BQ524" s="31"/>
      <c r="BR524" s="31"/>
      <c r="BS524" s="31"/>
      <c r="BT524" s="31"/>
      <c r="BU524" s="31"/>
      <c r="BV524" s="31"/>
      <c r="BW524" s="31"/>
      <c r="BX524" s="31"/>
    </row>
    <row r="525" spans="3:76" s="28" customFormat="1" ht="17.100000000000001" hidden="1" customHeight="1" outlineLevel="1">
      <c r="C525" s="489"/>
      <c r="D525" s="241"/>
      <c r="E525" s="241"/>
      <c r="F525" s="241"/>
      <c r="G525" s="241"/>
      <c r="H525" s="241"/>
      <c r="I525" s="241"/>
      <c r="J525" s="241"/>
      <c r="K525" s="241"/>
      <c r="L525" s="241"/>
      <c r="M525" s="241"/>
      <c r="N525" s="241"/>
      <c r="O525" s="241"/>
      <c r="P525" s="241"/>
      <c r="Q525" s="241"/>
      <c r="R525" s="241"/>
      <c r="S525" s="241"/>
      <c r="T525" s="241"/>
      <c r="U525" s="243"/>
      <c r="V525" s="243"/>
      <c r="W525" s="243"/>
      <c r="X525" s="55"/>
      <c r="Y525" s="243"/>
      <c r="Z525" s="243"/>
      <c r="AA525" s="243"/>
      <c r="AB525" s="55"/>
      <c r="AC525" s="243"/>
      <c r="AD525" s="243"/>
      <c r="AE525" s="243"/>
      <c r="AF525" s="55"/>
      <c r="AG525" s="243"/>
      <c r="AH525" s="243"/>
      <c r="AI525" s="243"/>
      <c r="AJ525" s="242"/>
      <c r="AK525" s="242"/>
      <c r="AL525" s="242"/>
      <c r="AM525" s="242"/>
      <c r="AN525" s="242"/>
      <c r="AO525" s="242"/>
      <c r="AP525" s="55"/>
      <c r="AQ525" s="55"/>
      <c r="AR525" s="55"/>
      <c r="AS525" s="243"/>
      <c r="AT525" s="243"/>
      <c r="AU525" s="243"/>
      <c r="AV525" s="55"/>
      <c r="AW525" s="243"/>
      <c r="AX525" s="243"/>
      <c r="AY525" s="243"/>
      <c r="AZ525" s="55"/>
      <c r="BA525" s="243"/>
      <c r="BB525" s="243"/>
      <c r="BC525" s="243"/>
      <c r="BD525" s="55"/>
      <c r="BE525" s="243"/>
      <c r="BF525" s="243"/>
      <c r="BG525" s="243"/>
      <c r="BH525" s="242"/>
      <c r="BI525" s="242"/>
      <c r="BJ525" s="242"/>
      <c r="BK525" s="242"/>
      <c r="BP525" s="31"/>
      <c r="BQ525" s="31"/>
      <c r="BR525" s="31"/>
      <c r="BS525" s="31"/>
      <c r="BT525" s="31"/>
      <c r="BU525" s="31"/>
      <c r="BV525" s="31"/>
      <c r="BW525" s="31"/>
      <c r="BX525" s="31"/>
    </row>
    <row r="526" spans="3:76" s="28" customFormat="1" ht="17.100000000000001" hidden="1" customHeight="1" outlineLevel="1">
      <c r="C526" s="489"/>
      <c r="D526" s="244" t="s">
        <v>143</v>
      </c>
      <c r="E526" s="241"/>
      <c r="F526" s="241"/>
      <c r="G526" s="241"/>
      <c r="H526" s="241"/>
      <c r="I526" s="241"/>
      <c r="J526" s="241"/>
      <c r="K526" s="241"/>
      <c r="L526" s="241"/>
      <c r="M526" s="241"/>
      <c r="N526" s="241"/>
      <c r="O526" s="241"/>
      <c r="P526" s="241"/>
      <c r="Q526" s="241"/>
      <c r="R526" s="241"/>
      <c r="S526" s="241"/>
      <c r="T526" s="241"/>
      <c r="U526" s="1530">
        <f>W78</f>
        <v>0</v>
      </c>
      <c r="V526" s="1530"/>
      <c r="W526" s="1530"/>
      <c r="X526" s="1530"/>
      <c r="Y526" s="1530"/>
      <c r="Z526" s="1530"/>
      <c r="AA526" s="1530"/>
      <c r="AB526" s="1530"/>
      <c r="AC526" s="1530"/>
      <c r="AD526" s="1530"/>
      <c r="AE526" s="1530"/>
      <c r="AF526" s="1530"/>
      <c r="AG526" s="1530"/>
      <c r="AH526" s="1530"/>
      <c r="AI526" s="1530"/>
      <c r="AJ526" s="242"/>
      <c r="AK526" s="242"/>
      <c r="AL526" s="242"/>
      <c r="AM526" s="242"/>
      <c r="AN526" s="242"/>
      <c r="AO526" s="242"/>
      <c r="AP526" s="242"/>
      <c r="AQ526" s="242"/>
      <c r="AR526" s="242"/>
      <c r="AS526" s="1530">
        <f>AU78</f>
        <v>0</v>
      </c>
      <c r="AT526" s="1530"/>
      <c r="AU526" s="1530"/>
      <c r="AV526" s="1530"/>
      <c r="AW526" s="1530"/>
      <c r="AX526" s="1530"/>
      <c r="AY526" s="1530"/>
      <c r="AZ526" s="1530"/>
      <c r="BA526" s="1530"/>
      <c r="BB526" s="1530"/>
      <c r="BC526" s="1530"/>
      <c r="BD526" s="1530"/>
      <c r="BE526" s="1530"/>
      <c r="BF526" s="1530"/>
      <c r="BG526" s="1530"/>
      <c r="BH526" s="242"/>
      <c r="BI526" s="242"/>
      <c r="BJ526" s="242"/>
      <c r="BK526" s="242"/>
      <c r="BP526" s="31"/>
      <c r="BQ526" s="31"/>
      <c r="BR526" s="31"/>
      <c r="BS526" s="31"/>
      <c r="BT526" s="31"/>
      <c r="BU526" s="31"/>
      <c r="BV526" s="31"/>
      <c r="BW526" s="31"/>
      <c r="BX526" s="31"/>
    </row>
    <row r="527" spans="3:76" s="155" customFormat="1" ht="17.100000000000001" hidden="1" customHeight="1" outlineLevel="1">
      <c r="C527" s="489"/>
      <c r="D527" s="227" t="s">
        <v>153</v>
      </c>
      <c r="N527" s="240"/>
      <c r="O527" s="240"/>
      <c r="P527" s="240"/>
      <c r="Q527" s="240"/>
      <c r="R527" s="240"/>
      <c r="S527" s="240"/>
      <c r="T527" s="240"/>
      <c r="U527" s="1531">
        <f>IF($D524=$U526,U524,U523)</f>
        <v>0</v>
      </c>
      <c r="V527" s="1531"/>
      <c r="W527" s="1531"/>
      <c r="X527" s="55"/>
      <c r="Y527" s="1531">
        <f>IF($D524=$U526,Y524,Y523)</f>
        <v>0</v>
      </c>
      <c r="Z527" s="1531"/>
      <c r="AA527" s="1531"/>
      <c r="AB527" s="55"/>
      <c r="AC527" s="1531">
        <f>IF($D524=$U526,AC524,AC523)</f>
        <v>0</v>
      </c>
      <c r="AD527" s="1531"/>
      <c r="AE527" s="1531"/>
      <c r="AF527" s="55"/>
      <c r="AG527" s="1531">
        <f>IF($D524=$U526,AG524,AG523)</f>
        <v>0</v>
      </c>
      <c r="AH527" s="1531"/>
      <c r="AI527" s="1531"/>
      <c r="AJ527" s="242"/>
      <c r="AK527" s="1532">
        <f>IF(AK528=0,0,1-AK529/AK528)</f>
        <v>0</v>
      </c>
      <c r="AL527" s="1532"/>
      <c r="AM527" s="1532"/>
      <c r="AN527" s="1532"/>
      <c r="AO527" s="1532"/>
      <c r="AP527" s="242"/>
      <c r="AQ527" s="242"/>
      <c r="AR527" s="242"/>
      <c r="AS527" s="1531">
        <f>IF($D524=$AS526,AS524,AS523)</f>
        <v>0</v>
      </c>
      <c r="AT527" s="1531"/>
      <c r="AU527" s="1531"/>
      <c r="AV527" s="55"/>
      <c r="AW527" s="1531">
        <f>IF($D524=$AS526,AW524,AW523)</f>
        <v>0</v>
      </c>
      <c r="AX527" s="1531"/>
      <c r="AY527" s="1531"/>
      <c r="AZ527" s="55"/>
      <c r="BA527" s="1531">
        <f>IF($D524=$AS526,BA524,BA523)</f>
        <v>0</v>
      </c>
      <c r="BB527" s="1531"/>
      <c r="BC527" s="1531"/>
      <c r="BD527" s="55"/>
      <c r="BE527" s="1531">
        <f>IF($D524=$AS526,BE524,BE523)</f>
        <v>0</v>
      </c>
      <c r="BF527" s="1531"/>
      <c r="BG527" s="1531"/>
      <c r="BH527" s="242"/>
      <c r="BI527" s="1532">
        <f>IF(BI528=0,0,1-BI529/BI528)</f>
        <v>0</v>
      </c>
      <c r="BJ527" s="1532"/>
      <c r="BK527" s="1532"/>
      <c r="BL527" s="28"/>
      <c r="BP527" s="31"/>
      <c r="BQ527" s="31"/>
      <c r="BR527" s="31"/>
      <c r="BS527" s="31"/>
      <c r="BT527" s="31"/>
      <c r="BU527" s="31"/>
      <c r="BV527" s="31"/>
      <c r="BW527" s="31"/>
      <c r="BX527" s="31"/>
    </row>
    <row r="528" spans="3:76" s="28" customFormat="1" ht="17.100000000000001" hidden="1" customHeight="1" outlineLevel="1">
      <c r="C528" s="489"/>
      <c r="D528" s="241" t="s">
        <v>154</v>
      </c>
      <c r="E528" s="241"/>
      <c r="F528" s="241"/>
      <c r="G528" s="241"/>
      <c r="H528" s="241"/>
      <c r="I528" s="241"/>
      <c r="J528" s="241"/>
      <c r="K528" s="241"/>
      <c r="L528" s="241"/>
      <c r="M528" s="241"/>
      <c r="N528" s="241"/>
      <c r="O528" s="241"/>
      <c r="P528" s="241" t="s">
        <v>118</v>
      </c>
      <c r="Q528" s="241"/>
      <c r="R528" s="241"/>
      <c r="S528" s="241"/>
      <c r="T528" s="241"/>
      <c r="U528" s="1488">
        <f>U$463</f>
        <v>0</v>
      </c>
      <c r="V528" s="1488"/>
      <c r="W528" s="1488"/>
      <c r="X528" s="55"/>
      <c r="Y528" s="1488">
        <f>Y$463</f>
        <v>0</v>
      </c>
      <c r="Z528" s="1488"/>
      <c r="AA528" s="1488"/>
      <c r="AB528" s="55"/>
      <c r="AC528" s="1488">
        <f>AC$463</f>
        <v>0</v>
      </c>
      <c r="AD528" s="1488"/>
      <c r="AE528" s="1488"/>
      <c r="AF528" s="55"/>
      <c r="AG528" s="1488">
        <f>AG$463</f>
        <v>0</v>
      </c>
      <c r="AH528" s="1488"/>
      <c r="AI528" s="1488"/>
      <c r="AJ528" s="242"/>
      <c r="AK528" s="1488">
        <f>SUM(U528:AI528)</f>
        <v>0</v>
      </c>
      <c r="AL528" s="1488"/>
      <c r="AM528" s="1488"/>
      <c r="AN528" s="1488"/>
      <c r="AO528" s="1488"/>
      <c r="AP528" s="242"/>
      <c r="AQ528" s="242"/>
      <c r="AR528" s="242"/>
      <c r="AS528" s="1488">
        <f>AS$463</f>
        <v>0</v>
      </c>
      <c r="AT528" s="1488"/>
      <c r="AU528" s="1488"/>
      <c r="AV528" s="55"/>
      <c r="AW528" s="1488">
        <f>AW$463</f>
        <v>0</v>
      </c>
      <c r="AX528" s="1488"/>
      <c r="AY528" s="1488"/>
      <c r="AZ528" s="55"/>
      <c r="BA528" s="1488">
        <f>BA$463</f>
        <v>0</v>
      </c>
      <c r="BB528" s="1488"/>
      <c r="BC528" s="1488"/>
      <c r="BD528" s="55"/>
      <c r="BE528" s="1488">
        <f>BE$463</f>
        <v>0</v>
      </c>
      <c r="BF528" s="1488"/>
      <c r="BG528" s="1488"/>
      <c r="BH528" s="242"/>
      <c r="BI528" s="1488">
        <f>SUM(AS528:BG528)</f>
        <v>0</v>
      </c>
      <c r="BJ528" s="1488"/>
      <c r="BK528" s="1488"/>
      <c r="BP528" s="31"/>
      <c r="BQ528" s="31"/>
      <c r="BR528" s="31"/>
      <c r="BS528" s="31"/>
      <c r="BT528" s="31"/>
      <c r="BU528" s="31"/>
      <c r="BV528" s="31"/>
      <c r="BW528" s="31"/>
      <c r="BX528" s="31"/>
    </row>
    <row r="529" spans="3:76" s="155" customFormat="1" ht="17.100000000000001" hidden="1" customHeight="1" outlineLevel="1">
      <c r="C529" s="489"/>
      <c r="D529" s="241" t="s">
        <v>155</v>
      </c>
      <c r="E529" s="241"/>
      <c r="F529" s="241"/>
      <c r="G529" s="241"/>
      <c r="H529" s="241"/>
      <c r="I529" s="241"/>
      <c r="J529" s="241"/>
      <c r="K529" s="241"/>
      <c r="L529" s="241"/>
      <c r="M529" s="241"/>
      <c r="N529" s="240"/>
      <c r="O529" s="240"/>
      <c r="P529" s="241" t="s">
        <v>118</v>
      </c>
      <c r="Q529" s="240"/>
      <c r="R529" s="240"/>
      <c r="S529" s="240"/>
      <c r="T529" s="240"/>
      <c r="U529" s="1489">
        <f>U528-U527*U528</f>
        <v>0</v>
      </c>
      <c r="V529" s="1489"/>
      <c r="W529" s="1489"/>
      <c r="X529" s="245"/>
      <c r="Y529" s="1489">
        <f>Y528-Y527*Y528</f>
        <v>0</v>
      </c>
      <c r="Z529" s="1489"/>
      <c r="AA529" s="1489"/>
      <c r="AB529" s="245"/>
      <c r="AC529" s="1489">
        <f>AC528-AC527*AC528</f>
        <v>0</v>
      </c>
      <c r="AD529" s="1489"/>
      <c r="AE529" s="1489"/>
      <c r="AF529" s="245"/>
      <c r="AG529" s="1489">
        <f>AG528-AG527*AG528</f>
        <v>0</v>
      </c>
      <c r="AH529" s="1489"/>
      <c r="AI529" s="1489"/>
      <c r="AJ529" s="61"/>
      <c r="AK529" s="1489">
        <f>SUM(U529:AI529)</f>
        <v>0</v>
      </c>
      <c r="AL529" s="1489"/>
      <c r="AM529" s="1489"/>
      <c r="AN529" s="1489"/>
      <c r="AO529" s="1489"/>
      <c r="AP529" s="156"/>
      <c r="AQ529" s="242"/>
      <c r="AR529" s="242"/>
      <c r="AS529" s="1490">
        <f>AS528-AS527*AS528</f>
        <v>0</v>
      </c>
      <c r="AT529" s="1490"/>
      <c r="AU529" s="1490"/>
      <c r="AV529" s="246"/>
      <c r="AW529" s="1490">
        <f>AW528-AW527*AW528</f>
        <v>0</v>
      </c>
      <c r="AX529" s="1490"/>
      <c r="AY529" s="1490"/>
      <c r="AZ529" s="246"/>
      <c r="BA529" s="1490">
        <f>BA528-BA527*BA528</f>
        <v>0</v>
      </c>
      <c r="BB529" s="1490"/>
      <c r="BC529" s="1490"/>
      <c r="BD529" s="246"/>
      <c r="BE529" s="1490">
        <f>BE528-BE527*BE528</f>
        <v>0</v>
      </c>
      <c r="BF529" s="1490"/>
      <c r="BG529" s="1490"/>
      <c r="BH529" s="156"/>
      <c r="BI529" s="1490">
        <f>SUM(AS529:BG529)</f>
        <v>0</v>
      </c>
      <c r="BJ529" s="1490"/>
      <c r="BK529" s="1490"/>
      <c r="BL529" s="28"/>
      <c r="BP529" s="52"/>
      <c r="BQ529" s="52"/>
      <c r="BR529" s="52"/>
      <c r="BS529" s="52"/>
      <c r="BT529" s="52"/>
      <c r="BU529" s="52"/>
      <c r="BV529" s="52"/>
      <c r="BW529" s="52"/>
      <c r="BX529" s="52"/>
    </row>
    <row r="530" spans="3:76" s="155" customFormat="1" ht="17.100000000000001" hidden="1" customHeight="1" outlineLevel="1">
      <c r="C530" s="491"/>
      <c r="P530" s="156"/>
      <c r="Q530" s="156"/>
      <c r="R530" s="156"/>
      <c r="S530" s="156"/>
      <c r="T530" s="156"/>
      <c r="U530" s="156"/>
      <c r="V530" s="156"/>
      <c r="W530" s="156"/>
      <c r="X530" s="156"/>
      <c r="Y530" s="156"/>
      <c r="Z530" s="156"/>
      <c r="AA530" s="247"/>
      <c r="AB530" s="247"/>
      <c r="AC530" s="247"/>
      <c r="AD530" s="247"/>
      <c r="AE530" s="247"/>
      <c r="AP530" s="248"/>
      <c r="AQ530" s="248"/>
      <c r="AR530" s="248"/>
      <c r="AS530" s="248"/>
      <c r="AT530" s="248"/>
      <c r="AU530" s="156"/>
      <c r="BA530" s="28"/>
      <c r="BL530" s="28"/>
      <c r="BP530" s="31"/>
      <c r="BQ530" s="31"/>
      <c r="BR530" s="31"/>
      <c r="BS530" s="31"/>
      <c r="BT530" s="31"/>
      <c r="BU530" s="31"/>
      <c r="BV530" s="31"/>
      <c r="BW530" s="31"/>
      <c r="BX530" s="31"/>
    </row>
    <row r="531" spans="3:76" ht="15" hidden="1" outlineLevel="1">
      <c r="C531" s="494" t="s">
        <v>960</v>
      </c>
      <c r="D531" s="7"/>
      <c r="E531" s="7"/>
      <c r="F531" s="7"/>
      <c r="G531" s="7"/>
      <c r="H531" s="7"/>
      <c r="I531" s="7"/>
      <c r="J531" s="7"/>
      <c r="K531" s="7"/>
      <c r="L531" s="7"/>
      <c r="M531" s="7"/>
      <c r="N531" s="7"/>
      <c r="O531" s="7"/>
      <c r="P531" s="10"/>
      <c r="Q531" s="12"/>
      <c r="R531" s="6"/>
      <c r="S531" s="6"/>
      <c r="T531" s="6"/>
      <c r="U531" s="8"/>
      <c r="V531" s="8"/>
      <c r="W531" s="8"/>
      <c r="X531" s="8"/>
      <c r="Y531" s="8"/>
      <c r="Z531" s="9"/>
      <c r="AB531" s="28"/>
      <c r="BL531" s="28"/>
    </row>
    <row r="532" spans="3:76" s="28" customFormat="1" ht="17.100000000000001" hidden="1" customHeight="1" outlineLevel="1">
      <c r="C532" s="518">
        <f>D80</f>
        <v>0</v>
      </c>
      <c r="D532" s="241"/>
      <c r="E532" s="241"/>
      <c r="F532" s="241"/>
      <c r="G532" s="241"/>
      <c r="H532" s="241"/>
      <c r="I532" s="241"/>
      <c r="J532" s="241"/>
      <c r="K532" s="241"/>
      <c r="L532" s="241"/>
      <c r="M532" s="241"/>
      <c r="N532" s="241"/>
      <c r="O532" s="241"/>
      <c r="P532" s="241"/>
      <c r="Q532" s="241"/>
      <c r="R532" s="241"/>
      <c r="S532" s="241"/>
      <c r="T532" s="241"/>
      <c r="U532" s="1446" t="s">
        <v>117</v>
      </c>
      <c r="V532" s="1446"/>
      <c r="W532" s="1446"/>
      <c r="X532" s="55"/>
      <c r="Y532" s="1446" t="s">
        <v>120</v>
      </c>
      <c r="Z532" s="1446"/>
      <c r="AA532" s="1446"/>
      <c r="AB532" s="55"/>
      <c r="AC532" s="1446" t="s">
        <v>121</v>
      </c>
      <c r="AD532" s="1446"/>
      <c r="AE532" s="1446"/>
      <c r="AF532" s="55"/>
      <c r="AG532" s="1446" t="s">
        <v>122</v>
      </c>
      <c r="AH532" s="1446"/>
      <c r="AI532" s="1446"/>
      <c r="AJ532" s="242"/>
      <c r="AK532" s="242"/>
      <c r="AL532" s="242"/>
      <c r="AM532" s="242"/>
      <c r="AN532" s="242"/>
      <c r="AO532" s="242"/>
      <c r="AP532" s="242"/>
      <c r="AQ532" s="242"/>
      <c r="AR532" s="242"/>
      <c r="AS532" s="1446" t="s">
        <v>117</v>
      </c>
      <c r="AT532" s="1446"/>
      <c r="AU532" s="1446"/>
      <c r="AV532" s="55"/>
      <c r="AW532" s="1446" t="s">
        <v>120</v>
      </c>
      <c r="AX532" s="1446"/>
      <c r="AY532" s="1446"/>
      <c r="AZ532" s="55"/>
      <c r="BA532" s="1446" t="s">
        <v>121</v>
      </c>
      <c r="BB532" s="1446"/>
      <c r="BC532" s="1446"/>
      <c r="BD532" s="55"/>
      <c r="BE532" s="1446" t="s">
        <v>122</v>
      </c>
      <c r="BF532" s="1446"/>
      <c r="BG532" s="1446"/>
      <c r="BH532" s="242"/>
      <c r="BI532" s="242"/>
      <c r="BJ532" s="242"/>
      <c r="BK532" s="242"/>
      <c r="BP532" s="31"/>
      <c r="BQ532" s="31"/>
      <c r="BR532" s="31"/>
      <c r="BS532" s="31"/>
      <c r="BT532" s="31"/>
      <c r="BU532" s="31"/>
      <c r="BV532" s="31"/>
      <c r="BW532" s="31"/>
      <c r="BX532" s="31"/>
    </row>
    <row r="533" spans="3:76" s="28" customFormat="1" ht="17.100000000000001" hidden="1" customHeight="1" outlineLevel="1">
      <c r="C533" s="489"/>
      <c r="D533" s="241" t="str">
        <f>D478</f>
        <v>ein/aus</v>
      </c>
      <c r="E533" s="241"/>
      <c r="F533" s="241"/>
      <c r="G533" s="241"/>
      <c r="H533" s="241"/>
      <c r="I533" s="241"/>
      <c r="J533" s="241"/>
      <c r="K533" s="241"/>
      <c r="L533" s="241"/>
      <c r="M533" s="241"/>
      <c r="N533" s="241"/>
      <c r="O533" s="241"/>
      <c r="P533" s="241"/>
      <c r="Q533" s="241"/>
      <c r="R533" s="241"/>
      <c r="S533" s="241"/>
      <c r="T533" s="241"/>
      <c r="U533" s="1447">
        <v>0</v>
      </c>
      <c r="V533" s="1447"/>
      <c r="W533" s="1447"/>
      <c r="X533" s="249"/>
      <c r="Y533" s="1447">
        <v>0</v>
      </c>
      <c r="Z533" s="1447"/>
      <c r="AA533" s="1447"/>
      <c r="AB533" s="249"/>
      <c r="AC533" s="1447">
        <v>0</v>
      </c>
      <c r="AD533" s="1447"/>
      <c r="AE533" s="1447"/>
      <c r="AF533" s="249"/>
      <c r="AG533" s="1447">
        <v>0</v>
      </c>
      <c r="AH533" s="1447"/>
      <c r="AI533" s="1447"/>
      <c r="AJ533" s="242"/>
      <c r="AK533" s="242"/>
      <c r="AL533" s="242"/>
      <c r="AM533" s="242"/>
      <c r="AN533" s="242"/>
      <c r="AO533" s="242"/>
      <c r="AP533" s="242"/>
      <c r="AQ533" s="242"/>
      <c r="AR533" s="242"/>
      <c r="AS533" s="1446">
        <f>U533</f>
        <v>0</v>
      </c>
      <c r="AT533" s="1446"/>
      <c r="AU533" s="1446"/>
      <c r="AV533" s="55"/>
      <c r="AW533" s="1446">
        <f>Y533</f>
        <v>0</v>
      </c>
      <c r="AX533" s="1446"/>
      <c r="AY533" s="1446"/>
      <c r="AZ533" s="55"/>
      <c r="BA533" s="1446">
        <f>AC533</f>
        <v>0</v>
      </c>
      <c r="BB533" s="1446"/>
      <c r="BC533" s="1446"/>
      <c r="BD533" s="55"/>
      <c r="BE533" s="1446">
        <f>AG533</f>
        <v>0</v>
      </c>
      <c r="BF533" s="1446"/>
      <c r="BG533" s="1446"/>
      <c r="BH533" s="242"/>
      <c r="BI533" s="242"/>
      <c r="BJ533" s="242"/>
      <c r="BK533" s="242"/>
      <c r="BP533" s="31"/>
      <c r="BQ533" s="31"/>
      <c r="BR533" s="31"/>
      <c r="BS533" s="31"/>
      <c r="BT533" s="31"/>
      <c r="BU533" s="31"/>
      <c r="BV533" s="31"/>
      <c r="BW533" s="31"/>
      <c r="BX533" s="31"/>
    </row>
    <row r="534" spans="3:76" s="28" customFormat="1" ht="17.100000000000001" hidden="1" customHeight="1" outlineLevel="1">
      <c r="C534" s="489"/>
      <c r="D534" s="241" t="str">
        <f>D479</f>
        <v>bedarfsgerechte Ansteuerung (FU/EC-modulierbar)</v>
      </c>
      <c r="E534" s="241"/>
      <c r="F534" s="241"/>
      <c r="G534" s="241"/>
      <c r="H534" s="241"/>
      <c r="I534" s="241"/>
      <c r="J534" s="241"/>
      <c r="K534" s="241"/>
      <c r="L534" s="241"/>
      <c r="M534" s="241"/>
      <c r="N534" s="241"/>
      <c r="O534" s="241"/>
      <c r="P534" s="241"/>
      <c r="Q534" s="241"/>
      <c r="R534" s="241"/>
      <c r="S534" s="241"/>
      <c r="T534" s="241"/>
      <c r="U534" s="1447">
        <v>0.3</v>
      </c>
      <c r="V534" s="1447"/>
      <c r="W534" s="1447"/>
      <c r="X534" s="249"/>
      <c r="Y534" s="1447">
        <v>0</v>
      </c>
      <c r="Z534" s="1447"/>
      <c r="AA534" s="1447"/>
      <c r="AB534" s="249"/>
      <c r="AC534" s="1447">
        <v>0.3</v>
      </c>
      <c r="AD534" s="1447"/>
      <c r="AE534" s="1447"/>
      <c r="AF534" s="249"/>
      <c r="AG534" s="1447">
        <v>0.5</v>
      </c>
      <c r="AH534" s="1447"/>
      <c r="AI534" s="1447"/>
      <c r="AJ534" s="242"/>
      <c r="AK534" s="242"/>
      <c r="AL534" s="242"/>
      <c r="AM534" s="242"/>
      <c r="AN534" s="242"/>
      <c r="AO534" s="242"/>
      <c r="AP534" s="242"/>
      <c r="AQ534" s="242"/>
      <c r="AR534" s="242"/>
      <c r="AS534" s="1446">
        <f>U534</f>
        <v>0.3</v>
      </c>
      <c r="AT534" s="1446"/>
      <c r="AU534" s="1446"/>
      <c r="AV534" s="55"/>
      <c r="AW534" s="1446">
        <f>Y534</f>
        <v>0</v>
      </c>
      <c r="AX534" s="1446"/>
      <c r="AY534" s="1446"/>
      <c r="AZ534" s="55"/>
      <c r="BA534" s="1446">
        <f>AC534</f>
        <v>0.3</v>
      </c>
      <c r="BB534" s="1446"/>
      <c r="BC534" s="1446"/>
      <c r="BD534" s="55"/>
      <c r="BE534" s="1446">
        <f>AG534</f>
        <v>0.5</v>
      </c>
      <c r="BF534" s="1446"/>
      <c r="BG534" s="1446"/>
      <c r="BH534" s="242"/>
      <c r="BI534" s="242"/>
      <c r="BJ534" s="242"/>
      <c r="BK534" s="242"/>
      <c r="BP534" s="31"/>
      <c r="BQ534" s="31"/>
      <c r="BR534" s="31"/>
      <c r="BS534" s="31"/>
      <c r="BT534" s="31"/>
      <c r="BU534" s="31"/>
      <c r="BV534" s="31"/>
      <c r="BW534" s="31"/>
      <c r="BX534" s="31"/>
    </row>
    <row r="535" spans="3:76" s="28" customFormat="1" ht="17.100000000000001" hidden="1" customHeight="1" outlineLevel="1">
      <c r="C535" s="489"/>
      <c r="D535" s="241"/>
      <c r="E535" s="241"/>
      <c r="F535" s="241"/>
      <c r="G535" s="241"/>
      <c r="H535" s="241"/>
      <c r="I535" s="241"/>
      <c r="J535" s="241"/>
      <c r="K535" s="241"/>
      <c r="L535" s="241"/>
      <c r="M535" s="241"/>
      <c r="N535" s="241"/>
      <c r="O535" s="241"/>
      <c r="P535" s="241"/>
      <c r="Q535" s="241"/>
      <c r="R535" s="241"/>
      <c r="S535" s="241"/>
      <c r="T535" s="241"/>
      <c r="U535" s="243"/>
      <c r="V535" s="243"/>
      <c r="W535" s="243"/>
      <c r="X535" s="55"/>
      <c r="Y535" s="243"/>
      <c r="Z535" s="243"/>
      <c r="AA535" s="243"/>
      <c r="AB535" s="55"/>
      <c r="AC535" s="243"/>
      <c r="AD535" s="243"/>
      <c r="AE535" s="243"/>
      <c r="AF535" s="55"/>
      <c r="AG535" s="243"/>
      <c r="AH535" s="243"/>
      <c r="AI535" s="243"/>
      <c r="AJ535" s="242"/>
      <c r="AK535" s="242"/>
      <c r="AL535" s="242"/>
      <c r="AM535" s="242"/>
      <c r="AN535" s="242"/>
      <c r="AO535" s="242"/>
      <c r="AP535" s="55"/>
      <c r="AQ535" s="55"/>
      <c r="AR535" s="55"/>
      <c r="AS535" s="243"/>
      <c r="AT535" s="243"/>
      <c r="AU535" s="243"/>
      <c r="AV535" s="55"/>
      <c r="AW535" s="243"/>
      <c r="AX535" s="243"/>
      <c r="AY535" s="243"/>
      <c r="AZ535" s="55"/>
      <c r="BA535" s="243"/>
      <c r="BB535" s="243"/>
      <c r="BC535" s="243"/>
      <c r="BD535" s="55"/>
      <c r="BE535" s="243"/>
      <c r="BF535" s="243"/>
      <c r="BG535" s="243"/>
      <c r="BH535" s="242"/>
      <c r="BI535" s="242"/>
      <c r="BJ535" s="242"/>
      <c r="BK535" s="242"/>
      <c r="BP535" s="31"/>
      <c r="BQ535" s="31"/>
      <c r="BR535" s="31"/>
      <c r="BS535" s="31"/>
      <c r="BT535" s="31"/>
      <c r="BU535" s="31"/>
      <c r="BV535" s="31"/>
      <c r="BW535" s="31"/>
      <c r="BX535" s="31"/>
    </row>
    <row r="536" spans="3:76" s="28" customFormat="1" ht="17.100000000000001" hidden="1" customHeight="1" outlineLevel="1">
      <c r="C536" s="489"/>
      <c r="D536" s="244" t="s">
        <v>143</v>
      </c>
      <c r="E536" s="241"/>
      <c r="F536" s="241"/>
      <c r="G536" s="241"/>
      <c r="H536" s="241"/>
      <c r="I536" s="241"/>
      <c r="J536" s="241"/>
      <c r="K536" s="241"/>
      <c r="L536" s="241"/>
      <c r="M536" s="241"/>
      <c r="N536" s="241"/>
      <c r="O536" s="241"/>
      <c r="P536" s="241"/>
      <c r="Q536" s="241"/>
      <c r="R536" s="241"/>
      <c r="S536" s="241"/>
      <c r="T536" s="241"/>
      <c r="U536" s="1530">
        <f>W80</f>
        <v>0</v>
      </c>
      <c r="V536" s="1530"/>
      <c r="W536" s="1530"/>
      <c r="X536" s="1530"/>
      <c r="Y536" s="1530"/>
      <c r="Z536" s="1530"/>
      <c r="AA536" s="1530"/>
      <c r="AB536" s="1530"/>
      <c r="AC536" s="1530"/>
      <c r="AD536" s="1530"/>
      <c r="AE536" s="1530"/>
      <c r="AF536" s="1530"/>
      <c r="AG536" s="1530"/>
      <c r="AH536" s="1530"/>
      <c r="AI536" s="1530"/>
      <c r="AJ536" s="242"/>
      <c r="AK536" s="242"/>
      <c r="AL536" s="242"/>
      <c r="AM536" s="242"/>
      <c r="AN536" s="242"/>
      <c r="AO536" s="242"/>
      <c r="AP536" s="242"/>
      <c r="AQ536" s="242"/>
      <c r="AR536" s="242"/>
      <c r="AS536" s="1530">
        <f>AU80</f>
        <v>0</v>
      </c>
      <c r="AT536" s="1530"/>
      <c r="AU536" s="1530"/>
      <c r="AV536" s="1530"/>
      <c r="AW536" s="1530"/>
      <c r="AX536" s="1530"/>
      <c r="AY536" s="1530"/>
      <c r="AZ536" s="1530"/>
      <c r="BA536" s="1530"/>
      <c r="BB536" s="1530"/>
      <c r="BC536" s="1530"/>
      <c r="BD536" s="1530"/>
      <c r="BE536" s="1530"/>
      <c r="BF536" s="1530"/>
      <c r="BG536" s="1530"/>
      <c r="BH536" s="242"/>
      <c r="BI536" s="242"/>
      <c r="BJ536" s="242"/>
      <c r="BK536" s="242"/>
      <c r="BP536" s="31"/>
      <c r="BQ536" s="31"/>
      <c r="BR536" s="31"/>
      <c r="BS536" s="31"/>
      <c r="BT536" s="31"/>
      <c r="BU536" s="31"/>
      <c r="BV536" s="31"/>
      <c r="BW536" s="31"/>
      <c r="BX536" s="31"/>
    </row>
    <row r="537" spans="3:76" s="155" customFormat="1" ht="17.100000000000001" hidden="1" customHeight="1" outlineLevel="1">
      <c r="C537" s="489"/>
      <c r="D537" s="227" t="s">
        <v>153</v>
      </c>
      <c r="N537" s="240"/>
      <c r="O537" s="240"/>
      <c r="P537" s="240"/>
      <c r="Q537" s="240"/>
      <c r="R537" s="240"/>
      <c r="S537" s="240"/>
      <c r="T537" s="240"/>
      <c r="U537" s="1531">
        <f>IF($D534=$U536,U534,U533)</f>
        <v>0</v>
      </c>
      <c r="V537" s="1531"/>
      <c r="W537" s="1531"/>
      <c r="X537" s="55"/>
      <c r="Y537" s="1531">
        <f>IF($D534=$U536,Y534,Y533)</f>
        <v>0</v>
      </c>
      <c r="Z537" s="1531"/>
      <c r="AA537" s="1531"/>
      <c r="AB537" s="55"/>
      <c r="AC537" s="1531">
        <f>IF($D534=$U536,AC534,AC533)</f>
        <v>0</v>
      </c>
      <c r="AD537" s="1531"/>
      <c r="AE537" s="1531"/>
      <c r="AF537" s="55"/>
      <c r="AG537" s="1531">
        <f>IF($D534=$U536,AG534,AG533)</f>
        <v>0</v>
      </c>
      <c r="AH537" s="1531"/>
      <c r="AI537" s="1531"/>
      <c r="AJ537" s="242"/>
      <c r="AK537" s="1532">
        <f>IF(AK538=0,0,1-AK539/AK538)</f>
        <v>0</v>
      </c>
      <c r="AL537" s="1532"/>
      <c r="AM537" s="1532"/>
      <c r="AN537" s="1532"/>
      <c r="AO537" s="1532"/>
      <c r="AP537" s="242"/>
      <c r="AQ537" s="242"/>
      <c r="AR537" s="242"/>
      <c r="AS537" s="1531">
        <f>IF($D534=$AS536,AS534,AS533)</f>
        <v>0</v>
      </c>
      <c r="AT537" s="1531"/>
      <c r="AU537" s="1531"/>
      <c r="AV537" s="55"/>
      <c r="AW537" s="1531">
        <f>IF($D534=$AS536,AW534,AW533)</f>
        <v>0</v>
      </c>
      <c r="AX537" s="1531"/>
      <c r="AY537" s="1531"/>
      <c r="AZ537" s="55"/>
      <c r="BA537" s="1531">
        <f>IF($D534=$AS536,BA534,BA533)</f>
        <v>0</v>
      </c>
      <c r="BB537" s="1531"/>
      <c r="BC537" s="1531"/>
      <c r="BD537" s="55"/>
      <c r="BE537" s="1531">
        <f>IF($D534=$AS536,BE534,BE533)</f>
        <v>0</v>
      </c>
      <c r="BF537" s="1531"/>
      <c r="BG537" s="1531"/>
      <c r="BH537" s="242"/>
      <c r="BI537" s="1532">
        <f>IF(BI538=0,0,1-BI539/BI538)</f>
        <v>0</v>
      </c>
      <c r="BJ537" s="1532"/>
      <c r="BK537" s="1532"/>
      <c r="BL537" s="28"/>
      <c r="BP537" s="31"/>
      <c r="BQ537" s="31"/>
      <c r="BR537" s="31"/>
      <c r="BS537" s="31"/>
      <c r="BT537" s="31"/>
      <c r="BU537" s="31"/>
      <c r="BV537" s="31"/>
      <c r="BW537" s="31"/>
      <c r="BX537" s="31"/>
    </row>
    <row r="538" spans="3:76" s="28" customFormat="1" ht="17.100000000000001" hidden="1" customHeight="1" outlineLevel="1">
      <c r="C538" s="489"/>
      <c r="D538" s="241" t="s">
        <v>154</v>
      </c>
      <c r="E538" s="241"/>
      <c r="F538" s="241"/>
      <c r="G538" s="241"/>
      <c r="H538" s="241"/>
      <c r="I538" s="241"/>
      <c r="J538" s="241"/>
      <c r="K538" s="241"/>
      <c r="L538" s="241"/>
      <c r="M538" s="241"/>
      <c r="N538" s="241"/>
      <c r="O538" s="241"/>
      <c r="P538" s="241" t="s">
        <v>118</v>
      </c>
      <c r="Q538" s="241"/>
      <c r="R538" s="241"/>
      <c r="S538" s="241"/>
      <c r="T538" s="241"/>
      <c r="U538" s="1488">
        <f>U$463</f>
        <v>0</v>
      </c>
      <c r="V538" s="1488"/>
      <c r="W538" s="1488"/>
      <c r="X538" s="55"/>
      <c r="Y538" s="1488">
        <f>Y$463</f>
        <v>0</v>
      </c>
      <c r="Z538" s="1488"/>
      <c r="AA538" s="1488"/>
      <c r="AB538" s="55"/>
      <c r="AC538" s="1488">
        <f>AC$463</f>
        <v>0</v>
      </c>
      <c r="AD538" s="1488"/>
      <c r="AE538" s="1488"/>
      <c r="AF538" s="55"/>
      <c r="AG538" s="1488">
        <f>AG$463</f>
        <v>0</v>
      </c>
      <c r="AH538" s="1488"/>
      <c r="AI538" s="1488"/>
      <c r="AJ538" s="242"/>
      <c r="AK538" s="1488">
        <f>SUM(U538:AI538)</f>
        <v>0</v>
      </c>
      <c r="AL538" s="1488"/>
      <c r="AM538" s="1488"/>
      <c r="AN538" s="1488"/>
      <c r="AO538" s="1488"/>
      <c r="AP538" s="242"/>
      <c r="AQ538" s="242"/>
      <c r="AR538" s="242"/>
      <c r="AS538" s="1488">
        <f>AS$463</f>
        <v>0</v>
      </c>
      <c r="AT538" s="1488"/>
      <c r="AU538" s="1488"/>
      <c r="AV538" s="55"/>
      <c r="AW538" s="1488">
        <f>AW$463</f>
        <v>0</v>
      </c>
      <c r="AX538" s="1488"/>
      <c r="AY538" s="1488"/>
      <c r="AZ538" s="55"/>
      <c r="BA538" s="1488">
        <f>BA$463</f>
        <v>0</v>
      </c>
      <c r="BB538" s="1488"/>
      <c r="BC538" s="1488"/>
      <c r="BD538" s="55"/>
      <c r="BE538" s="1488">
        <f>BE$463</f>
        <v>0</v>
      </c>
      <c r="BF538" s="1488"/>
      <c r="BG538" s="1488"/>
      <c r="BH538" s="242"/>
      <c r="BI538" s="1488">
        <f>SUM(AS538:BG538)</f>
        <v>0</v>
      </c>
      <c r="BJ538" s="1488"/>
      <c r="BK538" s="1488"/>
      <c r="BP538" s="31"/>
      <c r="BQ538" s="31"/>
      <c r="BR538" s="31"/>
      <c r="BS538" s="31"/>
      <c r="BT538" s="31"/>
      <c r="BU538" s="31"/>
      <c r="BV538" s="31"/>
      <c r="BW538" s="31"/>
      <c r="BX538" s="31"/>
    </row>
    <row r="539" spans="3:76" s="155" customFormat="1" ht="17.100000000000001" hidden="1" customHeight="1" outlineLevel="1">
      <c r="C539" s="489"/>
      <c r="D539" s="241" t="s">
        <v>155</v>
      </c>
      <c r="E539" s="241"/>
      <c r="F539" s="241"/>
      <c r="G539" s="241"/>
      <c r="H539" s="241"/>
      <c r="I539" s="241"/>
      <c r="J539" s="241"/>
      <c r="K539" s="241"/>
      <c r="L539" s="241"/>
      <c r="M539" s="241"/>
      <c r="N539" s="240"/>
      <c r="O539" s="240"/>
      <c r="P539" s="241" t="s">
        <v>118</v>
      </c>
      <c r="Q539" s="240"/>
      <c r="R539" s="240"/>
      <c r="S539" s="240"/>
      <c r="T539" s="240"/>
      <c r="U539" s="1489">
        <f>U538-U537*U538</f>
        <v>0</v>
      </c>
      <c r="V539" s="1489"/>
      <c r="W539" s="1489"/>
      <c r="X539" s="245"/>
      <c r="Y539" s="1489">
        <f>Y538-Y537*Y538</f>
        <v>0</v>
      </c>
      <c r="Z539" s="1489"/>
      <c r="AA539" s="1489"/>
      <c r="AB539" s="245"/>
      <c r="AC539" s="1489">
        <f>AC538-AC537*AC538</f>
        <v>0</v>
      </c>
      <c r="AD539" s="1489"/>
      <c r="AE539" s="1489"/>
      <c r="AF539" s="245"/>
      <c r="AG539" s="1489">
        <f>AG538-AG537*AG538</f>
        <v>0</v>
      </c>
      <c r="AH539" s="1489"/>
      <c r="AI539" s="1489"/>
      <c r="AJ539" s="61"/>
      <c r="AK539" s="1489">
        <f>SUM(U539:AI539)</f>
        <v>0</v>
      </c>
      <c r="AL539" s="1489"/>
      <c r="AM539" s="1489"/>
      <c r="AN539" s="1489"/>
      <c r="AO539" s="1489"/>
      <c r="AP539" s="156"/>
      <c r="AQ539" s="242"/>
      <c r="AR539" s="242"/>
      <c r="AS539" s="1490">
        <f>AS538-AS537*AS538</f>
        <v>0</v>
      </c>
      <c r="AT539" s="1490"/>
      <c r="AU539" s="1490"/>
      <c r="AV539" s="246"/>
      <c r="AW539" s="1490">
        <f>AW538-AW537*AW538</f>
        <v>0</v>
      </c>
      <c r="AX539" s="1490"/>
      <c r="AY539" s="1490"/>
      <c r="AZ539" s="246"/>
      <c r="BA539" s="1490">
        <f>BA538-BA537*BA538</f>
        <v>0</v>
      </c>
      <c r="BB539" s="1490"/>
      <c r="BC539" s="1490"/>
      <c r="BD539" s="246"/>
      <c r="BE539" s="1490">
        <f>BE538-BE537*BE538</f>
        <v>0</v>
      </c>
      <c r="BF539" s="1490"/>
      <c r="BG539" s="1490"/>
      <c r="BH539" s="156"/>
      <c r="BI539" s="1490">
        <f>SUM(AS539:BG539)</f>
        <v>0</v>
      </c>
      <c r="BJ539" s="1490"/>
      <c r="BK539" s="1490"/>
      <c r="BL539" s="28"/>
      <c r="BP539" s="31"/>
      <c r="BQ539" s="31"/>
      <c r="BR539" s="31"/>
      <c r="BS539" s="31"/>
      <c r="BT539" s="31"/>
      <c r="BU539" s="31"/>
      <c r="BV539" s="31"/>
      <c r="BW539" s="31"/>
      <c r="BX539" s="31"/>
    </row>
    <row r="540" spans="3:76" s="155" customFormat="1" ht="17.100000000000001" hidden="1" customHeight="1" outlineLevel="1">
      <c r="C540" s="491"/>
      <c r="P540" s="156"/>
      <c r="Q540" s="156"/>
      <c r="R540" s="156"/>
      <c r="S540" s="156"/>
      <c r="T540" s="156"/>
      <c r="U540" s="156"/>
      <c r="V540" s="156"/>
      <c r="W540" s="156"/>
      <c r="X540" s="156"/>
      <c r="Y540" s="156"/>
      <c r="Z540" s="156"/>
      <c r="AA540" s="247"/>
      <c r="AB540" s="247"/>
      <c r="AC540" s="247"/>
      <c r="AD540" s="247"/>
      <c r="AE540" s="247"/>
      <c r="AP540" s="248"/>
      <c r="AQ540" s="248"/>
      <c r="AR540" s="248"/>
      <c r="AS540" s="248"/>
      <c r="AT540" s="248"/>
      <c r="AU540" s="156"/>
      <c r="BA540" s="28"/>
      <c r="BL540" s="28"/>
      <c r="BP540" s="31"/>
      <c r="BQ540" s="31"/>
      <c r="BR540" s="31"/>
      <c r="BS540" s="31"/>
      <c r="BT540" s="31"/>
      <c r="BU540" s="31"/>
      <c r="BV540" s="31"/>
      <c r="BW540" s="31"/>
      <c r="BX540" s="31"/>
    </row>
    <row r="541" spans="3:76" ht="15" hidden="1" outlineLevel="1">
      <c r="C541" s="10"/>
      <c r="D541" s="7"/>
      <c r="E541" s="7"/>
      <c r="F541" s="7"/>
      <c r="G541" s="7"/>
      <c r="H541" s="7"/>
      <c r="I541" s="7"/>
      <c r="J541" s="7"/>
      <c r="K541" s="7"/>
      <c r="L541" s="7"/>
      <c r="M541" s="7"/>
      <c r="N541" s="7"/>
      <c r="O541" s="7"/>
      <c r="P541" s="10"/>
      <c r="Q541" s="12"/>
      <c r="R541" s="6"/>
      <c r="S541" s="6"/>
      <c r="T541" s="6"/>
      <c r="U541" s="8"/>
      <c r="V541" s="8"/>
      <c r="W541" s="8"/>
      <c r="X541" s="8"/>
      <c r="Y541" s="8"/>
      <c r="Z541" s="9"/>
      <c r="AB541" s="28"/>
      <c r="BL541" s="28"/>
    </row>
    <row r="542" spans="3:76" s="28" customFormat="1" ht="23.1" hidden="1" customHeight="1" outlineLevel="1">
      <c r="C542" s="515" t="s">
        <v>814</v>
      </c>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c r="AI542" s="239"/>
      <c r="AJ542" s="239"/>
      <c r="AK542" s="239"/>
      <c r="AL542" s="239"/>
      <c r="AM542" s="239"/>
      <c r="AN542" s="239"/>
      <c r="AO542" s="239"/>
      <c r="AP542" s="239"/>
      <c r="AQ542" s="239"/>
      <c r="AR542" s="239"/>
      <c r="AS542" s="239"/>
      <c r="AT542" s="239"/>
      <c r="AU542" s="239"/>
      <c r="AV542" s="239"/>
      <c r="AW542" s="239"/>
      <c r="AX542" s="239"/>
      <c r="AY542" s="239"/>
      <c r="AZ542" s="239"/>
      <c r="BA542" s="239"/>
      <c r="BB542" s="239"/>
      <c r="BC542" s="239"/>
      <c r="BD542" s="239"/>
      <c r="BE542" s="239"/>
      <c r="BF542" s="239"/>
      <c r="BG542" s="239"/>
      <c r="BH542" s="239"/>
      <c r="BI542" s="239"/>
      <c r="BJ542" s="239"/>
      <c r="BK542" s="239"/>
      <c r="BP542" s="31"/>
      <c r="BQ542" s="31"/>
      <c r="BR542" s="31"/>
      <c r="BS542" s="31"/>
      <c r="BT542" s="31"/>
      <c r="BU542" s="31"/>
      <c r="BV542" s="31"/>
      <c r="BW542" s="31"/>
      <c r="BX542" s="31"/>
    </row>
    <row r="543" spans="3:76" ht="16.5" hidden="1" outlineLevel="1">
      <c r="C543" s="5"/>
      <c r="D543" s="1"/>
      <c r="E543" s="1"/>
      <c r="F543" s="1"/>
      <c r="G543" s="1"/>
      <c r="H543" s="1"/>
      <c r="I543" s="1"/>
      <c r="J543" s="1"/>
      <c r="K543" s="1"/>
      <c r="L543" s="1"/>
      <c r="M543" s="1"/>
      <c r="N543" s="1"/>
      <c r="O543" s="1"/>
      <c r="P543" s="1"/>
      <c r="Q543" s="2"/>
      <c r="R543" s="3"/>
      <c r="S543" s="4"/>
      <c r="T543" s="5"/>
      <c r="U543" s="5"/>
      <c r="V543" s="5"/>
      <c r="W543" s="5"/>
      <c r="X543" s="5"/>
      <c r="Y543" s="5"/>
      <c r="Z543" s="1"/>
      <c r="AB543" s="28"/>
      <c r="BL543" s="28"/>
    </row>
    <row r="544" spans="3:76" s="28" customFormat="1" ht="17.100000000000001" hidden="1" customHeight="1" outlineLevel="1">
      <c r="C544" s="496" t="s">
        <v>195</v>
      </c>
      <c r="D544" s="129"/>
      <c r="E544" s="129"/>
      <c r="F544" s="129"/>
      <c r="H544" s="129"/>
      <c r="K544" s="129"/>
      <c r="L544" s="129"/>
      <c r="P544" s="130"/>
      <c r="R544" s="129"/>
      <c r="S544" s="1620">
        <f>S29</f>
        <v>0</v>
      </c>
      <c r="T544" s="1620"/>
      <c r="U544" s="1620"/>
      <c r="V544" s="1620"/>
      <c r="W544" s="1620"/>
      <c r="X544" s="1620"/>
      <c r="Y544" s="1620"/>
      <c r="Z544" s="1620"/>
      <c r="AA544" s="1620"/>
      <c r="AB544" s="1620"/>
      <c r="AC544" s="1620"/>
      <c r="AD544" s="1620"/>
      <c r="AE544" s="1620"/>
      <c r="AF544" s="1620"/>
      <c r="AG544" s="1620"/>
      <c r="AH544" s="1620"/>
      <c r="AI544" s="1620"/>
      <c r="AJ544" s="1620"/>
      <c r="AK544" s="1621"/>
      <c r="AL544" s="212"/>
      <c r="AM544" s="212"/>
      <c r="AN544" s="129"/>
      <c r="AO544" s="129"/>
      <c r="AP544" s="129"/>
      <c r="AQ544" s="129"/>
      <c r="AR544" s="129"/>
      <c r="AS544" s="129"/>
      <c r="AT544" s="129"/>
      <c r="AU544" s="129"/>
      <c r="BP544" s="31"/>
      <c r="BQ544" s="31"/>
      <c r="BR544" s="31"/>
      <c r="BS544" s="31"/>
      <c r="BT544" s="31"/>
      <c r="BU544" s="31"/>
      <c r="BV544" s="31"/>
      <c r="BW544" s="31"/>
      <c r="BX544" s="31"/>
    </row>
    <row r="545" spans="3:76" s="28" customFormat="1" ht="5.0999999999999996" hidden="1" customHeight="1" outlineLevel="1">
      <c r="C545" s="496"/>
      <c r="D545" s="129"/>
      <c r="E545" s="129"/>
      <c r="F545" s="129"/>
      <c r="H545" s="129"/>
      <c r="K545" s="129"/>
      <c r="L545" s="129"/>
      <c r="P545" s="130"/>
      <c r="R545" s="129"/>
      <c r="S545" s="212"/>
      <c r="T545" s="212"/>
      <c r="U545" s="212"/>
      <c r="V545" s="212"/>
      <c r="W545" s="212"/>
      <c r="X545" s="212"/>
      <c r="Y545" s="212"/>
      <c r="Z545" s="212"/>
      <c r="AA545" s="212"/>
      <c r="AB545" s="212"/>
      <c r="AC545" s="212"/>
      <c r="AD545" s="212"/>
      <c r="AE545" s="212"/>
      <c r="AF545" s="212"/>
      <c r="AG545" s="212"/>
      <c r="AH545" s="212"/>
      <c r="AI545" s="212"/>
      <c r="AJ545" s="212"/>
      <c r="AK545" s="212"/>
      <c r="AL545" s="212"/>
      <c r="AM545" s="212"/>
      <c r="AN545" s="129"/>
      <c r="AO545" s="129"/>
      <c r="AP545" s="129"/>
      <c r="AQ545" s="129"/>
      <c r="AR545" s="129"/>
      <c r="AS545" s="129"/>
      <c r="AT545" s="129"/>
      <c r="AU545" s="129"/>
      <c r="BP545" s="31"/>
      <c r="BQ545" s="31"/>
      <c r="BR545" s="31"/>
      <c r="BS545" s="31"/>
      <c r="BT545" s="31"/>
      <c r="BU545" s="31"/>
      <c r="BV545" s="31"/>
      <c r="BW545" s="31"/>
      <c r="BX545" s="31"/>
    </row>
    <row r="546" spans="3:76" s="28" customFormat="1" ht="17.100000000000001" hidden="1" customHeight="1" outlineLevel="1">
      <c r="C546" s="496" t="s">
        <v>829</v>
      </c>
      <c r="D546" s="129"/>
      <c r="E546" s="129"/>
      <c r="F546" s="129"/>
      <c r="H546" s="129"/>
      <c r="K546" s="129"/>
      <c r="L546" s="129"/>
      <c r="P546" s="130"/>
      <c r="R546" s="129"/>
      <c r="S546" s="1620" t="str">
        <f>IF(S544=C551,C551,IF(S544=C553,C553,C555))</f>
        <v>Zürich</v>
      </c>
      <c r="T546" s="1620"/>
      <c r="U546" s="1620"/>
      <c r="V546" s="1620"/>
      <c r="W546" s="1620"/>
      <c r="X546" s="1620"/>
      <c r="Y546" s="1620"/>
      <c r="Z546" s="1620"/>
      <c r="AA546" s="1620"/>
      <c r="AB546" s="1620"/>
      <c r="AC546" s="1620"/>
      <c r="AD546" s="1620"/>
      <c r="AE546" s="1620"/>
      <c r="AF546" s="1620"/>
      <c r="AG546" s="1620"/>
      <c r="AH546" s="1620"/>
      <c r="AI546" s="1620"/>
      <c r="AJ546" s="1620"/>
      <c r="AK546" s="1621"/>
      <c r="AL546" s="212"/>
      <c r="AM546" s="212"/>
      <c r="AN546" s="129" t="s">
        <v>830</v>
      </c>
      <c r="AO546" s="129"/>
      <c r="AP546" s="129"/>
      <c r="AQ546" s="129"/>
      <c r="AR546" s="129"/>
      <c r="AS546" s="129"/>
      <c r="AT546" s="129"/>
      <c r="AU546" s="129"/>
      <c r="BP546" s="31"/>
      <c r="BQ546" s="31"/>
      <c r="BR546" s="31"/>
      <c r="BS546" s="31"/>
      <c r="BT546" s="31"/>
      <c r="BU546" s="31"/>
      <c r="BV546" s="31"/>
      <c r="BW546" s="31"/>
      <c r="BX546" s="31"/>
    </row>
    <row r="547" spans="3:76" ht="15" hidden="1" outlineLevel="1">
      <c r="C547" s="10"/>
      <c r="D547" s="7"/>
      <c r="E547" s="7"/>
      <c r="F547" s="7"/>
      <c r="G547" s="7"/>
      <c r="H547" s="7"/>
      <c r="I547" s="7"/>
      <c r="J547" s="7"/>
      <c r="K547" s="7"/>
      <c r="L547" s="7"/>
      <c r="M547" s="7"/>
      <c r="N547" s="7"/>
      <c r="O547" s="7"/>
      <c r="P547" s="10"/>
      <c r="Q547" s="12"/>
      <c r="R547" s="6"/>
      <c r="S547" s="7"/>
      <c r="T547" s="8"/>
      <c r="U547" s="8"/>
      <c r="V547" s="8"/>
      <c r="W547" s="8"/>
      <c r="X547" s="8"/>
      <c r="Y547" s="8"/>
      <c r="Z547" s="9"/>
      <c r="AB547" s="28"/>
      <c r="AN547" s="31" t="s">
        <v>831</v>
      </c>
      <c r="BL547" s="28"/>
    </row>
    <row r="548" spans="3:76" s="28" customFormat="1" ht="15" hidden="1" customHeight="1" outlineLevel="1">
      <c r="C548" s="551" t="str">
        <f>X!$C$114</f>
        <v>Frühling</v>
      </c>
      <c r="D548" s="15"/>
      <c r="E548" s="15"/>
      <c r="F548" s="15"/>
      <c r="G548" s="15"/>
      <c r="H548" s="15"/>
      <c r="I548" s="1523" t="s">
        <v>166</v>
      </c>
      <c r="J548" s="1523"/>
      <c r="K548" s="1523"/>
      <c r="L548" s="27"/>
      <c r="M548" s="1523" t="s">
        <v>167</v>
      </c>
      <c r="N548" s="1523"/>
      <c r="O548" s="1523"/>
      <c r="P548" s="27"/>
      <c r="Q548" s="1523" t="s">
        <v>168</v>
      </c>
      <c r="R548" s="1523"/>
      <c r="S548" s="1523"/>
      <c r="T548" s="27"/>
      <c r="U548" s="1567" t="s">
        <v>221</v>
      </c>
      <c r="V548" s="1567"/>
      <c r="W548" s="1567"/>
      <c r="X548" s="15"/>
      <c r="Y548" s="1528">
        <f>SUM(Y549:AA555)</f>
        <v>0</v>
      </c>
      <c r="Z548" s="1529"/>
      <c r="AA548" s="1529"/>
      <c r="AE548" s="31"/>
      <c r="AF548" s="31"/>
      <c r="AG548" s="31"/>
      <c r="AH548" s="31"/>
      <c r="AI548" s="31"/>
      <c r="AJ548" s="31"/>
      <c r="AK548" s="31"/>
      <c r="BP548" s="31"/>
      <c r="BQ548" s="31"/>
      <c r="BR548" s="31"/>
      <c r="BS548" s="31"/>
      <c r="BT548" s="31"/>
      <c r="BU548" s="31"/>
      <c r="BV548" s="31"/>
      <c r="BW548" s="31"/>
      <c r="BX548" s="31"/>
    </row>
    <row r="549" spans="3:76" s="28" customFormat="1" ht="18.95" hidden="1" customHeight="1" outlineLevel="1">
      <c r="C549" s="549" t="str">
        <f>X!$C$38</f>
        <v>Basel</v>
      </c>
      <c r="D549" s="16"/>
      <c r="E549" s="16"/>
      <c r="F549" s="16"/>
      <c r="G549" s="16"/>
      <c r="H549" s="16"/>
      <c r="I549" s="1522">
        <v>4.8</v>
      </c>
      <c r="J549" s="1522"/>
      <c r="K549" s="1522"/>
      <c r="L549" s="16"/>
      <c r="M549" s="1522">
        <v>9.5</v>
      </c>
      <c r="N549" s="1522"/>
      <c r="O549" s="1522"/>
      <c r="P549" s="16"/>
      <c r="Q549" s="1522">
        <v>13</v>
      </c>
      <c r="R549" s="1522"/>
      <c r="S549" s="1522"/>
      <c r="T549" s="16"/>
      <c r="U549" s="1488">
        <f t="shared" ref="U549:U555" si="47">AVERAGE(I549:S549)</f>
        <v>9.1</v>
      </c>
      <c r="V549" s="1488">
        <f t="shared" ref="V549:W555" si="48">(4.8+9.5+13)/3</f>
        <v>9.1</v>
      </c>
      <c r="W549" s="1488">
        <f t="shared" si="48"/>
        <v>9.1</v>
      </c>
      <c r="X549" s="17"/>
      <c r="Y549" s="1489">
        <f>IF(C549=S$544,U549,0)</f>
        <v>0</v>
      </c>
      <c r="Z549" s="1489"/>
      <c r="AA549" s="1489"/>
      <c r="AE549" s="31"/>
      <c r="AF549" s="31"/>
      <c r="AG549" s="31"/>
      <c r="AH549" s="31"/>
      <c r="AI549" s="31"/>
      <c r="AJ549" s="31"/>
      <c r="AK549" s="31"/>
      <c r="BP549" s="31"/>
      <c r="BQ549" s="31"/>
      <c r="BR549" s="31"/>
      <c r="BS549" s="31"/>
      <c r="BT549" s="31"/>
      <c r="BU549" s="31"/>
      <c r="BV549" s="31"/>
      <c r="BW549" s="31"/>
      <c r="BX549" s="31"/>
    </row>
    <row r="550" spans="3:76" s="28" customFormat="1" ht="18.95" hidden="1" customHeight="1" outlineLevel="1">
      <c r="C550" s="549" t="str">
        <f>X!$C$55</f>
        <v>Bern</v>
      </c>
      <c r="D550" s="16"/>
      <c r="E550" s="16"/>
      <c r="F550" s="16"/>
      <c r="G550" s="16"/>
      <c r="H550" s="16"/>
      <c r="I550" s="1522">
        <v>3.8</v>
      </c>
      <c r="J550" s="1522"/>
      <c r="K550" s="1522"/>
      <c r="L550" s="16"/>
      <c r="M550" s="1522">
        <v>8.6</v>
      </c>
      <c r="N550" s="1522"/>
      <c r="O550" s="1522"/>
      <c r="P550" s="16"/>
      <c r="Q550" s="1522">
        <v>12.4</v>
      </c>
      <c r="R550" s="1522"/>
      <c r="S550" s="1522"/>
      <c r="T550" s="16"/>
      <c r="U550" s="1488">
        <f t="shared" si="47"/>
        <v>8.2666666666666657</v>
      </c>
      <c r="V550" s="1488">
        <f t="shared" si="48"/>
        <v>9.1</v>
      </c>
      <c r="W550" s="1488">
        <f t="shared" si="48"/>
        <v>9.1</v>
      </c>
      <c r="X550" s="17"/>
      <c r="Y550" s="1489">
        <f t="shared" ref="Y550:Y555" si="49">IF(C550=S$544,U550,0)</f>
        <v>0</v>
      </c>
      <c r="Z550" s="1489"/>
      <c r="AA550" s="1489"/>
      <c r="AF550" s="715"/>
      <c r="AG550" s="715"/>
      <c r="AH550" s="715"/>
      <c r="BP550" s="31"/>
      <c r="BQ550" s="31"/>
      <c r="BR550" s="31"/>
      <c r="BS550" s="31"/>
      <c r="BT550" s="31"/>
      <c r="BU550" s="31"/>
      <c r="BV550" s="31"/>
      <c r="BW550" s="31"/>
      <c r="BX550" s="31"/>
    </row>
    <row r="551" spans="3:76" s="28" customFormat="1" ht="18.95" hidden="1" customHeight="1" outlineLevel="1">
      <c r="C551" s="549" t="s">
        <v>813</v>
      </c>
      <c r="D551" s="16"/>
      <c r="E551" s="16"/>
      <c r="F551" s="16"/>
      <c r="G551" s="16"/>
      <c r="H551" s="16"/>
      <c r="I551" s="1522">
        <v>-2.6</v>
      </c>
      <c r="J551" s="1522"/>
      <c r="K551" s="1522"/>
      <c r="L551" s="16"/>
      <c r="M551" s="1522">
        <v>2.4</v>
      </c>
      <c r="N551" s="1522"/>
      <c r="O551" s="1522"/>
      <c r="P551" s="16"/>
      <c r="Q551" s="1522">
        <v>6.7</v>
      </c>
      <c r="R551" s="1522"/>
      <c r="S551" s="1522"/>
      <c r="T551" s="16"/>
      <c r="U551" s="1488">
        <f t="shared" si="47"/>
        <v>2.1666666666666665</v>
      </c>
      <c r="V551" s="1488">
        <f t="shared" si="48"/>
        <v>9.1</v>
      </c>
      <c r="W551" s="1488">
        <f t="shared" si="48"/>
        <v>9.1</v>
      </c>
      <c r="X551" s="17"/>
      <c r="Y551" s="1489">
        <f>IF(C551=S$544,U551,0)</f>
        <v>0</v>
      </c>
      <c r="Z551" s="1489"/>
      <c r="AA551" s="1489"/>
      <c r="AF551" s="715"/>
      <c r="AG551" s="715"/>
      <c r="AH551" s="715"/>
      <c r="BP551" s="31"/>
      <c r="BQ551" s="31"/>
      <c r="BR551" s="31"/>
      <c r="BS551" s="31"/>
      <c r="BT551" s="31"/>
      <c r="BU551" s="31"/>
      <c r="BV551" s="31"/>
      <c r="BW551" s="31"/>
      <c r="BX551" s="31"/>
    </row>
    <row r="552" spans="3:76" s="28" customFormat="1" ht="18.95" hidden="1" customHeight="1" outlineLevel="1">
      <c r="C552" s="549" t="str">
        <f>X!$C$116</f>
        <v>Genf</v>
      </c>
      <c r="D552" s="16"/>
      <c r="E552" s="16"/>
      <c r="F552" s="16"/>
      <c r="G552" s="16"/>
      <c r="H552" s="16"/>
      <c r="I552" s="1522">
        <v>5.4</v>
      </c>
      <c r="J552" s="1522"/>
      <c r="K552" s="1522"/>
      <c r="L552" s="16"/>
      <c r="M552" s="1522">
        <v>10</v>
      </c>
      <c r="N552" s="1522"/>
      <c r="O552" s="1522"/>
      <c r="P552" s="16"/>
      <c r="Q552" s="1522">
        <v>13.9</v>
      </c>
      <c r="R552" s="1522"/>
      <c r="S552" s="1522"/>
      <c r="T552" s="16"/>
      <c r="U552" s="1488">
        <f t="shared" si="47"/>
        <v>9.7666666666666675</v>
      </c>
      <c r="V552" s="1488">
        <f t="shared" si="48"/>
        <v>9.1</v>
      </c>
      <c r="W552" s="1488">
        <f t="shared" si="48"/>
        <v>9.1</v>
      </c>
      <c r="X552" s="17"/>
      <c r="Y552" s="1489">
        <f t="shared" si="49"/>
        <v>0</v>
      </c>
      <c r="Z552" s="1489"/>
      <c r="AA552" s="1489"/>
      <c r="AF552" s="715"/>
      <c r="AG552" s="715"/>
      <c r="AH552" s="715"/>
      <c r="BP552" s="31"/>
      <c r="BQ552" s="31"/>
      <c r="BR552" s="31"/>
      <c r="BS552" s="31"/>
      <c r="BT552" s="31"/>
      <c r="BU552" s="31"/>
      <c r="BV552" s="31"/>
      <c r="BW552" s="31"/>
      <c r="BX552" s="31"/>
    </row>
    <row r="553" spans="3:76" s="28" customFormat="1" ht="18.95" hidden="1" customHeight="1" outlineLevel="1">
      <c r="C553" s="549" t="str">
        <f>X!$C$174</f>
        <v>Lugano</v>
      </c>
      <c r="D553" s="16"/>
      <c r="E553" s="16"/>
      <c r="F553" s="16"/>
      <c r="G553" s="16"/>
      <c r="H553" s="16"/>
      <c r="I553" s="1522">
        <v>7.3</v>
      </c>
      <c r="J553" s="1522"/>
      <c r="K553" s="1522"/>
      <c r="L553" s="16"/>
      <c r="M553" s="1522">
        <v>11.5</v>
      </c>
      <c r="N553" s="1522"/>
      <c r="O553" s="1522"/>
      <c r="P553" s="16"/>
      <c r="Q553" s="1522">
        <v>15.4</v>
      </c>
      <c r="R553" s="1522"/>
      <c r="S553" s="1522"/>
      <c r="T553" s="16"/>
      <c r="U553" s="1488">
        <f t="shared" si="47"/>
        <v>11.4</v>
      </c>
      <c r="V553" s="1488">
        <f t="shared" si="48"/>
        <v>9.1</v>
      </c>
      <c r="W553" s="1488">
        <f t="shared" si="48"/>
        <v>9.1</v>
      </c>
      <c r="X553" s="17"/>
      <c r="Y553" s="1489">
        <f t="shared" si="49"/>
        <v>0</v>
      </c>
      <c r="Z553" s="1489"/>
      <c r="AA553" s="1489"/>
      <c r="AF553" s="715"/>
      <c r="AG553" s="715"/>
      <c r="AH553" s="715"/>
      <c r="BP553" s="31"/>
      <c r="BQ553" s="31"/>
      <c r="BR553" s="31"/>
      <c r="BS553" s="31"/>
      <c r="BT553" s="31"/>
      <c r="BU553" s="31"/>
      <c r="BV553" s="31"/>
      <c r="BW553" s="31"/>
      <c r="BX553" s="31"/>
    </row>
    <row r="554" spans="3:76" s="28" customFormat="1" ht="18.95" hidden="1" customHeight="1" outlineLevel="1">
      <c r="C554" s="549" t="str">
        <f>X!$C$213</f>
        <v>St. Gallen</v>
      </c>
      <c r="D554" s="16"/>
      <c r="E554" s="16"/>
      <c r="F554" s="16"/>
      <c r="G554" s="16"/>
      <c r="H554" s="16"/>
      <c r="I554" s="1522">
        <v>2.6</v>
      </c>
      <c r="J554" s="1522"/>
      <c r="K554" s="1522"/>
      <c r="L554" s="16"/>
      <c r="M554" s="1522">
        <v>7.6</v>
      </c>
      <c r="N554" s="1522"/>
      <c r="O554" s="1522"/>
      <c r="P554" s="16"/>
      <c r="Q554" s="1522">
        <v>11.2</v>
      </c>
      <c r="R554" s="1522"/>
      <c r="S554" s="1522"/>
      <c r="T554" s="16"/>
      <c r="U554" s="1488">
        <f t="shared" si="47"/>
        <v>7.1333333333333329</v>
      </c>
      <c r="V554" s="1488">
        <f t="shared" si="48"/>
        <v>9.1</v>
      </c>
      <c r="W554" s="1488">
        <f t="shared" si="48"/>
        <v>9.1</v>
      </c>
      <c r="X554" s="17"/>
      <c r="Y554" s="1489">
        <f t="shared" si="49"/>
        <v>0</v>
      </c>
      <c r="Z554" s="1489"/>
      <c r="AA554" s="1489"/>
      <c r="AF554" s="715"/>
      <c r="AG554" s="715"/>
      <c r="AH554" s="715"/>
      <c r="BP554" s="31"/>
      <c r="BQ554" s="31"/>
      <c r="BR554" s="31"/>
      <c r="BS554" s="31"/>
      <c r="BT554" s="31"/>
      <c r="BU554" s="31"/>
      <c r="BV554" s="31"/>
      <c r="BW554" s="31"/>
      <c r="BX554" s="31"/>
    </row>
    <row r="555" spans="3:76" s="28" customFormat="1" ht="18.95" hidden="1" customHeight="1" outlineLevel="1">
      <c r="C555" s="549" t="str">
        <f>X!$C$275</f>
        <v>Zürich</v>
      </c>
      <c r="D555" s="16"/>
      <c r="E555" s="16"/>
      <c r="F555" s="16"/>
      <c r="G555" s="16"/>
      <c r="H555" s="16"/>
      <c r="I555" s="1522">
        <v>4.8</v>
      </c>
      <c r="J555" s="1522"/>
      <c r="K555" s="1522"/>
      <c r="L555" s="16"/>
      <c r="M555" s="1522">
        <v>9.6999999999999993</v>
      </c>
      <c r="N555" s="1522"/>
      <c r="O555" s="1522"/>
      <c r="P555" s="16"/>
      <c r="Q555" s="1522">
        <v>13.6</v>
      </c>
      <c r="R555" s="1522"/>
      <c r="S555" s="1522"/>
      <c r="T555" s="16"/>
      <c r="U555" s="1488">
        <f t="shared" si="47"/>
        <v>9.3666666666666671</v>
      </c>
      <c r="V555" s="1488">
        <f t="shared" si="48"/>
        <v>9.1</v>
      </c>
      <c r="W555" s="1488">
        <f t="shared" si="48"/>
        <v>9.1</v>
      </c>
      <c r="X555" s="17"/>
      <c r="Y555" s="1489">
        <f t="shared" si="49"/>
        <v>0</v>
      </c>
      <c r="Z555" s="1489"/>
      <c r="AA555" s="1489"/>
      <c r="AF555" s="715"/>
      <c r="AG555" s="715"/>
      <c r="AH555" s="715"/>
      <c r="BP555" s="31"/>
      <c r="BQ555" s="31"/>
      <c r="BR555" s="31"/>
      <c r="BS555" s="31"/>
      <c r="BT555" s="31"/>
      <c r="BU555" s="31"/>
      <c r="BV555" s="31"/>
      <c r="BW555" s="31"/>
      <c r="BX555" s="31"/>
    </row>
    <row r="556" spans="3:76" hidden="1" outlineLevel="1">
      <c r="C556" s="10"/>
      <c r="D556" s="7"/>
      <c r="E556" s="7"/>
      <c r="F556" s="7"/>
      <c r="G556" s="7"/>
      <c r="H556" s="7"/>
      <c r="I556" s="7"/>
      <c r="J556" s="7"/>
      <c r="K556" s="7"/>
      <c r="L556" s="7"/>
      <c r="M556" s="7"/>
      <c r="N556" s="7"/>
      <c r="P556" s="31"/>
      <c r="BL556" s="28"/>
    </row>
    <row r="557" spans="3:76" ht="16.5" hidden="1" outlineLevel="1">
      <c r="C557" s="5"/>
      <c r="D557" s="1"/>
      <c r="E557" s="1"/>
      <c r="F557" s="1"/>
      <c r="G557" s="1"/>
      <c r="H557" s="1"/>
      <c r="I557" s="1"/>
      <c r="J557" s="1"/>
      <c r="K557" s="1"/>
      <c r="L557" s="1"/>
      <c r="M557" s="1"/>
      <c r="N557" s="1"/>
      <c r="O557" s="1"/>
      <c r="P557" s="1"/>
      <c r="Q557" s="2"/>
      <c r="R557" s="3"/>
      <c r="S557" s="13"/>
      <c r="T557" s="3"/>
      <c r="U557" s="3"/>
      <c r="V557" s="3"/>
      <c r="W557" s="3"/>
      <c r="X557" s="3"/>
      <c r="Y557" s="3"/>
      <c r="Z557" s="3"/>
      <c r="AB557" s="28"/>
      <c r="BL557" s="28"/>
    </row>
    <row r="558" spans="3:76" s="28" customFormat="1" ht="20.100000000000001" hidden="1" customHeight="1" outlineLevel="1">
      <c r="C558" s="551" t="str">
        <f>X!$C$212</f>
        <v>Sommer</v>
      </c>
      <c r="D558" s="15"/>
      <c r="E558" s="15"/>
      <c r="F558" s="15"/>
      <c r="G558" s="15"/>
      <c r="H558" s="15"/>
      <c r="I558" s="1523" t="s">
        <v>169</v>
      </c>
      <c r="J558" s="1523"/>
      <c r="K558" s="1523"/>
      <c r="L558" s="27"/>
      <c r="M558" s="1523" t="s">
        <v>170</v>
      </c>
      <c r="N558" s="1523"/>
      <c r="O558" s="1523"/>
      <c r="P558" s="27"/>
      <c r="Q558" s="1523" t="s">
        <v>171</v>
      </c>
      <c r="R558" s="1523"/>
      <c r="S558" s="1523"/>
      <c r="T558" s="27"/>
      <c r="U558" s="1567" t="s">
        <v>178</v>
      </c>
      <c r="V558" s="1567"/>
      <c r="W558" s="1567"/>
      <c r="X558" s="15"/>
      <c r="Y558" s="1528">
        <f>SUM(Y559:AA565)</f>
        <v>0</v>
      </c>
      <c r="Z558" s="1529"/>
      <c r="AA558" s="1529"/>
      <c r="BP558" s="31"/>
      <c r="BQ558" s="31"/>
      <c r="BR558" s="31"/>
      <c r="BS558" s="31"/>
      <c r="BT558" s="31"/>
      <c r="BU558" s="31"/>
      <c r="BV558" s="31"/>
      <c r="BW558" s="31"/>
      <c r="BX558" s="31"/>
    </row>
    <row r="559" spans="3:76" ht="15" hidden="1" outlineLevel="1">
      <c r="C559" s="517" t="str">
        <f>C549</f>
        <v>Basel</v>
      </c>
      <c r="D559" s="16"/>
      <c r="E559" s="16"/>
      <c r="F559" s="16"/>
      <c r="G559" s="16"/>
      <c r="H559" s="16"/>
      <c r="I559" s="1522">
        <v>16.7</v>
      </c>
      <c r="J559" s="1522"/>
      <c r="K559" s="1522"/>
      <c r="L559" s="16"/>
      <c r="M559" s="1522">
        <v>18.3</v>
      </c>
      <c r="N559" s="1522"/>
      <c r="O559" s="1522"/>
      <c r="P559" s="16"/>
      <c r="Q559" s="1522">
        <v>17.3</v>
      </c>
      <c r="R559" s="1522"/>
      <c r="S559" s="1522"/>
      <c r="T559" s="16"/>
      <c r="U559" s="1488">
        <f t="shared" ref="U559:U565" si="50">AVERAGE(I559:S559)</f>
        <v>17.433333333333334</v>
      </c>
      <c r="V559" s="1488">
        <f t="shared" ref="V559:W565" si="51">(4.8+9.5+13)/3</f>
        <v>9.1</v>
      </c>
      <c r="W559" s="1488">
        <f t="shared" si="51"/>
        <v>9.1</v>
      </c>
      <c r="X559" s="17"/>
      <c r="Y559" s="1489">
        <f>IF(C559=S$544,U559,0)</f>
        <v>0</v>
      </c>
      <c r="Z559" s="1489"/>
      <c r="AA559" s="1489"/>
      <c r="AB559" s="28"/>
      <c r="BL559" s="28"/>
    </row>
    <row r="560" spans="3:76" ht="15" hidden="1" outlineLevel="1">
      <c r="C560" s="517" t="str">
        <f>C550</f>
        <v>Bern</v>
      </c>
      <c r="D560" s="16"/>
      <c r="E560" s="16"/>
      <c r="F560" s="16"/>
      <c r="G560" s="16"/>
      <c r="H560" s="16"/>
      <c r="I560" s="1522">
        <v>16.2</v>
      </c>
      <c r="J560" s="1522"/>
      <c r="K560" s="1522"/>
      <c r="L560" s="16"/>
      <c r="M560" s="1522">
        <v>18</v>
      </c>
      <c r="N560" s="1522"/>
      <c r="O560" s="1522"/>
      <c r="P560" s="16"/>
      <c r="Q560" s="1522">
        <v>16.899999999999999</v>
      </c>
      <c r="R560" s="1522"/>
      <c r="S560" s="1522"/>
      <c r="T560" s="16"/>
      <c r="U560" s="1488">
        <f t="shared" si="50"/>
        <v>17.033333333333335</v>
      </c>
      <c r="V560" s="1488">
        <f t="shared" si="51"/>
        <v>9.1</v>
      </c>
      <c r="W560" s="1488">
        <f t="shared" si="51"/>
        <v>9.1</v>
      </c>
      <c r="X560" s="17"/>
      <c r="Y560" s="1489">
        <f t="shared" ref="Y560:Y565" si="52">IF(C560=S$544,U560,0)</f>
        <v>0</v>
      </c>
      <c r="Z560" s="1489"/>
      <c r="AA560" s="1489"/>
      <c r="AB560" s="28"/>
      <c r="BL560" s="28"/>
    </row>
    <row r="561" spans="3:76" s="28" customFormat="1" ht="18.95" hidden="1" customHeight="1" outlineLevel="1">
      <c r="C561" s="549" t="s">
        <v>813</v>
      </c>
      <c r="D561" s="16"/>
      <c r="E561" s="16"/>
      <c r="F561" s="16"/>
      <c r="G561" s="16"/>
      <c r="H561" s="16"/>
      <c r="I561" s="1522">
        <v>10.6</v>
      </c>
      <c r="J561" s="1522"/>
      <c r="K561" s="1522"/>
      <c r="L561" s="16"/>
      <c r="M561" s="1522">
        <v>12.3</v>
      </c>
      <c r="N561" s="1522"/>
      <c r="O561" s="1522"/>
      <c r="P561" s="16"/>
      <c r="Q561" s="1522">
        <v>11.4</v>
      </c>
      <c r="R561" s="1522"/>
      <c r="S561" s="1522"/>
      <c r="T561" s="16"/>
      <c r="U561" s="1488">
        <f t="shared" si="50"/>
        <v>11.433333333333332</v>
      </c>
      <c r="V561" s="1488">
        <f t="shared" si="51"/>
        <v>9.1</v>
      </c>
      <c r="W561" s="1488">
        <f t="shared" si="51"/>
        <v>9.1</v>
      </c>
      <c r="X561" s="17"/>
      <c r="Y561" s="1489">
        <f t="shared" si="52"/>
        <v>0</v>
      </c>
      <c r="Z561" s="1489"/>
      <c r="AA561" s="1489"/>
      <c r="AF561" s="715"/>
      <c r="AG561" s="715"/>
      <c r="AH561" s="715"/>
      <c r="BP561" s="31"/>
      <c r="BQ561" s="31"/>
      <c r="BR561" s="31"/>
      <c r="BS561" s="31"/>
      <c r="BT561" s="31"/>
      <c r="BU561" s="31"/>
      <c r="BV561" s="31"/>
      <c r="BW561" s="31"/>
      <c r="BX561" s="31"/>
    </row>
    <row r="562" spans="3:76" ht="15" hidden="1" outlineLevel="1">
      <c r="C562" s="517" t="str">
        <f>C552</f>
        <v>Genf</v>
      </c>
      <c r="D562" s="16"/>
      <c r="E562" s="16"/>
      <c r="F562" s="16"/>
      <c r="G562" s="16"/>
      <c r="H562" s="16"/>
      <c r="I562" s="1522">
        <v>17.7</v>
      </c>
      <c r="J562" s="1522"/>
      <c r="K562" s="1522"/>
      <c r="L562" s="16"/>
      <c r="M562" s="1522">
        <v>19.899999999999999</v>
      </c>
      <c r="N562" s="1522"/>
      <c r="O562" s="1522"/>
      <c r="P562" s="16"/>
      <c r="Q562" s="1522">
        <v>18.899999999999999</v>
      </c>
      <c r="R562" s="1522"/>
      <c r="S562" s="1522"/>
      <c r="T562" s="16"/>
      <c r="U562" s="1488">
        <f t="shared" si="50"/>
        <v>18.833333333333332</v>
      </c>
      <c r="V562" s="1488">
        <f t="shared" si="51"/>
        <v>9.1</v>
      </c>
      <c r="W562" s="1488">
        <f t="shared" si="51"/>
        <v>9.1</v>
      </c>
      <c r="X562" s="17"/>
      <c r="Y562" s="1489">
        <f t="shared" si="52"/>
        <v>0</v>
      </c>
      <c r="Z562" s="1489"/>
      <c r="AA562" s="1489"/>
      <c r="AB562" s="28"/>
      <c r="BL562" s="28"/>
    </row>
    <row r="563" spans="3:76" ht="15" hidden="1" outlineLevel="1">
      <c r="C563" s="517" t="str">
        <f>C553</f>
        <v>Lugano</v>
      </c>
      <c r="D563" s="16"/>
      <c r="E563" s="16"/>
      <c r="F563" s="16"/>
      <c r="G563" s="16"/>
      <c r="H563" s="16"/>
      <c r="I563" s="1522">
        <v>19.100000000000001</v>
      </c>
      <c r="J563" s="1522"/>
      <c r="K563" s="1522"/>
      <c r="L563" s="16"/>
      <c r="M563" s="1522">
        <v>21.4</v>
      </c>
      <c r="N563" s="1522"/>
      <c r="O563" s="1522"/>
      <c r="P563" s="16"/>
      <c r="Q563" s="1522">
        <v>20.399999999999999</v>
      </c>
      <c r="R563" s="1522"/>
      <c r="S563" s="1522"/>
      <c r="T563" s="16"/>
      <c r="U563" s="1488">
        <f t="shared" si="50"/>
        <v>20.3</v>
      </c>
      <c r="V563" s="1488">
        <f t="shared" si="51"/>
        <v>9.1</v>
      </c>
      <c r="W563" s="1488">
        <f t="shared" si="51"/>
        <v>9.1</v>
      </c>
      <c r="X563" s="17"/>
      <c r="Y563" s="1489">
        <f t="shared" si="52"/>
        <v>0</v>
      </c>
      <c r="Z563" s="1489"/>
      <c r="AA563" s="1489"/>
      <c r="AB563" s="28"/>
      <c r="BL563" s="28"/>
    </row>
    <row r="564" spans="3:76" ht="15" hidden="1" outlineLevel="1">
      <c r="C564" s="517" t="str">
        <f>C554</f>
        <v>St. Gallen</v>
      </c>
      <c r="D564" s="16"/>
      <c r="E564" s="16"/>
      <c r="F564" s="16"/>
      <c r="G564" s="16"/>
      <c r="H564" s="16"/>
      <c r="I564" s="1522">
        <v>14.9</v>
      </c>
      <c r="J564" s="1522"/>
      <c r="K564" s="1522"/>
      <c r="L564" s="16"/>
      <c r="M564" s="1522">
        <v>16.600000000000001</v>
      </c>
      <c r="N564" s="1522"/>
      <c r="O564" s="1522"/>
      <c r="P564" s="16"/>
      <c r="Q564" s="1522">
        <v>15.5</v>
      </c>
      <c r="R564" s="1522"/>
      <c r="S564" s="1522"/>
      <c r="T564" s="16"/>
      <c r="U564" s="1488">
        <f t="shared" si="50"/>
        <v>15.666666666666666</v>
      </c>
      <c r="V564" s="1488">
        <f t="shared" si="51"/>
        <v>9.1</v>
      </c>
      <c r="W564" s="1488">
        <f t="shared" si="51"/>
        <v>9.1</v>
      </c>
      <c r="X564" s="17"/>
      <c r="Y564" s="1489">
        <f t="shared" si="52"/>
        <v>0</v>
      </c>
      <c r="Z564" s="1489"/>
      <c r="AA564" s="1489"/>
      <c r="AB564" s="28"/>
      <c r="BL564" s="28"/>
    </row>
    <row r="565" spans="3:76" ht="15" hidden="1" outlineLevel="1">
      <c r="C565" s="517" t="str">
        <f>C555</f>
        <v>Zürich</v>
      </c>
      <c r="D565" s="16"/>
      <c r="E565" s="16"/>
      <c r="F565" s="16"/>
      <c r="G565" s="16"/>
      <c r="H565" s="16"/>
      <c r="I565" s="1522">
        <v>17.600000000000001</v>
      </c>
      <c r="J565" s="1522"/>
      <c r="K565" s="1522"/>
      <c r="L565" s="16"/>
      <c r="M565" s="1522">
        <v>19.3</v>
      </c>
      <c r="N565" s="1522"/>
      <c r="O565" s="1522"/>
      <c r="P565" s="16"/>
      <c r="Q565" s="1522">
        <v>17.899999999999999</v>
      </c>
      <c r="R565" s="1522"/>
      <c r="S565" s="1522"/>
      <c r="T565" s="16"/>
      <c r="U565" s="1488">
        <f t="shared" si="50"/>
        <v>18.266666666666669</v>
      </c>
      <c r="V565" s="1488">
        <f t="shared" si="51"/>
        <v>9.1</v>
      </c>
      <c r="W565" s="1488">
        <f t="shared" si="51"/>
        <v>9.1</v>
      </c>
      <c r="X565" s="17"/>
      <c r="Y565" s="1489">
        <f t="shared" si="52"/>
        <v>0</v>
      </c>
      <c r="Z565" s="1489"/>
      <c r="AA565" s="1489"/>
      <c r="AB565" s="28"/>
      <c r="BL565" s="28"/>
    </row>
    <row r="566" spans="3:76" ht="15" hidden="1" outlineLevel="1">
      <c r="C566" s="10"/>
      <c r="D566" s="7"/>
      <c r="E566" s="7"/>
      <c r="F566" s="7"/>
      <c r="G566" s="7"/>
      <c r="H566" s="7"/>
      <c r="I566" s="7"/>
      <c r="J566" s="7"/>
      <c r="K566" s="7"/>
      <c r="L566" s="7"/>
      <c r="M566" s="7"/>
      <c r="N566" s="7"/>
      <c r="O566" s="7"/>
      <c r="P566" s="10"/>
      <c r="Q566" s="12"/>
      <c r="R566" s="6"/>
      <c r="S566" s="14"/>
      <c r="T566" s="6"/>
      <c r="U566" s="6"/>
      <c r="V566" s="6"/>
      <c r="W566" s="8"/>
      <c r="X566" s="8"/>
      <c r="Y566" s="8"/>
      <c r="Z566" s="9"/>
      <c r="AB566" s="28"/>
      <c r="BL566" s="28"/>
    </row>
    <row r="567" spans="3:76" hidden="1" outlineLevel="1">
      <c r="C567" s="552" t="str">
        <f>X!$C$120</f>
        <v>Herbst</v>
      </c>
      <c r="D567" s="11"/>
      <c r="E567" s="11"/>
      <c r="F567" s="11"/>
      <c r="G567" s="11"/>
      <c r="H567" s="11"/>
      <c r="I567" s="1523" t="s">
        <v>172</v>
      </c>
      <c r="J567" s="1523"/>
      <c r="K567" s="1523"/>
      <c r="L567" s="27"/>
      <c r="M567" s="1523" t="s">
        <v>173</v>
      </c>
      <c r="N567" s="1523"/>
      <c r="O567" s="1523"/>
      <c r="P567" s="27"/>
      <c r="Q567" s="1523" t="s">
        <v>174</v>
      </c>
      <c r="R567" s="1523"/>
      <c r="S567" s="1523"/>
      <c r="T567" s="27"/>
      <c r="U567" s="1567" t="s">
        <v>178</v>
      </c>
      <c r="V567" s="1567"/>
      <c r="W567" s="1567"/>
      <c r="X567" s="15"/>
      <c r="Y567" s="1528">
        <f>SUM(Y568:AA574)</f>
        <v>0</v>
      </c>
      <c r="Z567" s="1529"/>
      <c r="AA567" s="1529"/>
      <c r="BL567" s="28"/>
    </row>
    <row r="568" spans="3:76" ht="15" hidden="1" outlineLevel="1">
      <c r="C568" s="517" t="str">
        <f>C549</f>
        <v>Basel</v>
      </c>
      <c r="D568" s="16"/>
      <c r="E568" s="16"/>
      <c r="F568" s="16"/>
      <c r="G568" s="16"/>
      <c r="H568" s="16"/>
      <c r="I568" s="1522">
        <v>15</v>
      </c>
      <c r="J568" s="1522"/>
      <c r="K568" s="1522"/>
      <c r="L568" s="16"/>
      <c r="M568" s="1522">
        <v>10.4</v>
      </c>
      <c r="N568" s="1522"/>
      <c r="O568" s="1522"/>
      <c r="P568" s="16"/>
      <c r="Q568" s="1522">
        <v>5</v>
      </c>
      <c r="R568" s="1522"/>
      <c r="S568" s="1522"/>
      <c r="T568" s="16"/>
      <c r="U568" s="1488">
        <f t="shared" ref="U568:U574" si="53">AVERAGE(I568:S568)</f>
        <v>10.133333333333333</v>
      </c>
      <c r="V568" s="1488">
        <f t="shared" ref="V568:W574" si="54">(4.8+9.5+13)/3</f>
        <v>9.1</v>
      </c>
      <c r="W568" s="1488">
        <f t="shared" si="54"/>
        <v>9.1</v>
      </c>
      <c r="X568" s="17"/>
      <c r="Y568" s="1489">
        <f t="shared" ref="Y568:Y574" si="55">IF(C568=S$544,U568,0)</f>
        <v>0</v>
      </c>
      <c r="Z568" s="1489"/>
      <c r="AA568" s="1489"/>
      <c r="BL568" s="28"/>
    </row>
    <row r="569" spans="3:76" ht="15" hidden="1" outlineLevel="1">
      <c r="C569" s="517" t="str">
        <f>C550</f>
        <v>Bern</v>
      </c>
      <c r="D569" s="16"/>
      <c r="E569" s="16"/>
      <c r="F569" s="16"/>
      <c r="G569" s="16"/>
      <c r="H569" s="16"/>
      <c r="I569" s="1522">
        <v>14.5</v>
      </c>
      <c r="J569" s="1522"/>
      <c r="K569" s="1522"/>
      <c r="L569" s="16"/>
      <c r="M569" s="1522">
        <v>9.8000000000000007</v>
      </c>
      <c r="N569" s="1522"/>
      <c r="O569" s="1522"/>
      <c r="P569" s="16"/>
      <c r="Q569" s="1522">
        <v>4.0999999999999996</v>
      </c>
      <c r="R569" s="1522"/>
      <c r="S569" s="1522"/>
      <c r="T569" s="16"/>
      <c r="U569" s="1488">
        <f t="shared" si="53"/>
        <v>9.4666666666666668</v>
      </c>
      <c r="V569" s="1488">
        <f t="shared" si="54"/>
        <v>9.1</v>
      </c>
      <c r="W569" s="1488">
        <f t="shared" si="54"/>
        <v>9.1</v>
      </c>
      <c r="X569" s="17"/>
      <c r="Y569" s="1489">
        <f t="shared" si="55"/>
        <v>0</v>
      </c>
      <c r="Z569" s="1489"/>
      <c r="AA569" s="1489"/>
      <c r="BL569" s="28"/>
    </row>
    <row r="570" spans="3:76" s="28" customFormat="1" ht="18.95" hidden="1" customHeight="1" outlineLevel="1">
      <c r="C570" s="549" t="s">
        <v>813</v>
      </c>
      <c r="D570" s="16"/>
      <c r="E570" s="16"/>
      <c r="F570" s="16"/>
      <c r="G570" s="16"/>
      <c r="H570" s="16"/>
      <c r="I570" s="1522">
        <v>9.3000000000000007</v>
      </c>
      <c r="J570" s="1522"/>
      <c r="K570" s="1522"/>
      <c r="L570" s="16"/>
      <c r="M570" s="1522">
        <v>5.2</v>
      </c>
      <c r="N570" s="1522"/>
      <c r="O570" s="1522"/>
      <c r="P570" s="16"/>
      <c r="Q570" s="1522">
        <v>-0.6</v>
      </c>
      <c r="R570" s="1522"/>
      <c r="S570" s="1522"/>
      <c r="T570" s="16"/>
      <c r="U570" s="1488">
        <f t="shared" si="53"/>
        <v>4.6333333333333337</v>
      </c>
      <c r="V570" s="1488">
        <f t="shared" si="54"/>
        <v>9.1</v>
      </c>
      <c r="W570" s="1488">
        <f t="shared" si="54"/>
        <v>9.1</v>
      </c>
      <c r="X570" s="17"/>
      <c r="Y570" s="1489">
        <f t="shared" si="55"/>
        <v>0</v>
      </c>
      <c r="Z570" s="1489"/>
      <c r="AA570" s="1489"/>
      <c r="AF570" s="715"/>
      <c r="AG570" s="715"/>
      <c r="AH570" s="715"/>
      <c r="BP570" s="31"/>
      <c r="BQ570" s="31"/>
      <c r="BR570" s="31"/>
      <c r="BS570" s="31"/>
      <c r="BT570" s="31"/>
      <c r="BU570" s="31"/>
      <c r="BV570" s="31"/>
      <c r="BW570" s="31"/>
      <c r="BX570" s="31"/>
    </row>
    <row r="571" spans="3:76" ht="15" hidden="1" outlineLevel="1">
      <c r="C571" s="517" t="str">
        <f>C552</f>
        <v>Genf</v>
      </c>
      <c r="D571" s="16"/>
      <c r="E571" s="16"/>
      <c r="F571" s="16"/>
      <c r="G571" s="16"/>
      <c r="H571" s="16"/>
      <c r="I571" s="1522">
        <v>16.100000000000001</v>
      </c>
      <c r="J571" s="1522"/>
      <c r="K571" s="1522"/>
      <c r="L571" s="16"/>
      <c r="M571" s="1522">
        <v>11.4</v>
      </c>
      <c r="N571" s="1522"/>
      <c r="O571" s="1522"/>
      <c r="P571" s="16"/>
      <c r="Q571" s="1522">
        <v>6</v>
      </c>
      <c r="R571" s="1522"/>
      <c r="S571" s="1522"/>
      <c r="T571" s="16"/>
      <c r="U571" s="1488">
        <f t="shared" si="53"/>
        <v>11.166666666666666</v>
      </c>
      <c r="V571" s="1488">
        <f t="shared" si="54"/>
        <v>9.1</v>
      </c>
      <c r="W571" s="1488">
        <f t="shared" si="54"/>
        <v>9.1</v>
      </c>
      <c r="X571" s="17"/>
      <c r="Y571" s="1489">
        <f t="shared" si="55"/>
        <v>0</v>
      </c>
      <c r="Z571" s="1489"/>
      <c r="AA571" s="1489"/>
      <c r="BL571" s="28"/>
    </row>
    <row r="572" spans="3:76" ht="15" hidden="1" outlineLevel="1">
      <c r="C572" s="517" t="str">
        <f>C553</f>
        <v>Lugano</v>
      </c>
      <c r="D572" s="16"/>
      <c r="E572" s="16"/>
      <c r="F572" s="16"/>
      <c r="G572" s="16"/>
      <c r="H572" s="16"/>
      <c r="I572" s="1522">
        <v>17.600000000000001</v>
      </c>
      <c r="J572" s="1522"/>
      <c r="K572" s="1522"/>
      <c r="L572" s="16"/>
      <c r="M572" s="1522">
        <v>13</v>
      </c>
      <c r="N572" s="1522"/>
      <c r="O572" s="1522"/>
      <c r="P572" s="16"/>
      <c r="Q572" s="1522">
        <v>7.3</v>
      </c>
      <c r="R572" s="1522"/>
      <c r="S572" s="1522"/>
      <c r="T572" s="16"/>
      <c r="U572" s="1488">
        <f t="shared" si="53"/>
        <v>12.633333333333333</v>
      </c>
      <c r="V572" s="1488">
        <f t="shared" si="54"/>
        <v>9.1</v>
      </c>
      <c r="W572" s="1488">
        <f t="shared" si="54"/>
        <v>9.1</v>
      </c>
      <c r="X572" s="17"/>
      <c r="Y572" s="1489">
        <f t="shared" si="55"/>
        <v>0</v>
      </c>
      <c r="Z572" s="1489"/>
      <c r="AA572" s="1489"/>
      <c r="BL572" s="28"/>
    </row>
    <row r="573" spans="3:76" ht="15" hidden="1" outlineLevel="1">
      <c r="C573" s="517" t="str">
        <f>C554</f>
        <v>St. Gallen</v>
      </c>
      <c r="D573" s="16"/>
      <c r="E573" s="16"/>
      <c r="F573" s="16"/>
      <c r="G573" s="16"/>
      <c r="H573" s="16"/>
      <c r="I573" s="1522">
        <v>13.5</v>
      </c>
      <c r="J573" s="1522"/>
      <c r="K573" s="1522"/>
      <c r="L573" s="16"/>
      <c r="M573" s="1522">
        <v>9</v>
      </c>
      <c r="N573" s="1522"/>
      <c r="O573" s="1522"/>
      <c r="P573" s="16"/>
      <c r="Q573" s="1522">
        <v>3.9</v>
      </c>
      <c r="R573" s="1522"/>
      <c r="S573" s="1522"/>
      <c r="T573" s="16"/>
      <c r="U573" s="1488">
        <f t="shared" si="53"/>
        <v>8.7999999999999989</v>
      </c>
      <c r="V573" s="1488">
        <f t="shared" si="54"/>
        <v>9.1</v>
      </c>
      <c r="W573" s="1488">
        <f t="shared" si="54"/>
        <v>9.1</v>
      </c>
      <c r="X573" s="17"/>
      <c r="Y573" s="1489">
        <f t="shared" si="55"/>
        <v>0</v>
      </c>
      <c r="Z573" s="1489"/>
      <c r="AA573" s="1489"/>
      <c r="BL573" s="28"/>
    </row>
    <row r="574" spans="3:76" ht="15" hidden="1" outlineLevel="1">
      <c r="C574" s="517" t="str">
        <f>C555</f>
        <v>Zürich</v>
      </c>
      <c r="D574" s="16"/>
      <c r="E574" s="16"/>
      <c r="F574" s="16"/>
      <c r="G574" s="16"/>
      <c r="H574" s="16"/>
      <c r="I574" s="1522">
        <v>15.6</v>
      </c>
      <c r="J574" s="1522"/>
      <c r="K574" s="1522"/>
      <c r="L574" s="16"/>
      <c r="M574" s="1522">
        <v>11</v>
      </c>
      <c r="N574" s="1522"/>
      <c r="O574" s="1522"/>
      <c r="P574" s="16"/>
      <c r="Q574" s="1522">
        <v>5.4</v>
      </c>
      <c r="R574" s="1522"/>
      <c r="S574" s="1522"/>
      <c r="T574" s="16"/>
      <c r="U574" s="1488">
        <f t="shared" si="53"/>
        <v>10.666666666666666</v>
      </c>
      <c r="V574" s="1488">
        <f t="shared" si="54"/>
        <v>9.1</v>
      </c>
      <c r="W574" s="1488">
        <f t="shared" si="54"/>
        <v>9.1</v>
      </c>
      <c r="X574" s="17"/>
      <c r="Y574" s="1489">
        <f t="shared" si="55"/>
        <v>0</v>
      </c>
      <c r="Z574" s="1489"/>
      <c r="AA574" s="1489"/>
      <c r="BL574" s="28"/>
    </row>
    <row r="575" spans="3:76" ht="15" hidden="1" outlineLevel="1">
      <c r="C575" s="10"/>
      <c r="D575" s="7"/>
      <c r="E575" s="7"/>
      <c r="F575" s="7"/>
      <c r="G575" s="7"/>
      <c r="H575" s="7"/>
      <c r="I575" s="7"/>
      <c r="J575" s="7"/>
      <c r="K575" s="7"/>
      <c r="L575" s="7"/>
      <c r="M575" s="7"/>
      <c r="N575" s="7"/>
      <c r="O575" s="7"/>
      <c r="P575" s="10"/>
      <c r="Q575" s="12"/>
      <c r="R575" s="6"/>
      <c r="S575" s="14"/>
      <c r="T575" s="6"/>
      <c r="U575" s="6"/>
      <c r="V575" s="8"/>
      <c r="W575" s="8"/>
      <c r="X575" s="8"/>
      <c r="Y575" s="9"/>
      <c r="AA575" s="28"/>
      <c r="BL575" s="28"/>
    </row>
    <row r="576" spans="3:76" hidden="1" outlineLevel="1">
      <c r="C576" s="552" t="str">
        <f>X!$C$269</f>
        <v>Winter</v>
      </c>
      <c r="D576" s="11"/>
      <c r="E576" s="11"/>
      <c r="F576" s="11"/>
      <c r="G576" s="11"/>
      <c r="H576" s="11"/>
      <c r="I576" s="1523" t="s">
        <v>175</v>
      </c>
      <c r="J576" s="1523"/>
      <c r="K576" s="1523"/>
      <c r="L576" s="27"/>
      <c r="M576" s="1523" t="s">
        <v>176</v>
      </c>
      <c r="N576" s="1523"/>
      <c r="O576" s="1523"/>
      <c r="P576" s="27"/>
      <c r="Q576" s="1523" t="s">
        <v>177</v>
      </c>
      <c r="R576" s="1523"/>
      <c r="S576" s="1523"/>
      <c r="T576" s="27"/>
      <c r="U576" s="1567" t="s">
        <v>178</v>
      </c>
      <c r="V576" s="1567"/>
      <c r="W576" s="1567"/>
      <c r="X576" s="15"/>
      <c r="Y576" s="1528">
        <f>SUM(Y577:AA583)</f>
        <v>0</v>
      </c>
      <c r="Z576" s="1529"/>
      <c r="AA576" s="1529"/>
      <c r="BL576" s="28"/>
    </row>
    <row r="577" spans="3:76" ht="15" hidden="1" outlineLevel="1">
      <c r="C577" s="517" t="str">
        <f>C549</f>
        <v>Basel</v>
      </c>
      <c r="D577" s="16"/>
      <c r="E577" s="16"/>
      <c r="F577" s="16"/>
      <c r="G577" s="16"/>
      <c r="H577" s="16"/>
      <c r="I577" s="1522">
        <v>0.3</v>
      </c>
      <c r="J577" s="1522"/>
      <c r="K577" s="1522"/>
      <c r="L577" s="16"/>
      <c r="M577" s="1522">
        <v>0</v>
      </c>
      <c r="N577" s="1522"/>
      <c r="O577" s="1522"/>
      <c r="P577" s="16"/>
      <c r="Q577" s="1522">
        <v>2.1</v>
      </c>
      <c r="R577" s="1522"/>
      <c r="S577" s="1522"/>
      <c r="T577" s="16"/>
      <c r="U577" s="1488">
        <f t="shared" ref="U577:U583" si="56">AVERAGE(I577:S577)</f>
        <v>0.79999999999999993</v>
      </c>
      <c r="V577" s="1488">
        <f t="shared" ref="V577:W583" si="57">(4.8+9.5+13)/3</f>
        <v>9.1</v>
      </c>
      <c r="W577" s="1488">
        <f t="shared" si="57"/>
        <v>9.1</v>
      </c>
      <c r="X577" s="17"/>
      <c r="Y577" s="1489">
        <f t="shared" ref="Y577:Y583" si="58">IF(C577=S$544,U577,0)</f>
        <v>0</v>
      </c>
      <c r="Z577" s="1489"/>
      <c r="AA577" s="1489"/>
      <c r="BL577" s="28"/>
    </row>
    <row r="578" spans="3:76" ht="15" hidden="1" outlineLevel="1">
      <c r="C578" s="517" t="str">
        <f>C550</f>
        <v>Bern</v>
      </c>
      <c r="D578" s="16"/>
      <c r="E578" s="16"/>
      <c r="F578" s="16"/>
      <c r="G578" s="16"/>
      <c r="H578" s="16"/>
      <c r="I578" s="1522">
        <v>-0.8</v>
      </c>
      <c r="J578" s="1522"/>
      <c r="K578" s="1522"/>
      <c r="L578" s="16"/>
      <c r="M578" s="1522">
        <v>-1.3</v>
      </c>
      <c r="N578" s="1522"/>
      <c r="O578" s="1522"/>
      <c r="P578" s="16"/>
      <c r="Q578" s="1522">
        <v>1</v>
      </c>
      <c r="R578" s="1522"/>
      <c r="S578" s="1522"/>
      <c r="T578" s="16"/>
      <c r="U578" s="1488">
        <f t="shared" si="56"/>
        <v>-0.3666666666666667</v>
      </c>
      <c r="V578" s="1488">
        <f t="shared" si="57"/>
        <v>9.1</v>
      </c>
      <c r="W578" s="1488">
        <f t="shared" si="57"/>
        <v>9.1</v>
      </c>
      <c r="X578" s="17"/>
      <c r="Y578" s="1489">
        <f t="shared" si="58"/>
        <v>0</v>
      </c>
      <c r="Z578" s="1489"/>
      <c r="AA578" s="1489"/>
      <c r="BL578" s="28"/>
    </row>
    <row r="579" spans="3:76" s="28" customFormat="1" ht="18.95" hidden="1" customHeight="1" outlineLevel="1">
      <c r="C579" s="549" t="s">
        <v>813</v>
      </c>
      <c r="D579" s="16"/>
      <c r="E579" s="16"/>
      <c r="F579" s="16"/>
      <c r="G579" s="16"/>
      <c r="H579" s="16"/>
      <c r="I579" s="1522">
        <v>-6</v>
      </c>
      <c r="J579" s="1522"/>
      <c r="K579" s="1522"/>
      <c r="L579" s="16"/>
      <c r="M579" s="1522">
        <v>-6.2</v>
      </c>
      <c r="N579" s="1522"/>
      <c r="O579" s="1522"/>
      <c r="P579" s="16"/>
      <c r="Q579" s="1522">
        <v>-5.4</v>
      </c>
      <c r="R579" s="1522"/>
      <c r="S579" s="1522"/>
      <c r="T579" s="16"/>
      <c r="U579" s="1488">
        <f t="shared" si="56"/>
        <v>-5.8666666666666671</v>
      </c>
      <c r="V579" s="1488">
        <f t="shared" si="57"/>
        <v>9.1</v>
      </c>
      <c r="W579" s="1488">
        <f t="shared" si="57"/>
        <v>9.1</v>
      </c>
      <c r="X579" s="17"/>
      <c r="Y579" s="1489">
        <f t="shared" si="58"/>
        <v>0</v>
      </c>
      <c r="Z579" s="1489"/>
      <c r="AA579" s="1489"/>
      <c r="AF579" s="715"/>
      <c r="AG579" s="715"/>
      <c r="AH579" s="715"/>
      <c r="BP579" s="31"/>
      <c r="BQ579" s="31"/>
      <c r="BR579" s="31"/>
      <c r="BS579" s="31"/>
      <c r="BT579" s="31"/>
      <c r="BU579" s="31"/>
      <c r="BV579" s="31"/>
      <c r="BW579" s="31"/>
      <c r="BX579" s="31"/>
    </row>
    <row r="580" spans="3:76" ht="15" hidden="1" outlineLevel="1">
      <c r="C580" s="517" t="str">
        <f>C552</f>
        <v>Genf</v>
      </c>
      <c r="D580" s="16"/>
      <c r="E580" s="16"/>
      <c r="F580" s="16"/>
      <c r="G580" s="16"/>
      <c r="H580" s="16"/>
      <c r="I580" s="1522">
        <v>1.6</v>
      </c>
      <c r="J580" s="1522"/>
      <c r="K580" s="1522"/>
      <c r="L580" s="16"/>
      <c r="M580" s="1522">
        <v>0.9</v>
      </c>
      <c r="N580" s="1522"/>
      <c r="O580" s="1522"/>
      <c r="P580" s="16"/>
      <c r="Q580" s="1522">
        <v>2.8</v>
      </c>
      <c r="R580" s="1522"/>
      <c r="S580" s="1522"/>
      <c r="T580" s="16"/>
      <c r="U580" s="1488">
        <f t="shared" si="56"/>
        <v>1.7666666666666666</v>
      </c>
      <c r="V580" s="1488">
        <f t="shared" si="57"/>
        <v>9.1</v>
      </c>
      <c r="W580" s="1488">
        <f t="shared" si="57"/>
        <v>9.1</v>
      </c>
      <c r="X580" s="17"/>
      <c r="Y580" s="1489">
        <f t="shared" si="58"/>
        <v>0</v>
      </c>
      <c r="Z580" s="1489"/>
      <c r="AA580" s="1489"/>
      <c r="BL580" s="28"/>
    </row>
    <row r="581" spans="3:76" ht="15" hidden="1" outlineLevel="1">
      <c r="C581" s="517" t="str">
        <f>C553</f>
        <v>Lugano</v>
      </c>
      <c r="D581" s="16"/>
      <c r="E581" s="16"/>
      <c r="F581" s="16"/>
      <c r="G581" s="16"/>
      <c r="H581" s="16"/>
      <c r="I581" s="1522">
        <v>2.8</v>
      </c>
      <c r="J581" s="1522"/>
      <c r="K581" s="1522"/>
      <c r="L581" s="16"/>
      <c r="M581" s="1522">
        <v>1.9</v>
      </c>
      <c r="N581" s="1522"/>
      <c r="O581" s="1522"/>
      <c r="P581" s="16"/>
      <c r="Q581" s="1522">
        <v>3.9</v>
      </c>
      <c r="R581" s="1522"/>
      <c r="S581" s="1522"/>
      <c r="T581" s="16"/>
      <c r="U581" s="1488">
        <f t="shared" si="56"/>
        <v>2.8666666666666667</v>
      </c>
      <c r="V581" s="1488">
        <f t="shared" si="57"/>
        <v>9.1</v>
      </c>
      <c r="W581" s="1488">
        <f t="shared" si="57"/>
        <v>9.1</v>
      </c>
      <c r="X581" s="17"/>
      <c r="Y581" s="1489">
        <f t="shared" si="58"/>
        <v>0</v>
      </c>
      <c r="Z581" s="1489"/>
      <c r="AA581" s="1489"/>
      <c r="BL581" s="28"/>
    </row>
    <row r="582" spans="3:76" ht="15" hidden="1" outlineLevel="1">
      <c r="C582" s="517" t="str">
        <f>C554</f>
        <v>St. Gallen</v>
      </c>
      <c r="D582" s="16"/>
      <c r="E582" s="16"/>
      <c r="F582" s="16"/>
      <c r="G582" s="16"/>
      <c r="H582" s="16"/>
      <c r="I582" s="1522">
        <v>-1.6</v>
      </c>
      <c r="J582" s="1522"/>
      <c r="K582" s="1522"/>
      <c r="L582" s="16"/>
      <c r="M582" s="1522">
        <v>-1.8</v>
      </c>
      <c r="N582" s="1522"/>
      <c r="O582" s="1522"/>
      <c r="P582" s="16"/>
      <c r="Q582" s="1522">
        <v>0.1</v>
      </c>
      <c r="R582" s="1522"/>
      <c r="S582" s="1522"/>
      <c r="T582" s="16"/>
      <c r="U582" s="1488">
        <f t="shared" si="56"/>
        <v>-1.1000000000000001</v>
      </c>
      <c r="V582" s="1488">
        <f t="shared" si="57"/>
        <v>9.1</v>
      </c>
      <c r="W582" s="1488">
        <f t="shared" si="57"/>
        <v>9.1</v>
      </c>
      <c r="X582" s="17"/>
      <c r="Y582" s="1489">
        <f t="shared" si="58"/>
        <v>0</v>
      </c>
      <c r="Z582" s="1489"/>
      <c r="AA582" s="1489"/>
      <c r="BL582" s="28"/>
    </row>
    <row r="583" spans="3:76" ht="15" hidden="1" outlineLevel="1">
      <c r="C583" s="517" t="str">
        <f>C555</f>
        <v>Zürich</v>
      </c>
      <c r="D583" s="16"/>
      <c r="E583" s="16"/>
      <c r="F583" s="16"/>
      <c r="G583" s="16"/>
      <c r="H583" s="16"/>
      <c r="I583" s="1522">
        <v>0.6</v>
      </c>
      <c r="J583" s="1522"/>
      <c r="K583" s="1522"/>
      <c r="L583" s="16"/>
      <c r="M583" s="1522">
        <v>0.1</v>
      </c>
      <c r="N583" s="1522"/>
      <c r="O583" s="1522"/>
      <c r="P583" s="16"/>
      <c r="Q583" s="1522">
        <v>2.1</v>
      </c>
      <c r="R583" s="1522"/>
      <c r="S583" s="1522"/>
      <c r="T583" s="16"/>
      <c r="U583" s="1488">
        <f t="shared" si="56"/>
        <v>0.93333333333333324</v>
      </c>
      <c r="V583" s="1488">
        <f t="shared" si="57"/>
        <v>9.1</v>
      </c>
      <c r="W583" s="1488">
        <f t="shared" si="57"/>
        <v>9.1</v>
      </c>
      <c r="X583" s="17"/>
      <c r="Y583" s="1489">
        <f t="shared" si="58"/>
        <v>0</v>
      </c>
      <c r="Z583" s="1489"/>
      <c r="AA583" s="1489"/>
      <c r="BL583" s="28"/>
    </row>
    <row r="584" spans="3:76" ht="15" hidden="1" outlineLevel="1">
      <c r="C584" s="521"/>
      <c r="D584" s="18"/>
      <c r="E584" s="18"/>
      <c r="F584" s="18"/>
      <c r="G584" s="18"/>
      <c r="H584" s="18"/>
      <c r="I584" s="18"/>
      <c r="J584" s="18"/>
      <c r="K584" s="18"/>
      <c r="L584" s="18"/>
      <c r="M584" s="18"/>
      <c r="N584" s="18"/>
      <c r="O584" s="18"/>
      <c r="P584" s="18"/>
      <c r="Q584" s="18"/>
      <c r="R584" s="18"/>
      <c r="S584" s="18"/>
      <c r="T584" s="18"/>
      <c r="U584" s="253"/>
      <c r="V584" s="253"/>
      <c r="W584" s="253"/>
      <c r="X584" s="17"/>
      <c r="Y584" s="175"/>
      <c r="Z584" s="175"/>
      <c r="AA584" s="175"/>
      <c r="BL584" s="28"/>
    </row>
    <row r="585" spans="3:76" ht="15" hidden="1" outlineLevel="1">
      <c r="C585" s="10"/>
      <c r="D585" s="7"/>
      <c r="E585" s="7"/>
      <c r="F585" s="7"/>
      <c r="G585" s="7"/>
      <c r="H585" s="7"/>
      <c r="I585" s="7"/>
      <c r="J585" s="7"/>
      <c r="K585" s="7"/>
      <c r="L585" s="7"/>
      <c r="M585" s="7"/>
      <c r="N585" s="7"/>
      <c r="O585" s="7"/>
      <c r="P585" s="10"/>
      <c r="Q585" s="12"/>
      <c r="R585" s="6"/>
      <c r="S585" s="6"/>
      <c r="T585" s="6"/>
      <c r="U585" s="8"/>
      <c r="V585" s="8"/>
      <c r="W585" s="8"/>
      <c r="X585" s="8"/>
      <c r="Y585" s="8"/>
      <c r="Z585" s="9"/>
      <c r="AB585" s="28"/>
      <c r="BL585" s="28"/>
    </row>
    <row r="586" spans="3:76" s="28" customFormat="1" ht="23.1" hidden="1" customHeight="1" outlineLevel="1">
      <c r="C586" s="515" t="s">
        <v>133</v>
      </c>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c r="AH586" s="239"/>
      <c r="AI586" s="239"/>
      <c r="AJ586" s="239"/>
      <c r="AK586" s="239"/>
      <c r="AL586" s="239"/>
      <c r="AM586" s="239"/>
      <c r="AN586" s="239"/>
      <c r="AO586" s="239"/>
      <c r="AP586" s="239"/>
      <c r="AQ586" s="239"/>
      <c r="AR586" s="239"/>
      <c r="AS586" s="239"/>
      <c r="AT586" s="239"/>
      <c r="AU586" s="239"/>
      <c r="AV586" s="239"/>
      <c r="AW586" s="239"/>
      <c r="AX586" s="239"/>
      <c r="AY586" s="239"/>
      <c r="AZ586" s="239"/>
      <c r="BA586" s="239"/>
      <c r="BB586" s="239"/>
      <c r="BC586" s="239"/>
      <c r="BD586" s="239"/>
      <c r="BE586" s="239"/>
      <c r="BF586" s="239"/>
      <c r="BG586" s="239"/>
      <c r="BH586" s="239"/>
      <c r="BI586" s="239"/>
      <c r="BJ586" s="239"/>
      <c r="BK586" s="239"/>
      <c r="BP586" s="31"/>
      <c r="BQ586" s="31"/>
      <c r="BR586" s="31"/>
      <c r="BS586" s="31"/>
      <c r="BT586" s="31"/>
      <c r="BU586" s="31"/>
      <c r="BV586" s="31"/>
      <c r="BW586" s="31"/>
      <c r="BX586" s="31"/>
    </row>
    <row r="587" spans="3:76" ht="15" hidden="1" outlineLevel="1">
      <c r="C587" s="10"/>
      <c r="D587" s="7"/>
      <c r="E587" s="7"/>
      <c r="F587" s="7"/>
      <c r="G587" s="7"/>
      <c r="H587" s="7"/>
      <c r="I587" s="7"/>
      <c r="J587" s="7"/>
      <c r="K587" s="7"/>
      <c r="L587" s="7"/>
      <c r="M587" s="7"/>
      <c r="N587" s="7"/>
      <c r="O587" s="7"/>
      <c r="P587" s="10"/>
      <c r="Q587" s="12"/>
      <c r="R587" s="6"/>
      <c r="S587" s="6"/>
      <c r="T587" s="6"/>
      <c r="U587" s="8"/>
      <c r="V587" s="8"/>
      <c r="W587" s="8"/>
      <c r="X587" s="8"/>
      <c r="Y587" s="8"/>
      <c r="Z587" s="8"/>
      <c r="AA587" s="8"/>
      <c r="AB587" s="8"/>
      <c r="BL587" s="28"/>
    </row>
    <row r="588" spans="3:76" hidden="1" outlineLevel="1">
      <c r="C588" s="10" t="s">
        <v>218</v>
      </c>
      <c r="D588" s="7"/>
      <c r="E588" s="7"/>
      <c r="F588" s="7"/>
      <c r="G588" s="7"/>
      <c r="H588" s="7"/>
      <c r="I588" s="7"/>
      <c r="J588" s="7"/>
      <c r="K588" s="7"/>
      <c r="L588" s="7"/>
      <c r="M588" s="7"/>
      <c r="N588" s="7"/>
      <c r="O588" s="7"/>
      <c r="P588" s="10"/>
      <c r="Q588" s="12"/>
      <c r="R588" s="6"/>
      <c r="S588" s="1557" t="s">
        <v>117</v>
      </c>
      <c r="T588" s="1557"/>
      <c r="U588" s="1557"/>
      <c r="V588" s="52"/>
      <c r="W588" s="1557" t="s">
        <v>120</v>
      </c>
      <c r="X588" s="1557"/>
      <c r="Y588" s="1557"/>
      <c r="Z588" s="52"/>
      <c r="AA588" s="1557" t="s">
        <v>121</v>
      </c>
      <c r="AB588" s="1557"/>
      <c r="AC588" s="1557"/>
      <c r="AE588" s="1557" t="s">
        <v>122</v>
      </c>
      <c r="AF588" s="1557"/>
      <c r="AG588" s="1557"/>
      <c r="AI588" s="1557" t="s">
        <v>124</v>
      </c>
      <c r="AJ588" s="1557"/>
      <c r="AK588" s="1557"/>
      <c r="AL588" s="251"/>
      <c r="AM588" s="251"/>
      <c r="BL588" s="28"/>
    </row>
    <row r="589" spans="3:76" hidden="1" outlineLevel="1">
      <c r="C589" s="553" t="str">
        <f>X!$C$273</f>
        <v>A: Klimakälte (2'000 h/a)</v>
      </c>
      <c r="D589" s="20"/>
      <c r="E589" s="20"/>
      <c r="F589" s="20"/>
      <c r="G589" s="20"/>
      <c r="H589" s="20"/>
      <c r="I589" s="20"/>
      <c r="J589" s="20"/>
      <c r="K589" s="20"/>
      <c r="L589" s="20"/>
      <c r="M589" s="20"/>
      <c r="N589" s="20"/>
      <c r="O589" s="20"/>
      <c r="P589" s="21"/>
      <c r="Q589" s="21" t="s">
        <v>30</v>
      </c>
      <c r="R589" s="6"/>
      <c r="S589" s="1557">
        <v>0.06</v>
      </c>
      <c r="T589" s="1557"/>
      <c r="U589" s="1557"/>
      <c r="V589" s="52"/>
      <c r="W589" s="1557">
        <v>0.66320000000000001</v>
      </c>
      <c r="X589" s="1557"/>
      <c r="Y589" s="1557"/>
      <c r="Z589" s="52"/>
      <c r="AA589" s="1557">
        <v>0.19</v>
      </c>
      <c r="AB589" s="1557"/>
      <c r="AC589" s="1557"/>
      <c r="AE589" s="1557">
        <v>0</v>
      </c>
      <c r="AF589" s="1557"/>
      <c r="AG589" s="1557"/>
      <c r="AI589" s="1557"/>
      <c r="AJ589" s="1557"/>
      <c r="AK589" s="1557"/>
      <c r="AL589" s="251"/>
      <c r="AM589" s="251"/>
      <c r="AQ589" s="31" t="s">
        <v>222</v>
      </c>
      <c r="BL589" s="28"/>
    </row>
    <row r="590" spans="3:76" hidden="1" outlineLevel="1">
      <c r="C590" s="553" t="str">
        <f>X!$C$20</f>
        <v>B: Anlage mit 3'500 Vollbetriebsstunden pro Jahr</v>
      </c>
      <c r="D590" s="20"/>
      <c r="E590" s="20"/>
      <c r="F590" s="20"/>
      <c r="G590" s="20"/>
      <c r="H590" s="20"/>
      <c r="I590" s="20"/>
      <c r="J590" s="20"/>
      <c r="K590" s="20"/>
      <c r="L590" s="20"/>
      <c r="M590" s="20"/>
      <c r="N590" s="20"/>
      <c r="O590" s="20"/>
      <c r="P590" s="21"/>
      <c r="Q590" s="21" t="s">
        <v>30</v>
      </c>
      <c r="R590" s="6"/>
      <c r="S590" s="1557">
        <v>0.28000000000000003</v>
      </c>
      <c r="T590" s="1557"/>
      <c r="U590" s="1557"/>
      <c r="V590" s="52"/>
      <c r="W590" s="1557">
        <v>0.7</v>
      </c>
      <c r="X590" s="1557"/>
      <c r="Y590" s="1557"/>
      <c r="Z590" s="52"/>
      <c r="AA590" s="1557">
        <v>0.38</v>
      </c>
      <c r="AB590" s="1557"/>
      <c r="AC590" s="1557"/>
      <c r="AE590" s="1557">
        <v>0.23799999999999999</v>
      </c>
      <c r="AF590" s="1557"/>
      <c r="AG590" s="1557"/>
      <c r="AI590" s="1557"/>
      <c r="AJ590" s="1557"/>
      <c r="AK590" s="1557"/>
      <c r="AL590" s="251"/>
      <c r="AM590" s="251"/>
      <c r="BL590" s="28"/>
    </row>
    <row r="591" spans="3:76" hidden="1" outlineLevel="1">
      <c r="C591" s="553" t="str">
        <f>X!$C$37</f>
        <v>C: Anlage mit 5'000 Vollbetriebsstunden pro Jahr</v>
      </c>
      <c r="D591" s="20"/>
      <c r="E591" s="20"/>
      <c r="F591" s="20"/>
      <c r="G591" s="20"/>
      <c r="H591" s="20"/>
      <c r="I591" s="20"/>
      <c r="J591" s="20"/>
      <c r="K591" s="20"/>
      <c r="L591" s="20"/>
      <c r="M591" s="20"/>
      <c r="N591" s="20"/>
      <c r="O591" s="20"/>
      <c r="P591" s="21"/>
      <c r="Q591" s="21" t="s">
        <v>30</v>
      </c>
      <c r="R591" s="6"/>
      <c r="S591" s="1557">
        <v>0.503</v>
      </c>
      <c r="T591" s="1557"/>
      <c r="U591" s="1557"/>
      <c r="V591" s="52"/>
      <c r="W591" s="1557">
        <v>0.74</v>
      </c>
      <c r="X591" s="1557"/>
      <c r="Y591" s="1557"/>
      <c r="Z591" s="52"/>
      <c r="AA591" s="1557">
        <v>0.56000000000000005</v>
      </c>
      <c r="AB591" s="1557"/>
      <c r="AC591" s="1557"/>
      <c r="AE591" s="1557">
        <v>0.48</v>
      </c>
      <c r="AF591" s="1557"/>
      <c r="AG591" s="1557"/>
      <c r="AI591" s="1557"/>
      <c r="AJ591" s="1557"/>
      <c r="AK591" s="1557"/>
      <c r="AL591" s="251"/>
      <c r="AM591" s="251"/>
      <c r="BL591" s="28"/>
    </row>
    <row r="592" spans="3:76" hidden="1" outlineLevel="1">
      <c r="C592" s="553" t="str">
        <f>X!$C$64</f>
        <v>D: Anlage mit 7'500 Vollbetriebsstunden pro Jahr</v>
      </c>
      <c r="D592" s="20"/>
      <c r="E592" s="20"/>
      <c r="F592" s="20"/>
      <c r="G592" s="20"/>
      <c r="H592" s="20"/>
      <c r="I592" s="20"/>
      <c r="J592" s="20"/>
      <c r="K592" s="20"/>
      <c r="L592" s="20"/>
      <c r="M592" s="20"/>
      <c r="N592" s="20"/>
      <c r="O592" s="20"/>
      <c r="P592" s="21"/>
      <c r="Q592" s="21" t="s">
        <v>30</v>
      </c>
      <c r="R592" s="6"/>
      <c r="S592" s="1557">
        <v>0.83895188476861782</v>
      </c>
      <c r="T592" s="1557"/>
      <c r="U592" s="1557"/>
      <c r="V592" s="52"/>
      <c r="W592" s="1557">
        <v>0.90790683420165497</v>
      </c>
      <c r="X592" s="1557"/>
      <c r="Y592" s="1557"/>
      <c r="Z592" s="52"/>
      <c r="AA592" s="1557">
        <v>0.85044437634079073</v>
      </c>
      <c r="AB592" s="1557"/>
      <c r="AC592" s="1557"/>
      <c r="AE592" s="1557">
        <v>0.82745939319644501</v>
      </c>
      <c r="AF592" s="1557"/>
      <c r="AG592" s="1557"/>
      <c r="AI592" s="1557"/>
      <c r="AJ592" s="1557"/>
      <c r="AK592" s="1557"/>
      <c r="AL592" s="251"/>
      <c r="AM592" s="251"/>
      <c r="AQ592" s="52"/>
      <c r="BI592" s="52"/>
      <c r="BJ592" s="52"/>
      <c r="BK592" s="52"/>
      <c r="BL592" s="28"/>
      <c r="BM592" s="52"/>
      <c r="BN592" s="52"/>
    </row>
    <row r="593" spans="3:76" ht="15" hidden="1" outlineLevel="1">
      <c r="C593" s="10"/>
      <c r="D593" s="7"/>
      <c r="E593" s="7"/>
      <c r="F593" s="7"/>
      <c r="G593" s="7"/>
      <c r="H593" s="7"/>
      <c r="I593" s="7"/>
      <c r="J593" s="7"/>
      <c r="K593" s="7"/>
      <c r="L593" s="7"/>
      <c r="M593" s="7"/>
      <c r="N593" s="7"/>
      <c r="O593" s="7"/>
      <c r="P593" s="10"/>
      <c r="Q593" s="10" t="s">
        <v>30</v>
      </c>
      <c r="R593" s="6"/>
      <c r="S593" s="6"/>
      <c r="T593" s="6"/>
      <c r="U593" s="8"/>
      <c r="V593" s="8"/>
      <c r="W593" s="8"/>
      <c r="X593" s="8"/>
      <c r="Y593" s="8"/>
      <c r="Z593" s="8"/>
      <c r="AA593" s="8"/>
      <c r="AB593" s="8"/>
      <c r="AQ593" s="52"/>
      <c r="BI593" s="52"/>
      <c r="BJ593" s="52"/>
      <c r="BK593" s="52"/>
      <c r="BL593" s="28"/>
      <c r="BM593" s="52"/>
      <c r="BN593" s="52"/>
    </row>
    <row r="594" spans="3:76" ht="17.100000000000001" hidden="1" customHeight="1" outlineLevel="1">
      <c r="D594" s="82" t="s">
        <v>200</v>
      </c>
      <c r="E594" s="82"/>
      <c r="F594" s="82"/>
      <c r="G594" s="82"/>
      <c r="H594" s="82"/>
      <c r="I594" s="82"/>
      <c r="J594" s="82"/>
      <c r="K594" s="82"/>
      <c r="L594" s="82"/>
      <c r="M594" s="82"/>
      <c r="N594" s="82"/>
      <c r="O594" s="82"/>
      <c r="P594" s="82"/>
      <c r="Q594" s="254" t="s">
        <v>139</v>
      </c>
      <c r="R594" s="52"/>
      <c r="S594" s="1556">
        <v>2190</v>
      </c>
      <c r="T594" s="1556"/>
      <c r="U594" s="1556"/>
      <c r="V594" s="52"/>
      <c r="W594" s="1556">
        <v>2190</v>
      </c>
      <c r="X594" s="1556"/>
      <c r="Y594" s="1556"/>
      <c r="Z594" s="52"/>
      <c r="AA594" s="1556">
        <v>2190</v>
      </c>
      <c r="AB594" s="1556"/>
      <c r="AC594" s="1556"/>
      <c r="AE594" s="1556">
        <v>2190</v>
      </c>
      <c r="AF594" s="1556"/>
      <c r="AG594" s="1556"/>
      <c r="AI594" s="1556">
        <f>SUM(S594:AG594)</f>
        <v>8760</v>
      </c>
      <c r="AJ594" s="1556"/>
      <c r="AK594" s="1556"/>
      <c r="AL594" s="255"/>
      <c r="AM594" s="255"/>
      <c r="AQ594" s="255"/>
      <c r="AR594" s="255"/>
      <c r="AS594" s="255"/>
      <c r="AT594" s="52"/>
      <c r="AU594" s="255"/>
      <c r="AV594" s="255"/>
      <c r="AW594" s="255"/>
      <c r="AX594" s="52"/>
      <c r="AY594" s="255"/>
      <c r="AZ594" s="255"/>
      <c r="BA594" s="255"/>
      <c r="BB594" s="52"/>
      <c r="BC594" s="255"/>
      <c r="BD594" s="255"/>
      <c r="BE594" s="255"/>
      <c r="BF594" s="52"/>
      <c r="BG594" s="255"/>
      <c r="BH594" s="255"/>
      <c r="BI594" s="255"/>
      <c r="BJ594" s="52"/>
      <c r="BK594" s="52"/>
      <c r="BL594" s="28"/>
      <c r="BM594" s="52"/>
      <c r="BN594" s="52"/>
    </row>
    <row r="595" spans="3:76" ht="15" hidden="1" outlineLevel="1">
      <c r="C595" s="10"/>
      <c r="D595" s="7"/>
      <c r="E595" s="7"/>
      <c r="F595" s="7"/>
      <c r="G595" s="7"/>
      <c r="H595" s="7"/>
      <c r="I595" s="7"/>
      <c r="J595" s="7"/>
      <c r="K595" s="7"/>
      <c r="L595" s="7"/>
      <c r="M595" s="7"/>
      <c r="N595" s="7"/>
      <c r="O595" s="7"/>
      <c r="P595" s="10"/>
      <c r="Q595" s="10"/>
      <c r="R595" s="6"/>
      <c r="S595" s="6"/>
      <c r="T595" s="6"/>
      <c r="U595" s="8"/>
      <c r="V595" s="8"/>
      <c r="W595" s="8"/>
      <c r="X595" s="8"/>
      <c r="Y595" s="8"/>
      <c r="Z595" s="8"/>
      <c r="AA595" s="8"/>
      <c r="AB595" s="8"/>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28"/>
      <c r="BM595" s="52"/>
      <c r="BN595" s="52"/>
    </row>
    <row r="596" spans="3:76" hidden="1" outlineLevel="1">
      <c r="C596" s="23" t="str">
        <f>C589</f>
        <v>A: Klimakälte (2'000 h/a)</v>
      </c>
      <c r="D596" s="22"/>
      <c r="E596" s="22"/>
      <c r="F596" s="22"/>
      <c r="G596" s="22"/>
      <c r="H596" s="22"/>
      <c r="I596" s="22"/>
      <c r="J596" s="22"/>
      <c r="K596" s="22"/>
      <c r="L596" s="22"/>
      <c r="M596" s="22"/>
      <c r="N596" s="22"/>
      <c r="O596" s="22"/>
      <c r="P596" s="23"/>
      <c r="Q596" s="23" t="s">
        <v>146</v>
      </c>
      <c r="R596" s="6"/>
      <c r="S596" s="1555">
        <f>S589*S$594</f>
        <v>131.4</v>
      </c>
      <c r="T596" s="1555"/>
      <c r="U596" s="1555"/>
      <c r="V596" s="52"/>
      <c r="W596" s="1555">
        <f>W589*W$594</f>
        <v>1452.4080000000001</v>
      </c>
      <c r="X596" s="1555"/>
      <c r="Y596" s="1555"/>
      <c r="Z596" s="52"/>
      <c r="AA596" s="1555">
        <f>AA589*AA$594</f>
        <v>416.1</v>
      </c>
      <c r="AB596" s="1555"/>
      <c r="AC596" s="1555"/>
      <c r="AE596" s="1555">
        <f>AE589*AE$594</f>
        <v>0</v>
      </c>
      <c r="AF596" s="1555"/>
      <c r="AG596" s="1555"/>
      <c r="AI596" s="1556">
        <f>SUM(S596:AG596)</f>
        <v>1999.9080000000004</v>
      </c>
      <c r="AJ596" s="1556"/>
      <c r="AK596" s="1556"/>
      <c r="AL596" s="255"/>
      <c r="AM596" s="255"/>
      <c r="AQ596" s="31" t="s">
        <v>222</v>
      </c>
      <c r="BL596" s="28"/>
    </row>
    <row r="597" spans="3:76" hidden="1" outlineLevel="1">
      <c r="C597" s="23" t="str">
        <f>C590</f>
        <v>B: Anlage mit 3'500 Vollbetriebsstunden pro Jahr</v>
      </c>
      <c r="D597" s="22"/>
      <c r="E597" s="22"/>
      <c r="F597" s="22"/>
      <c r="G597" s="22"/>
      <c r="H597" s="22"/>
      <c r="I597" s="22"/>
      <c r="J597" s="22"/>
      <c r="K597" s="22"/>
      <c r="L597" s="22"/>
      <c r="M597" s="22"/>
      <c r="N597" s="22"/>
      <c r="O597" s="22"/>
      <c r="P597" s="23"/>
      <c r="Q597" s="23" t="s">
        <v>146</v>
      </c>
      <c r="R597" s="6"/>
      <c r="S597" s="1555">
        <f>S590*S$594</f>
        <v>613.20000000000005</v>
      </c>
      <c r="T597" s="1555"/>
      <c r="U597" s="1555"/>
      <c r="V597" s="52"/>
      <c r="W597" s="1555">
        <f>W590*W$594</f>
        <v>1533</v>
      </c>
      <c r="X597" s="1555"/>
      <c r="Y597" s="1555"/>
      <c r="Z597" s="52"/>
      <c r="AA597" s="1555">
        <f>AA590*AA$594</f>
        <v>832.2</v>
      </c>
      <c r="AB597" s="1555"/>
      <c r="AC597" s="1555"/>
      <c r="AE597" s="1555">
        <f>AE590*AE$594</f>
        <v>521.22</v>
      </c>
      <c r="AF597" s="1555"/>
      <c r="AG597" s="1555"/>
      <c r="AI597" s="1556">
        <f>SUM(S597:AG597)</f>
        <v>3499.62</v>
      </c>
      <c r="AJ597" s="1556"/>
      <c r="AK597" s="1556"/>
      <c r="AL597" s="255"/>
      <c r="AM597" s="255"/>
      <c r="BL597" s="28"/>
    </row>
    <row r="598" spans="3:76" hidden="1" outlineLevel="1">
      <c r="C598" s="23" t="str">
        <f>C591</f>
        <v>C: Anlage mit 5'000 Vollbetriebsstunden pro Jahr</v>
      </c>
      <c r="D598" s="22"/>
      <c r="E598" s="22"/>
      <c r="F598" s="22"/>
      <c r="G598" s="22"/>
      <c r="H598" s="22"/>
      <c r="I598" s="22"/>
      <c r="J598" s="22"/>
      <c r="K598" s="22"/>
      <c r="L598" s="22"/>
      <c r="M598" s="22"/>
      <c r="N598" s="22"/>
      <c r="O598" s="22"/>
      <c r="P598" s="23"/>
      <c r="Q598" s="23" t="s">
        <v>146</v>
      </c>
      <c r="R598" s="6"/>
      <c r="S598" s="1555">
        <f>S591*S$594</f>
        <v>1101.57</v>
      </c>
      <c r="T598" s="1555"/>
      <c r="U598" s="1555"/>
      <c r="V598" s="52"/>
      <c r="W598" s="1555">
        <f>W591*W$594</f>
        <v>1620.6</v>
      </c>
      <c r="X598" s="1555"/>
      <c r="Y598" s="1555"/>
      <c r="Z598" s="52"/>
      <c r="AA598" s="1555">
        <f>AA591*AA$594</f>
        <v>1226.4000000000001</v>
      </c>
      <c r="AB598" s="1555"/>
      <c r="AC598" s="1555"/>
      <c r="AE598" s="1555">
        <f>AE591*AE$594</f>
        <v>1051.2</v>
      </c>
      <c r="AF598" s="1555"/>
      <c r="AG598" s="1555"/>
      <c r="AI598" s="1556">
        <f>SUM(S598:AG598)</f>
        <v>4999.7700000000004</v>
      </c>
      <c r="AJ598" s="1556"/>
      <c r="AK598" s="1556"/>
      <c r="AL598" s="255"/>
      <c r="AM598" s="255"/>
      <c r="BL598" s="28"/>
    </row>
    <row r="599" spans="3:76" hidden="1" outlineLevel="1">
      <c r="C599" s="23" t="str">
        <f>C592</f>
        <v>D: Anlage mit 7'500 Vollbetriebsstunden pro Jahr</v>
      </c>
      <c r="D599" s="22"/>
      <c r="E599" s="22"/>
      <c r="F599" s="22"/>
      <c r="G599" s="22"/>
      <c r="H599" s="22"/>
      <c r="I599" s="22"/>
      <c r="J599" s="22"/>
      <c r="K599" s="22"/>
      <c r="L599" s="22"/>
      <c r="M599" s="22"/>
      <c r="N599" s="22"/>
      <c r="O599" s="22"/>
      <c r="P599" s="23"/>
      <c r="Q599" s="23" t="s">
        <v>146</v>
      </c>
      <c r="R599" s="6"/>
      <c r="S599" s="1555">
        <f>S592*S$594</f>
        <v>1837.3046276432731</v>
      </c>
      <c r="T599" s="1555"/>
      <c r="U599" s="1555"/>
      <c r="V599" s="52"/>
      <c r="W599" s="1555">
        <f>W592*W$594</f>
        <v>1988.3159669016243</v>
      </c>
      <c r="X599" s="1555"/>
      <c r="Y599" s="1555"/>
      <c r="Z599" s="52"/>
      <c r="AA599" s="1555">
        <f>AA592*AA$594</f>
        <v>1862.4731841863318</v>
      </c>
      <c r="AB599" s="1555"/>
      <c r="AC599" s="1555"/>
      <c r="AE599" s="1555">
        <f>AE592*AE$594</f>
        <v>1812.1360711002146</v>
      </c>
      <c r="AF599" s="1555"/>
      <c r="AG599" s="1555"/>
      <c r="AI599" s="1556">
        <f>SUM(S599:AG599)</f>
        <v>7500.2298498314431</v>
      </c>
      <c r="AJ599" s="1556"/>
      <c r="AK599" s="1556"/>
      <c r="AL599" s="255"/>
      <c r="AM599" s="255"/>
      <c r="BL599" s="28"/>
    </row>
    <row r="600" spans="3:76" ht="15" hidden="1" outlineLevel="1">
      <c r="C600" s="10"/>
      <c r="D600" s="7"/>
      <c r="E600" s="7"/>
      <c r="F600" s="7"/>
      <c r="G600" s="7"/>
      <c r="H600" s="7"/>
      <c r="I600" s="7"/>
      <c r="J600" s="7"/>
      <c r="K600" s="7"/>
      <c r="L600" s="7"/>
      <c r="M600" s="7"/>
      <c r="N600" s="7"/>
      <c r="O600" s="7"/>
      <c r="P600" s="10"/>
      <c r="Q600" s="12"/>
      <c r="R600" s="6"/>
      <c r="S600" s="6"/>
      <c r="T600" s="6"/>
      <c r="U600" s="8"/>
      <c r="V600" s="8"/>
      <c r="W600" s="8"/>
      <c r="X600" s="8"/>
      <c r="Y600" s="8"/>
      <c r="Z600" s="8"/>
      <c r="AA600" s="8"/>
      <c r="AB600" s="8"/>
      <c r="BL600" s="28"/>
    </row>
    <row r="601" spans="3:76" ht="15" hidden="1" outlineLevel="1">
      <c r="C601" s="10"/>
      <c r="D601" s="7"/>
      <c r="E601" s="7"/>
      <c r="F601" s="7"/>
      <c r="G601" s="7"/>
      <c r="H601" s="7"/>
      <c r="I601" s="7"/>
      <c r="J601" s="7"/>
      <c r="K601" s="7"/>
      <c r="L601" s="7"/>
      <c r="M601" s="7"/>
      <c r="N601" s="7"/>
      <c r="O601" s="7"/>
      <c r="P601" s="10"/>
      <c r="Q601" s="12"/>
      <c r="R601" s="6"/>
      <c r="S601" s="6"/>
      <c r="T601" s="6"/>
      <c r="U601" s="8"/>
      <c r="V601" s="8"/>
      <c r="W601" s="8"/>
      <c r="X601" s="8"/>
      <c r="Y601" s="8"/>
      <c r="Z601" s="8"/>
      <c r="AA601" s="8"/>
      <c r="AB601" s="8"/>
      <c r="BL601" s="28"/>
      <c r="BM601" s="52"/>
      <c r="BN601" s="52"/>
    </row>
    <row r="602" spans="3:76" s="28" customFormat="1" ht="17.100000000000001" hidden="1" customHeight="1" outlineLevel="1">
      <c r="C602" s="1635">
        <f>S31</f>
        <v>0</v>
      </c>
      <c r="D602" s="1635"/>
      <c r="E602" s="1635"/>
      <c r="F602" s="1635"/>
      <c r="G602" s="1635"/>
      <c r="H602" s="1635"/>
      <c r="I602" s="1635"/>
      <c r="J602" s="1635"/>
      <c r="K602" s="1635"/>
      <c r="L602" s="1635"/>
      <c r="M602" s="1635"/>
      <c r="N602" s="1635"/>
      <c r="O602" s="1635"/>
      <c r="P602" s="1635"/>
      <c r="Q602" s="1635"/>
      <c r="R602" s="25"/>
      <c r="S602" s="1446" t="s">
        <v>117</v>
      </c>
      <c r="T602" s="1446"/>
      <c r="U602" s="1446"/>
      <c r="V602" s="55"/>
      <c r="W602" s="1446" t="s">
        <v>120</v>
      </c>
      <c r="X602" s="1446"/>
      <c r="Y602" s="1446"/>
      <c r="Z602" s="55"/>
      <c r="AA602" s="1446" t="s">
        <v>121</v>
      </c>
      <c r="AB602" s="1446"/>
      <c r="AC602" s="1446"/>
      <c r="AE602" s="1446" t="s">
        <v>122</v>
      </c>
      <c r="AF602" s="1446"/>
      <c r="AG602" s="1446"/>
      <c r="AI602" s="1446" t="s">
        <v>124</v>
      </c>
      <c r="AJ602" s="1446"/>
      <c r="AK602" s="1446"/>
      <c r="AL602" s="242"/>
      <c r="AM602" s="242"/>
      <c r="BP602" s="31"/>
      <c r="BQ602" s="31"/>
      <c r="BR602" s="31"/>
      <c r="BS602" s="31"/>
      <c r="BT602" s="31"/>
      <c r="BU602" s="31"/>
      <c r="BV602" s="31"/>
      <c r="BW602" s="31"/>
      <c r="BX602" s="31"/>
    </row>
    <row r="603" spans="3:76" hidden="1" outlineLevel="1">
      <c r="C603" s="23" t="str">
        <f>C589</f>
        <v>A: Klimakälte (2'000 h/a)</v>
      </c>
      <c r="D603" s="22"/>
      <c r="E603" s="22"/>
      <c r="F603" s="22"/>
      <c r="G603" s="22"/>
      <c r="H603" s="22"/>
      <c r="I603" s="22"/>
      <c r="J603" s="22"/>
      <c r="K603" s="22"/>
      <c r="L603" s="22"/>
      <c r="M603" s="22"/>
      <c r="N603" s="22"/>
      <c r="O603" s="22"/>
      <c r="P603" s="23"/>
      <c r="Q603" s="24" t="s">
        <v>139</v>
      </c>
      <c r="R603" s="6"/>
      <c r="S603" s="1555">
        <f>IF($C$602=$C603,S596,0)</f>
        <v>0</v>
      </c>
      <c r="T603" s="1555"/>
      <c r="U603" s="1555"/>
      <c r="V603" s="52"/>
      <c r="W603" s="1555">
        <f>IF($C$602=$C603,W596,0)</f>
        <v>0</v>
      </c>
      <c r="X603" s="1555"/>
      <c r="Y603" s="1555"/>
      <c r="Z603" s="52"/>
      <c r="AA603" s="1555">
        <f>IF($C$602=$C603,AA596,0)</f>
        <v>0</v>
      </c>
      <c r="AB603" s="1555"/>
      <c r="AC603" s="1555"/>
      <c r="AE603" s="1555">
        <f>IF($C$602=$C603,AE596,0)</f>
        <v>0</v>
      </c>
      <c r="AF603" s="1555"/>
      <c r="AG603" s="1555"/>
      <c r="AI603" s="1555">
        <f>SUM(S603:AG603)</f>
        <v>0</v>
      </c>
      <c r="AJ603" s="1555"/>
      <c r="AK603" s="1555"/>
      <c r="AL603" s="432"/>
      <c r="AM603" s="432"/>
      <c r="AQ603" s="31" t="s">
        <v>222</v>
      </c>
      <c r="BL603" s="28"/>
    </row>
    <row r="604" spans="3:76" hidden="1" outlineLevel="1">
      <c r="C604" s="23" t="str">
        <f>C590</f>
        <v>B: Anlage mit 3'500 Vollbetriebsstunden pro Jahr</v>
      </c>
      <c r="D604" s="22"/>
      <c r="E604" s="22"/>
      <c r="F604" s="22"/>
      <c r="G604" s="22"/>
      <c r="H604" s="22"/>
      <c r="I604" s="22"/>
      <c r="J604" s="22"/>
      <c r="K604" s="22"/>
      <c r="L604" s="22"/>
      <c r="M604" s="22"/>
      <c r="N604" s="22"/>
      <c r="O604" s="22"/>
      <c r="P604" s="23"/>
      <c r="Q604" s="24" t="s">
        <v>139</v>
      </c>
      <c r="R604" s="6"/>
      <c r="S604" s="1555">
        <f>IF($C$602=$C604,S597,0)</f>
        <v>0</v>
      </c>
      <c r="T604" s="1555"/>
      <c r="U604" s="1555"/>
      <c r="V604" s="52"/>
      <c r="W604" s="1555">
        <f>IF($C$602=$C604,W597,0)</f>
        <v>0</v>
      </c>
      <c r="X604" s="1555"/>
      <c r="Y604" s="1555"/>
      <c r="Z604" s="52"/>
      <c r="AA604" s="1555">
        <f>IF($C$602=$C604,AA597,0)</f>
        <v>0</v>
      </c>
      <c r="AB604" s="1555"/>
      <c r="AC604" s="1555"/>
      <c r="AE604" s="1555">
        <f>IF($C$602=$C604,AE597,0)</f>
        <v>0</v>
      </c>
      <c r="AF604" s="1555"/>
      <c r="AG604" s="1555"/>
      <c r="AI604" s="1555">
        <f>SUM(S604:AG604)</f>
        <v>0</v>
      </c>
      <c r="AJ604" s="1555"/>
      <c r="AK604" s="1555"/>
      <c r="AL604" s="432"/>
      <c r="AM604" s="432"/>
      <c r="BL604" s="28"/>
    </row>
    <row r="605" spans="3:76" hidden="1" outlineLevel="1">
      <c r="C605" s="23" t="str">
        <f>C591</f>
        <v>C: Anlage mit 5'000 Vollbetriebsstunden pro Jahr</v>
      </c>
      <c r="D605" s="22"/>
      <c r="E605" s="22"/>
      <c r="F605" s="22"/>
      <c r="G605" s="22"/>
      <c r="H605" s="22"/>
      <c r="I605" s="22"/>
      <c r="J605" s="22"/>
      <c r="K605" s="22"/>
      <c r="L605" s="22"/>
      <c r="M605" s="22"/>
      <c r="N605" s="22"/>
      <c r="O605" s="22"/>
      <c r="P605" s="23"/>
      <c r="Q605" s="24" t="s">
        <v>139</v>
      </c>
      <c r="R605" s="6"/>
      <c r="S605" s="1555">
        <f>IF($C$602=$C605,S598,0)</f>
        <v>0</v>
      </c>
      <c r="T605" s="1555"/>
      <c r="U605" s="1555"/>
      <c r="V605" s="52"/>
      <c r="W605" s="1555">
        <f>IF($C$602=$C605,W598,0)</f>
        <v>0</v>
      </c>
      <c r="X605" s="1555"/>
      <c r="Y605" s="1555"/>
      <c r="Z605" s="52"/>
      <c r="AA605" s="1555">
        <f>IF($C$602=$C605,AA598,0)</f>
        <v>0</v>
      </c>
      <c r="AB605" s="1555"/>
      <c r="AC605" s="1555"/>
      <c r="AE605" s="1555">
        <f>IF($C$602=$C605,AE598,0)</f>
        <v>0</v>
      </c>
      <c r="AF605" s="1555"/>
      <c r="AG605" s="1555"/>
      <c r="AI605" s="1555">
        <f>SUM(S605:AG605)</f>
        <v>0</v>
      </c>
      <c r="AJ605" s="1555"/>
      <c r="AK605" s="1555"/>
      <c r="AL605" s="432"/>
      <c r="AM605" s="432"/>
      <c r="BL605" s="28"/>
    </row>
    <row r="606" spans="3:76" hidden="1" outlineLevel="1">
      <c r="C606" s="23" t="str">
        <f>C592</f>
        <v>D: Anlage mit 7'500 Vollbetriebsstunden pro Jahr</v>
      </c>
      <c r="D606" s="22"/>
      <c r="E606" s="22"/>
      <c r="F606" s="22"/>
      <c r="G606" s="22"/>
      <c r="H606" s="22"/>
      <c r="I606" s="22"/>
      <c r="J606" s="22"/>
      <c r="K606" s="22"/>
      <c r="L606" s="22"/>
      <c r="M606" s="22"/>
      <c r="N606" s="22"/>
      <c r="O606" s="22"/>
      <c r="P606" s="23"/>
      <c r="Q606" s="24" t="s">
        <v>139</v>
      </c>
      <c r="R606" s="6"/>
      <c r="S606" s="1555">
        <f>IF($C$602=$C606,S599,0)</f>
        <v>0</v>
      </c>
      <c r="T606" s="1555"/>
      <c r="U606" s="1555"/>
      <c r="V606" s="52"/>
      <c r="W606" s="1555">
        <f>IF($C$602=$C606,W599,0)</f>
        <v>0</v>
      </c>
      <c r="X606" s="1555"/>
      <c r="Y606" s="1555"/>
      <c r="Z606" s="52"/>
      <c r="AA606" s="1555">
        <f>IF($C$602=$C606,AA599,0)</f>
        <v>0</v>
      </c>
      <c r="AB606" s="1555"/>
      <c r="AC606" s="1555"/>
      <c r="AE606" s="1555">
        <f>IF($C$602=$C606,AE599,0)</f>
        <v>0</v>
      </c>
      <c r="AF606" s="1555"/>
      <c r="AG606" s="1555"/>
      <c r="AI606" s="1555">
        <f>SUM(S606:AG606)</f>
        <v>0</v>
      </c>
      <c r="AJ606" s="1555"/>
      <c r="AK606" s="1555"/>
      <c r="AL606" s="432"/>
      <c r="AM606" s="432"/>
      <c r="BL606" s="28"/>
    </row>
    <row r="607" spans="3:76" hidden="1" outlineLevel="1">
      <c r="C607" s="23" t="s">
        <v>201</v>
      </c>
      <c r="D607" s="22"/>
      <c r="E607" s="22"/>
      <c r="F607" s="22"/>
      <c r="G607" s="22"/>
      <c r="H607" s="22"/>
      <c r="I607" s="22"/>
      <c r="J607" s="22"/>
      <c r="K607" s="22"/>
      <c r="L607" s="22"/>
      <c r="M607" s="22"/>
      <c r="N607" s="22"/>
      <c r="O607" s="22"/>
      <c r="P607" s="23"/>
      <c r="Q607" s="24" t="s">
        <v>139</v>
      </c>
      <c r="R607" s="6"/>
      <c r="S607" s="1555">
        <f>SUM(S603:U606)</f>
        <v>0</v>
      </c>
      <c r="T607" s="1555"/>
      <c r="U607" s="1555"/>
      <c r="V607" s="52"/>
      <c r="W607" s="1555">
        <f>SUM(W603:Y606)</f>
        <v>0</v>
      </c>
      <c r="X607" s="1555"/>
      <c r="Y607" s="1555"/>
      <c r="Z607" s="52"/>
      <c r="AA607" s="1555">
        <f>SUM(AA603:AC606)</f>
        <v>0</v>
      </c>
      <c r="AB607" s="1555"/>
      <c r="AC607" s="1555"/>
      <c r="AE607" s="1555">
        <f>SUM(AE603:AG606)</f>
        <v>0</v>
      </c>
      <c r="AF607" s="1555"/>
      <c r="AG607" s="1555"/>
      <c r="AI607" s="1555">
        <f>SUM(AI603:AK606)</f>
        <v>0</v>
      </c>
      <c r="AJ607" s="1555"/>
      <c r="AK607" s="1555"/>
      <c r="AL607" s="432"/>
      <c r="AM607" s="432"/>
      <c r="BL607" s="28"/>
    </row>
    <row r="608" spans="3:76" hidden="1" outlineLevel="1">
      <c r="BL608" s="28"/>
    </row>
    <row r="609" spans="3:76" ht="17.100000000000001" hidden="1" customHeight="1" outlineLevel="1">
      <c r="C609" s="500" t="s">
        <v>136</v>
      </c>
      <c r="D609" s="82"/>
      <c r="E609" s="82"/>
      <c r="F609" s="82"/>
      <c r="G609" s="257">
        <f>C602</f>
        <v>0</v>
      </c>
      <c r="H609" s="82"/>
      <c r="I609" s="82"/>
      <c r="J609" s="82"/>
      <c r="K609" s="82"/>
      <c r="L609" s="82"/>
      <c r="M609" s="82"/>
      <c r="N609" s="82"/>
      <c r="O609" s="82"/>
      <c r="P609" s="82"/>
      <c r="Q609" s="82"/>
      <c r="R609" s="52"/>
      <c r="S609" s="1557" t="s">
        <v>117</v>
      </c>
      <c r="T609" s="1557"/>
      <c r="U609" s="1557"/>
      <c r="V609" s="52"/>
      <c r="W609" s="1557" t="s">
        <v>120</v>
      </c>
      <c r="X609" s="1557"/>
      <c r="Y609" s="1557"/>
      <c r="Z609" s="52"/>
      <c r="AA609" s="1557" t="s">
        <v>121</v>
      </c>
      <c r="AB609" s="1557"/>
      <c r="AC609" s="1557"/>
      <c r="AE609" s="1557" t="s">
        <v>122</v>
      </c>
      <c r="AF609" s="1557"/>
      <c r="AG609" s="1557"/>
      <c r="AI609" s="1557" t="s">
        <v>124</v>
      </c>
      <c r="AJ609" s="1557"/>
      <c r="AK609" s="1557"/>
      <c r="AL609" s="251"/>
      <c r="AM609" s="251"/>
      <c r="AQ609" s="1557" t="s">
        <v>117</v>
      </c>
      <c r="AR609" s="1557"/>
      <c r="AS609" s="1557"/>
      <c r="AU609" s="1557" t="s">
        <v>120</v>
      </c>
      <c r="AV609" s="1557"/>
      <c r="AW609" s="1557"/>
      <c r="AY609" s="1557" t="s">
        <v>121</v>
      </c>
      <c r="AZ609" s="1557"/>
      <c r="BA609" s="1557"/>
      <c r="BC609" s="1557" t="s">
        <v>122</v>
      </c>
      <c r="BD609" s="1557"/>
      <c r="BE609" s="1557"/>
      <c r="BG609" s="1557" t="s">
        <v>124</v>
      </c>
      <c r="BH609" s="1557"/>
      <c r="BI609" s="1557"/>
      <c r="BL609" s="28"/>
    </row>
    <row r="610" spans="3:76" ht="17.100000000000001" hidden="1" customHeight="1" outlineLevel="1">
      <c r="D610" s="82" t="s">
        <v>201</v>
      </c>
      <c r="E610" s="82"/>
      <c r="F610" s="82"/>
      <c r="G610" s="82"/>
      <c r="H610" s="82"/>
      <c r="I610" s="82"/>
      <c r="J610" s="82"/>
      <c r="K610" s="82"/>
      <c r="L610" s="82"/>
      <c r="M610" s="82"/>
      <c r="N610" s="82"/>
      <c r="O610" s="82"/>
      <c r="P610" s="82"/>
      <c r="Q610" s="82" t="s">
        <v>139</v>
      </c>
      <c r="R610" s="52"/>
      <c r="S610" s="1556">
        <f>S607</f>
        <v>0</v>
      </c>
      <c r="T610" s="1556"/>
      <c r="U610" s="1556"/>
      <c r="V610" s="52"/>
      <c r="W610" s="1556">
        <f>W607</f>
        <v>0</v>
      </c>
      <c r="X610" s="1556"/>
      <c r="Y610" s="1556"/>
      <c r="Z610" s="52"/>
      <c r="AA610" s="1556">
        <f>AA607</f>
        <v>0</v>
      </c>
      <c r="AB610" s="1556"/>
      <c r="AC610" s="1556"/>
      <c r="AE610" s="1556">
        <f>AE607</f>
        <v>0</v>
      </c>
      <c r="AF610" s="1556"/>
      <c r="AG610" s="1556"/>
      <c r="AI610" s="1556">
        <f>SUM(S610:AG610)</f>
        <v>0</v>
      </c>
      <c r="AJ610" s="1556"/>
      <c r="AK610" s="1556"/>
      <c r="AL610" s="255"/>
      <c r="AM610" s="255"/>
      <c r="AQ610" s="1556">
        <f>S610</f>
        <v>0</v>
      </c>
      <c r="AR610" s="1556"/>
      <c r="AS610" s="1556"/>
      <c r="AU610" s="1556">
        <f>W610</f>
        <v>0</v>
      </c>
      <c r="AV610" s="1556"/>
      <c r="AW610" s="1556"/>
      <c r="AY610" s="1556">
        <f>AA610</f>
        <v>0</v>
      </c>
      <c r="AZ610" s="1556"/>
      <c r="BA610" s="1556"/>
      <c r="BC610" s="1556">
        <f>AE610</f>
        <v>0</v>
      </c>
      <c r="BD610" s="1556"/>
      <c r="BE610" s="1556"/>
      <c r="BG610" s="1556">
        <f>AI610</f>
        <v>0</v>
      </c>
      <c r="BH610" s="1556"/>
      <c r="BI610" s="1556"/>
      <c r="BL610" s="28"/>
    </row>
    <row r="611" spans="3:76" ht="17.100000000000001" hidden="1" customHeight="1" outlineLevel="1">
      <c r="D611" s="82" t="s">
        <v>147</v>
      </c>
      <c r="E611" s="82"/>
      <c r="F611" s="82"/>
      <c r="G611" s="82"/>
      <c r="H611" s="82"/>
      <c r="I611" s="82"/>
      <c r="J611" s="82"/>
      <c r="K611" s="82"/>
      <c r="L611" s="82"/>
      <c r="M611" s="82"/>
      <c r="N611" s="82"/>
      <c r="O611" s="82"/>
      <c r="P611" s="82"/>
      <c r="Q611" s="82" t="s">
        <v>202</v>
      </c>
      <c r="R611" s="52"/>
      <c r="S611" s="1616">
        <f>365/4</f>
        <v>91.25</v>
      </c>
      <c r="T611" s="1616"/>
      <c r="U611" s="1616"/>
      <c r="V611" s="52"/>
      <c r="W611" s="1616">
        <f>365/4</f>
        <v>91.25</v>
      </c>
      <c r="X611" s="1616"/>
      <c r="Y611" s="1616"/>
      <c r="Z611" s="52"/>
      <c r="AA611" s="1616">
        <f>365/4</f>
        <v>91.25</v>
      </c>
      <c r="AB611" s="1616"/>
      <c r="AC611" s="1616"/>
      <c r="AE611" s="1616">
        <f>365/4</f>
        <v>91.25</v>
      </c>
      <c r="AF611" s="1616"/>
      <c r="AG611" s="1616"/>
      <c r="AI611" s="1636">
        <f>SUM(S611:AG611)</f>
        <v>365</v>
      </c>
      <c r="AJ611" s="1636"/>
      <c r="AK611" s="1636"/>
      <c r="AL611" s="433"/>
      <c r="AM611" s="433"/>
      <c r="AQ611" s="1616">
        <f>365/4</f>
        <v>91.25</v>
      </c>
      <c r="AR611" s="1616"/>
      <c r="AS611" s="1616"/>
      <c r="AT611" s="52"/>
      <c r="AU611" s="1616">
        <f>365/4</f>
        <v>91.25</v>
      </c>
      <c r="AV611" s="1616"/>
      <c r="AW611" s="1616"/>
      <c r="AX611" s="52"/>
      <c r="AY611" s="1616">
        <f>365/4</f>
        <v>91.25</v>
      </c>
      <c r="AZ611" s="1616"/>
      <c r="BA611" s="1616"/>
      <c r="BC611" s="1616">
        <f>365/4</f>
        <v>91.25</v>
      </c>
      <c r="BD611" s="1616"/>
      <c r="BE611" s="1616"/>
      <c r="BG611" s="1556">
        <f>SUM(AQ611:BE611)</f>
        <v>365</v>
      </c>
      <c r="BH611" s="1556"/>
      <c r="BI611" s="1556"/>
      <c r="BL611" s="28"/>
    </row>
    <row r="612" spans="3:76" ht="17.100000000000001" hidden="1" customHeight="1" outlineLevel="1">
      <c r="D612" s="82" t="s">
        <v>203</v>
      </c>
      <c r="E612" s="82"/>
      <c r="F612" s="82"/>
      <c r="G612" s="82"/>
      <c r="H612" s="82"/>
      <c r="I612" s="82"/>
      <c r="J612" s="82"/>
      <c r="K612" s="82"/>
      <c r="L612" s="82"/>
      <c r="M612" s="82"/>
      <c r="N612" s="82"/>
      <c r="O612" s="82"/>
      <c r="P612" s="82"/>
      <c r="Q612" s="82" t="s">
        <v>118</v>
      </c>
      <c r="R612" s="52"/>
      <c r="S612" s="1564">
        <f>S610/S611</f>
        <v>0</v>
      </c>
      <c r="T612" s="1564"/>
      <c r="U612" s="1564"/>
      <c r="V612" s="52"/>
      <c r="W612" s="1564">
        <f>W610/W611</f>
        <v>0</v>
      </c>
      <c r="X612" s="1564"/>
      <c r="Y612" s="1564"/>
      <c r="Z612" s="52"/>
      <c r="AA612" s="1564">
        <f>AA610/AA611</f>
        <v>0</v>
      </c>
      <c r="AB612" s="1564"/>
      <c r="AC612" s="1564"/>
      <c r="AE612" s="1564">
        <f>AE610/AE611</f>
        <v>0</v>
      </c>
      <c r="AF612" s="1564"/>
      <c r="AG612" s="1564"/>
      <c r="AI612" s="1564">
        <f>AI610/AI611</f>
        <v>0</v>
      </c>
      <c r="AJ612" s="1564"/>
      <c r="AK612" s="1564"/>
      <c r="AL612" s="434"/>
      <c r="AM612" s="434"/>
      <c r="AQ612" s="1564">
        <f>AQ610/AQ611</f>
        <v>0</v>
      </c>
      <c r="AR612" s="1564"/>
      <c r="AS612" s="1564"/>
      <c r="AT612" s="52"/>
      <c r="AU612" s="1564">
        <f>AU610/AU611</f>
        <v>0</v>
      </c>
      <c r="AV612" s="1564"/>
      <c r="AW612" s="1564"/>
      <c r="AX612" s="52"/>
      <c r="AY612" s="1564">
        <f>AY610/AY611</f>
        <v>0</v>
      </c>
      <c r="AZ612" s="1564"/>
      <c r="BA612" s="1564"/>
      <c r="BC612" s="1564">
        <f>BC610/BC611</f>
        <v>0</v>
      </c>
      <c r="BD612" s="1564"/>
      <c r="BE612" s="1564"/>
      <c r="BG612" s="1564">
        <f>BG610/BG611</f>
        <v>0</v>
      </c>
      <c r="BH612" s="1564"/>
      <c r="BI612" s="1564"/>
      <c r="BL612" s="28"/>
    </row>
    <row r="613" spans="3:76" ht="17.100000000000001" hidden="1" customHeight="1" outlineLevel="1">
      <c r="D613" s="258"/>
      <c r="E613" s="258"/>
      <c r="F613" s="258"/>
      <c r="G613" s="258"/>
      <c r="H613" s="258"/>
      <c r="I613" s="258"/>
      <c r="J613" s="258"/>
      <c r="K613" s="258"/>
      <c r="L613" s="258"/>
      <c r="M613" s="258"/>
      <c r="N613" s="258"/>
      <c r="O613" s="258"/>
      <c r="P613" s="258"/>
      <c r="Q613" s="258"/>
      <c r="R613" s="52"/>
      <c r="S613" s="259"/>
      <c r="T613" s="259"/>
      <c r="U613" s="259"/>
      <c r="V613" s="52"/>
      <c r="W613" s="259"/>
      <c r="X613" s="259"/>
      <c r="Y613" s="259"/>
      <c r="Z613" s="52"/>
      <c r="AA613" s="260"/>
      <c r="AB613" s="260"/>
      <c r="AC613" s="260"/>
      <c r="AE613" s="260"/>
      <c r="AF613" s="260"/>
      <c r="AG613" s="260"/>
      <c r="AI613" s="260"/>
      <c r="AJ613" s="260"/>
      <c r="AK613" s="260"/>
      <c r="AL613" s="255"/>
      <c r="AM613" s="255"/>
      <c r="AQ613" s="259"/>
      <c r="AR613" s="259"/>
      <c r="AS613" s="259"/>
      <c r="AU613" s="259"/>
      <c r="AV613" s="259"/>
      <c r="AW613" s="259"/>
      <c r="AY613" s="260"/>
      <c r="AZ613" s="260"/>
      <c r="BA613" s="260"/>
      <c r="BC613" s="260"/>
      <c r="BD613" s="260"/>
      <c r="BE613" s="260"/>
      <c r="BG613" s="260"/>
      <c r="BH613" s="260"/>
      <c r="BI613" s="260"/>
      <c r="BL613" s="28"/>
    </row>
    <row r="614" spans="3:76" ht="17.100000000000001" hidden="1" customHeight="1" outlineLevel="1">
      <c r="C614" s="10"/>
      <c r="D614" s="7"/>
      <c r="E614" s="7"/>
      <c r="F614" s="7"/>
      <c r="G614" s="7"/>
      <c r="H614" s="7"/>
      <c r="I614" s="7"/>
      <c r="J614" s="7"/>
      <c r="K614" s="7"/>
      <c r="L614" s="7"/>
      <c r="M614" s="7"/>
      <c r="N614" s="7"/>
      <c r="O614" s="7"/>
      <c r="P614" s="7"/>
      <c r="Q614" s="7"/>
      <c r="R614" s="7"/>
      <c r="S614" s="7"/>
      <c r="T614" s="7"/>
      <c r="U614" s="7"/>
      <c r="V614" s="7"/>
      <c r="W614" s="7"/>
      <c r="X614" s="7"/>
      <c r="Y614" s="7"/>
      <c r="Z614" s="7"/>
      <c r="AB614" s="28"/>
      <c r="BL614" s="28"/>
    </row>
    <row r="615" spans="3:76" hidden="1" outlineLevel="1">
      <c r="C615" s="10"/>
      <c r="D615" s="7"/>
      <c r="E615" s="7"/>
      <c r="F615" s="7"/>
      <c r="G615" s="7"/>
      <c r="H615" s="7"/>
      <c r="I615" s="7"/>
      <c r="J615" s="7"/>
      <c r="K615" s="7"/>
      <c r="L615" s="7"/>
      <c r="M615" s="7"/>
      <c r="N615" s="7"/>
      <c r="O615" s="7"/>
      <c r="P615" s="7"/>
      <c r="Q615" s="7"/>
      <c r="R615" s="7"/>
      <c r="S615" s="7"/>
      <c r="T615" s="7"/>
      <c r="U615" s="7"/>
      <c r="V615" s="7"/>
      <c r="W615" s="7"/>
      <c r="X615" s="7"/>
      <c r="Y615" s="7"/>
      <c r="Z615" s="7"/>
      <c r="AB615" s="28"/>
      <c r="BL615" s="28"/>
    </row>
    <row r="616" spans="3:76" ht="15" hidden="1" outlineLevel="1">
      <c r="C616" s="10"/>
      <c r="D616" s="7"/>
      <c r="E616" s="7"/>
      <c r="F616" s="7"/>
      <c r="G616" s="7"/>
      <c r="H616" s="7"/>
      <c r="I616" s="7"/>
      <c r="J616" s="7"/>
      <c r="K616" s="7"/>
      <c r="L616" s="7"/>
      <c r="M616" s="7"/>
      <c r="N616" s="7"/>
      <c r="O616" s="7"/>
      <c r="P616" s="10"/>
      <c r="Q616" s="12"/>
      <c r="R616" s="6"/>
      <c r="S616" s="6"/>
      <c r="T616" s="6"/>
      <c r="U616" s="8"/>
      <c r="V616" s="8"/>
      <c r="W616" s="8"/>
      <c r="X616" s="8"/>
      <c r="Y616" s="8"/>
      <c r="Z616" s="9"/>
      <c r="AB616" s="28"/>
      <c r="BL616" s="28"/>
    </row>
    <row r="617" spans="3:76" hidden="1" outlineLevel="1">
      <c r="BL617" s="28"/>
    </row>
    <row r="618" spans="3:76" ht="18" hidden="1" outlineLevel="1">
      <c r="C618" s="19" t="s">
        <v>207</v>
      </c>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L618" s="28"/>
    </row>
    <row r="619" spans="3:76" ht="16.5" hidden="1" outlineLevel="1">
      <c r="C619" s="5"/>
      <c r="D619" s="1"/>
      <c r="E619" s="2"/>
      <c r="BL619" s="28"/>
    </row>
    <row r="620" spans="3:76" hidden="1" outlineLevel="1">
      <c r="BL620" s="28"/>
    </row>
    <row r="621" spans="3:76" s="28" customFormat="1" ht="17.100000000000001" hidden="1" customHeight="1" outlineLevel="1">
      <c r="C621" s="302"/>
      <c r="D621" s="31"/>
      <c r="F621" s="31"/>
      <c r="G621" s="31"/>
      <c r="H621" s="31"/>
      <c r="I621" s="31"/>
      <c r="J621" s="31"/>
      <c r="K621" s="31"/>
      <c r="L621" s="31"/>
      <c r="M621" s="31"/>
      <c r="N621" s="31"/>
      <c r="O621" s="31"/>
      <c r="Q621" s="261" t="s">
        <v>214</v>
      </c>
      <c r="R621" s="31"/>
      <c r="S621" s="1617" t="str">
        <f>$D56</f>
        <v>Verdichter 1</v>
      </c>
      <c r="T621" s="1617"/>
      <c r="U621" s="1617"/>
      <c r="V621" s="262"/>
      <c r="W621" s="1617" t="str">
        <f>$D58</f>
        <v>Verdichter 2</v>
      </c>
      <c r="X621" s="1617"/>
      <c r="Y621" s="1617"/>
      <c r="Z621" s="262"/>
      <c r="AA621" s="1617" t="str">
        <f>$D60</f>
        <v>Verdichter 3</v>
      </c>
      <c r="AB621" s="1617"/>
      <c r="AC621" s="1617"/>
      <c r="AD621" s="263"/>
      <c r="AE621" s="1617" t="str">
        <f>$D62</f>
        <v>Verdichter 4</v>
      </c>
      <c r="AF621" s="1617"/>
      <c r="AG621" s="1617"/>
      <c r="AH621" s="264"/>
      <c r="AI621" s="1619" t="s">
        <v>213</v>
      </c>
      <c r="AJ621" s="1619"/>
      <c r="AK621" s="1619"/>
      <c r="AL621" s="407"/>
      <c r="AM621" s="407"/>
      <c r="AN621" s="31"/>
      <c r="AO621" s="31"/>
      <c r="AP621" s="31"/>
      <c r="AQ621" s="1617" t="str">
        <f>$D56</f>
        <v>Verdichter 1</v>
      </c>
      <c r="AR621" s="1617"/>
      <c r="AS621" s="1617"/>
      <c r="AT621" s="262"/>
      <c r="AU621" s="1617" t="str">
        <f>$D58</f>
        <v>Verdichter 2</v>
      </c>
      <c r="AV621" s="1617"/>
      <c r="AW621" s="1617"/>
      <c r="AX621" s="262"/>
      <c r="AY621" s="1617" t="str">
        <f>$D60</f>
        <v>Verdichter 3</v>
      </c>
      <c r="AZ621" s="1617"/>
      <c r="BA621" s="1617"/>
      <c r="BB621" s="263"/>
      <c r="BC621" s="1617" t="str">
        <f>$D62</f>
        <v>Verdichter 4</v>
      </c>
      <c r="BD621" s="1617"/>
      <c r="BE621" s="1617"/>
      <c r="BF621" s="264"/>
      <c r="BG621" s="1619" t="s">
        <v>213</v>
      </c>
      <c r="BH621" s="1619"/>
      <c r="BI621" s="1619"/>
      <c r="BP621" s="31"/>
      <c r="BQ621" s="31"/>
      <c r="BR621" s="31"/>
      <c r="BS621" s="31"/>
      <c r="BT621" s="31"/>
      <c r="BU621" s="31"/>
      <c r="BV621" s="31"/>
      <c r="BW621" s="31"/>
      <c r="BX621" s="31"/>
    </row>
    <row r="622" spans="3:76" s="28" customFormat="1" ht="17.100000000000001" hidden="1" customHeight="1" outlineLevel="1">
      <c r="C622" s="302"/>
      <c r="D622" s="31"/>
      <c r="F622" s="31"/>
      <c r="G622" s="31"/>
      <c r="H622" s="31"/>
      <c r="I622" s="31"/>
      <c r="J622" s="31"/>
      <c r="K622" s="31"/>
      <c r="L622" s="31"/>
      <c r="M622" s="31"/>
      <c r="N622" s="31"/>
      <c r="O622" s="31"/>
      <c r="Q622" s="261" t="s">
        <v>112</v>
      </c>
      <c r="R622" s="31"/>
      <c r="S622" s="1618">
        <f>W56</f>
        <v>0</v>
      </c>
      <c r="T622" s="1618"/>
      <c r="U622" s="1618"/>
      <c r="V622" s="52"/>
      <c r="W622" s="1618">
        <f>W58</f>
        <v>0</v>
      </c>
      <c r="X622" s="1618"/>
      <c r="Y622" s="1618"/>
      <c r="Z622" s="52"/>
      <c r="AA622" s="1618">
        <f>W60</f>
        <v>0</v>
      </c>
      <c r="AB622" s="1618"/>
      <c r="AC622" s="1618"/>
      <c r="AD622" s="31"/>
      <c r="AE622" s="1618">
        <f>W62</f>
        <v>0</v>
      </c>
      <c r="AF622" s="1618"/>
      <c r="AG622" s="1618"/>
      <c r="AH622" s="31"/>
      <c r="AI622" s="1618"/>
      <c r="AJ622" s="1618"/>
      <c r="AK622" s="1618"/>
      <c r="AL622" s="409"/>
      <c r="AM622" s="409"/>
      <c r="AN622" s="31"/>
      <c r="AO622" s="31"/>
      <c r="AP622" s="31"/>
      <c r="AQ622" s="1618">
        <f>AU56</f>
        <v>0</v>
      </c>
      <c r="AR622" s="1618"/>
      <c r="AS622" s="1618"/>
      <c r="AT622" s="52"/>
      <c r="AU622" s="1618">
        <f>AU58</f>
        <v>0</v>
      </c>
      <c r="AV622" s="1618"/>
      <c r="AW622" s="1618"/>
      <c r="AX622" s="52"/>
      <c r="AY622" s="1618">
        <f>AU60</f>
        <v>0</v>
      </c>
      <c r="AZ622" s="1618"/>
      <c r="BA622" s="1618"/>
      <c r="BB622" s="31"/>
      <c r="BC622" s="1618">
        <f>AU62</f>
        <v>0</v>
      </c>
      <c r="BD622" s="1618"/>
      <c r="BE622" s="1618"/>
      <c r="BF622" s="31"/>
      <c r="BG622" s="1618"/>
      <c r="BH622" s="1618"/>
      <c r="BI622" s="1618"/>
      <c r="BP622" s="31"/>
      <c r="BQ622" s="31"/>
      <c r="BR622" s="31"/>
      <c r="BS622" s="31"/>
      <c r="BT622" s="31"/>
      <c r="BU622" s="31"/>
      <c r="BV622" s="31"/>
      <c r="BW622" s="31"/>
      <c r="BX622" s="31"/>
    </row>
    <row r="623" spans="3:76" s="28" customFormat="1" ht="17.100000000000001" hidden="1" customHeight="1" outlineLevel="1">
      <c r="C623" s="302"/>
      <c r="D623" s="31"/>
      <c r="F623" s="31"/>
      <c r="G623" s="31"/>
      <c r="H623" s="31"/>
      <c r="I623" s="31"/>
      <c r="J623" s="31"/>
      <c r="K623" s="31"/>
      <c r="L623" s="31"/>
      <c r="M623" s="31"/>
      <c r="N623" s="31"/>
      <c r="O623" s="31"/>
      <c r="Q623" s="261"/>
      <c r="R623" s="31"/>
      <c r="S623" s="265"/>
      <c r="T623" s="265"/>
      <c r="U623" s="265"/>
      <c r="V623" s="52"/>
      <c r="W623" s="265"/>
      <c r="X623" s="265"/>
      <c r="Y623" s="265"/>
      <c r="Z623" s="52"/>
      <c r="AA623" s="265"/>
      <c r="AB623" s="265"/>
      <c r="AC623" s="265"/>
      <c r="AD623" s="31"/>
      <c r="AE623" s="265"/>
      <c r="AF623" s="265"/>
      <c r="AG623" s="265"/>
      <c r="AH623" s="31"/>
      <c r="AI623" s="265"/>
      <c r="AJ623" s="265"/>
      <c r="AK623" s="265"/>
      <c r="AL623" s="409"/>
      <c r="AM623" s="409"/>
      <c r="AN623" s="31"/>
      <c r="AO623" s="31"/>
      <c r="AP623" s="31"/>
      <c r="AQ623" s="265"/>
      <c r="AR623" s="265"/>
      <c r="AS623" s="265"/>
      <c r="AT623" s="52"/>
      <c r="AU623" s="265"/>
      <c r="AV623" s="265"/>
      <c r="AW623" s="265"/>
      <c r="AX623" s="52"/>
      <c r="AY623" s="265"/>
      <c r="AZ623" s="265"/>
      <c r="BA623" s="265"/>
      <c r="BB623" s="31"/>
      <c r="BC623" s="265"/>
      <c r="BD623" s="265"/>
      <c r="BE623" s="265"/>
      <c r="BF623" s="31"/>
      <c r="BG623" s="265"/>
      <c r="BH623" s="265"/>
      <c r="BI623" s="265"/>
      <c r="BP623" s="31"/>
      <c r="BQ623" s="31"/>
      <c r="BR623" s="31"/>
      <c r="BS623" s="31"/>
      <c r="BT623" s="31"/>
      <c r="BU623" s="31"/>
      <c r="BV623" s="31"/>
      <c r="BW623" s="31"/>
      <c r="BX623" s="31"/>
    </row>
    <row r="624" spans="3:76" s="28" customFormat="1" ht="17.100000000000001" hidden="1" customHeight="1" outlineLevel="1">
      <c r="C624" s="302"/>
      <c r="D624" s="266" t="s">
        <v>112</v>
      </c>
      <c r="E624" s="31"/>
      <c r="F624" s="31"/>
      <c r="G624" s="31"/>
      <c r="H624" s="31"/>
      <c r="I624" s="31"/>
      <c r="J624" s="31"/>
      <c r="K624" s="31"/>
      <c r="L624" s="31"/>
      <c r="M624" s="31"/>
      <c r="N624" s="31"/>
      <c r="O624" s="31"/>
      <c r="Q624" s="261" t="s">
        <v>213</v>
      </c>
      <c r="R624" s="31"/>
      <c r="S624" s="265"/>
      <c r="T624" s="265"/>
      <c r="U624" s="265"/>
      <c r="V624" s="52"/>
      <c r="W624" s="265"/>
      <c r="X624" s="265"/>
      <c r="Y624" s="265"/>
      <c r="Z624" s="52"/>
      <c r="AA624" s="265"/>
      <c r="AB624" s="265"/>
      <c r="AC624" s="265"/>
      <c r="AD624" s="31"/>
      <c r="AE624" s="265"/>
      <c r="AF624" s="265"/>
      <c r="AG624" s="265"/>
      <c r="AH624" s="31"/>
      <c r="AI624" s="265"/>
      <c r="AJ624" s="265"/>
      <c r="AK624" s="265"/>
      <c r="AL624" s="409"/>
      <c r="AM624" s="409"/>
      <c r="AN624" s="31"/>
      <c r="AO624" s="31"/>
      <c r="AP624" s="31"/>
      <c r="AQ624" s="265"/>
      <c r="AR624" s="265"/>
      <c r="AS624" s="265"/>
      <c r="AT624" s="52"/>
      <c r="AU624" s="265"/>
      <c r="AV624" s="265"/>
      <c r="AW624" s="265"/>
      <c r="AX624" s="52"/>
      <c r="AY624" s="265"/>
      <c r="AZ624" s="265"/>
      <c r="BA624" s="265"/>
      <c r="BB624" s="31"/>
      <c r="BC624" s="265"/>
      <c r="BD624" s="265"/>
      <c r="BE624" s="265"/>
      <c r="BF624" s="31"/>
      <c r="BG624" s="265"/>
      <c r="BH624" s="265"/>
      <c r="BI624" s="265"/>
      <c r="BP624" s="31"/>
      <c r="BQ624" s="31"/>
      <c r="BR624" s="31"/>
      <c r="BS624" s="31"/>
      <c r="BT624" s="31"/>
      <c r="BU624" s="31"/>
      <c r="BV624" s="31"/>
      <c r="BW624" s="31"/>
      <c r="BX624" s="31"/>
    </row>
    <row r="625" spans="3:76" s="28" customFormat="1" ht="17.100000000000001" hidden="1" customHeight="1" outlineLevel="1">
      <c r="C625" s="302"/>
      <c r="D625" s="31"/>
      <c r="E625" s="31"/>
      <c r="F625" s="31"/>
      <c r="G625" s="31"/>
      <c r="H625" s="31"/>
      <c r="I625" s="31"/>
      <c r="J625" s="31"/>
      <c r="K625" s="31"/>
      <c r="L625" s="31"/>
      <c r="M625" s="31"/>
      <c r="N625" s="31"/>
      <c r="O625" s="31"/>
      <c r="Q625" s="31"/>
      <c r="R625" s="31"/>
      <c r="S625" s="265"/>
      <c r="T625" s="265"/>
      <c r="U625" s="265"/>
      <c r="V625" s="52"/>
      <c r="W625" s="265"/>
      <c r="X625" s="265"/>
      <c r="Y625" s="265"/>
      <c r="Z625" s="52"/>
      <c r="AA625" s="265"/>
      <c r="AB625" s="265"/>
      <c r="AC625" s="265"/>
      <c r="AD625" s="31"/>
      <c r="AE625" s="265"/>
      <c r="AF625" s="265"/>
      <c r="AG625" s="265"/>
      <c r="AH625" s="31"/>
      <c r="AI625" s="265"/>
      <c r="AJ625" s="265"/>
      <c r="AK625" s="265"/>
      <c r="AL625" s="409"/>
      <c r="AM625" s="409"/>
      <c r="AN625" s="242"/>
      <c r="AO625" s="242"/>
      <c r="AP625" s="242"/>
      <c r="AQ625" s="265"/>
      <c r="AR625" s="265"/>
      <c r="AS625" s="265"/>
      <c r="AT625" s="52"/>
      <c r="AU625" s="265"/>
      <c r="AV625" s="265"/>
      <c r="AW625" s="265"/>
      <c r="AX625" s="52"/>
      <c r="AY625" s="265"/>
      <c r="AZ625" s="265"/>
      <c r="BA625" s="265"/>
      <c r="BB625" s="31"/>
      <c r="BC625" s="265"/>
      <c r="BD625" s="265"/>
      <c r="BE625" s="265"/>
      <c r="BF625" s="31"/>
      <c r="BG625" s="265"/>
      <c r="BH625" s="265"/>
      <c r="BI625" s="265"/>
      <c r="BP625" s="31"/>
      <c r="BQ625" s="31"/>
      <c r="BR625" s="31"/>
      <c r="BS625" s="31"/>
      <c r="BT625" s="31"/>
      <c r="BU625" s="31"/>
      <c r="BV625" s="31"/>
      <c r="BW625" s="31"/>
      <c r="BX625" s="31"/>
    </row>
    <row r="626" spans="3:76" s="28" customFormat="1" ht="17.100000000000001" hidden="1" customHeight="1" outlineLevel="1">
      <c r="C626" s="489"/>
      <c r="D626" s="550" t="str">
        <f>X!$C$82</f>
        <v>ein/aus</v>
      </c>
      <c r="E626" s="241"/>
      <c r="F626" s="241"/>
      <c r="G626" s="241"/>
      <c r="H626" s="241"/>
      <c r="I626" s="241"/>
      <c r="J626" s="241"/>
      <c r="K626" s="241"/>
      <c r="L626" s="241"/>
      <c r="M626" s="241"/>
      <c r="N626" s="241"/>
      <c r="O626" s="1565">
        <v>0.25</v>
      </c>
      <c r="P626" s="1565"/>
      <c r="Q626" s="1565"/>
      <c r="R626" s="241"/>
      <c r="S626" s="1566">
        <f t="shared" ref="S626:S631" si="59">IF(S$622=$D626,$O626,0)</f>
        <v>0</v>
      </c>
      <c r="T626" s="1566"/>
      <c r="U626" s="1566"/>
      <c r="V626" s="267"/>
      <c r="W626" s="1566">
        <f t="shared" ref="W626:W631" si="60">IF(W$622=$D626,$O626,0)</f>
        <v>0</v>
      </c>
      <c r="X626" s="1566"/>
      <c r="Y626" s="1566"/>
      <c r="Z626" s="267"/>
      <c r="AA626" s="1566">
        <f t="shared" ref="AA626:AA631" si="61">IF(AA$622=$D626,$O626,0)</f>
        <v>0</v>
      </c>
      <c r="AB626" s="1566"/>
      <c r="AC626" s="1566"/>
      <c r="AD626" s="267"/>
      <c r="AE626" s="1566">
        <f t="shared" ref="AE626:AE631" si="62">IF(AE$622=$D626,$O626,0)</f>
        <v>0</v>
      </c>
      <c r="AF626" s="1566"/>
      <c r="AG626" s="1566"/>
      <c r="AH626" s="82"/>
      <c r="AI626" s="1624"/>
      <c r="AJ626" s="1624"/>
      <c r="AK626" s="1624"/>
      <c r="AL626" s="409"/>
      <c r="AM626" s="409"/>
      <c r="AN626" s="242"/>
      <c r="AO626" s="242"/>
      <c r="AP626" s="242"/>
      <c r="AQ626" s="1566">
        <f t="shared" ref="AQ626:AQ631" si="63">IF(AQ$622=$D626,$O626,0)</f>
        <v>0</v>
      </c>
      <c r="AR626" s="1566"/>
      <c r="AS626" s="1566"/>
      <c r="AT626" s="267"/>
      <c r="AU626" s="1566">
        <f t="shared" ref="AU626:AU631" si="64">IF(AU$622=$D626,$O626,0)</f>
        <v>0</v>
      </c>
      <c r="AV626" s="1566"/>
      <c r="AW626" s="1566"/>
      <c r="AX626" s="267"/>
      <c r="AY626" s="1566">
        <f t="shared" ref="AY626:AY631" si="65">IF(AY$622=$D626,$O626,0)</f>
        <v>0</v>
      </c>
      <c r="AZ626" s="1566"/>
      <c r="BA626" s="1566"/>
      <c r="BB626" s="267"/>
      <c r="BC626" s="1566">
        <f t="shared" ref="BC626:BC631" si="66">IF(BC$622=$D626,$O626,0)</f>
        <v>0</v>
      </c>
      <c r="BD626" s="1566"/>
      <c r="BE626" s="1566"/>
      <c r="BF626" s="82"/>
      <c r="BG626" s="1624"/>
      <c r="BH626" s="1624"/>
      <c r="BI626" s="1624"/>
      <c r="BP626" s="31"/>
      <c r="BQ626" s="31"/>
      <c r="BR626" s="31"/>
      <c r="BS626" s="31"/>
      <c r="BT626" s="31"/>
      <c r="BU626" s="31"/>
      <c r="BV626" s="31"/>
      <c r="BW626" s="31"/>
      <c r="BX626" s="31"/>
    </row>
    <row r="627" spans="3:76" s="28" customFormat="1" ht="17.100000000000001" hidden="1" customHeight="1" outlineLevel="1">
      <c r="C627" s="489"/>
      <c r="D627" s="550" t="str">
        <f>X!$C$84</f>
        <v>ein/aus (mit kleinem Speicher, Verdichter schaltet 6x und mehr pro Stunde ein)</v>
      </c>
      <c r="E627" s="241"/>
      <c r="F627" s="241"/>
      <c r="G627" s="241"/>
      <c r="H627" s="241"/>
      <c r="I627" s="241"/>
      <c r="J627" s="241"/>
      <c r="K627" s="241"/>
      <c r="L627" s="241"/>
      <c r="M627" s="241"/>
      <c r="N627" s="241"/>
      <c r="O627" s="1565">
        <v>0.15</v>
      </c>
      <c r="P627" s="1565"/>
      <c r="Q627" s="1565"/>
      <c r="R627" s="241"/>
      <c r="S627" s="1566">
        <f t="shared" si="59"/>
        <v>0</v>
      </c>
      <c r="T627" s="1566"/>
      <c r="U627" s="1566"/>
      <c r="V627" s="267"/>
      <c r="W627" s="1566">
        <f t="shared" si="60"/>
        <v>0</v>
      </c>
      <c r="X627" s="1566"/>
      <c r="Y627" s="1566"/>
      <c r="Z627" s="267"/>
      <c r="AA627" s="1566">
        <f t="shared" si="61"/>
        <v>0</v>
      </c>
      <c r="AB627" s="1566"/>
      <c r="AC627" s="1566"/>
      <c r="AD627" s="267"/>
      <c r="AE627" s="1566">
        <f t="shared" si="62"/>
        <v>0</v>
      </c>
      <c r="AF627" s="1566"/>
      <c r="AG627" s="1566"/>
      <c r="AH627" s="82"/>
      <c r="AI627" s="1624"/>
      <c r="AJ627" s="1624"/>
      <c r="AK627" s="1624"/>
      <c r="AL627" s="409"/>
      <c r="AM627" s="409"/>
      <c r="AN627" s="242"/>
      <c r="AO627" s="242"/>
      <c r="AP627" s="242"/>
      <c r="AQ627" s="1566">
        <f t="shared" si="63"/>
        <v>0</v>
      </c>
      <c r="AR627" s="1566"/>
      <c r="AS627" s="1566"/>
      <c r="AT627" s="267"/>
      <c r="AU627" s="1566">
        <f t="shared" si="64"/>
        <v>0</v>
      </c>
      <c r="AV627" s="1566"/>
      <c r="AW627" s="1566"/>
      <c r="AX627" s="267"/>
      <c r="AY627" s="1566">
        <f t="shared" si="65"/>
        <v>0</v>
      </c>
      <c r="AZ627" s="1566"/>
      <c r="BA627" s="1566"/>
      <c r="BB627" s="267"/>
      <c r="BC627" s="1566">
        <f t="shared" si="66"/>
        <v>0</v>
      </c>
      <c r="BD627" s="1566"/>
      <c r="BE627" s="1566"/>
      <c r="BF627" s="82"/>
      <c r="BG627" s="1624"/>
      <c r="BH627" s="1624"/>
      <c r="BI627" s="1624"/>
      <c r="BP627" s="31"/>
      <c r="BQ627" s="31"/>
      <c r="BR627" s="31"/>
      <c r="BS627" s="31"/>
      <c r="BT627" s="31"/>
      <c r="BU627" s="31"/>
      <c r="BV627" s="31"/>
      <c r="BW627" s="31"/>
      <c r="BX627" s="31"/>
    </row>
    <row r="628" spans="3:76" s="28" customFormat="1" ht="17.100000000000001" hidden="1" customHeight="1" outlineLevel="1">
      <c r="C628" s="489"/>
      <c r="D628" s="550" t="str">
        <f>X!$C$83</f>
        <v>ein/aus (mit grossem Speicher, Verdichter schaltet weniger als 6x pro Stunde ein)</v>
      </c>
      <c r="E628" s="241"/>
      <c r="F628" s="241"/>
      <c r="G628" s="241"/>
      <c r="H628" s="241"/>
      <c r="I628" s="241"/>
      <c r="J628" s="241"/>
      <c r="K628" s="241"/>
      <c r="L628" s="241"/>
      <c r="M628" s="241"/>
      <c r="N628" s="241"/>
      <c r="O628" s="1565">
        <v>0.05</v>
      </c>
      <c r="P628" s="1565"/>
      <c r="Q628" s="1565"/>
      <c r="R628" s="241"/>
      <c r="S628" s="1566">
        <f t="shared" si="59"/>
        <v>0</v>
      </c>
      <c r="T628" s="1566"/>
      <c r="U628" s="1566"/>
      <c r="V628" s="267"/>
      <c r="W628" s="1566">
        <f t="shared" si="60"/>
        <v>0</v>
      </c>
      <c r="X628" s="1566"/>
      <c r="Y628" s="1566"/>
      <c r="Z628" s="267"/>
      <c r="AA628" s="1566">
        <f t="shared" si="61"/>
        <v>0</v>
      </c>
      <c r="AB628" s="1566"/>
      <c r="AC628" s="1566"/>
      <c r="AD628" s="267"/>
      <c r="AE628" s="1566">
        <f t="shared" si="62"/>
        <v>0</v>
      </c>
      <c r="AF628" s="1566"/>
      <c r="AG628" s="1566"/>
      <c r="AH628" s="82"/>
      <c r="AI628" s="1624"/>
      <c r="AJ628" s="1624"/>
      <c r="AK628" s="1624"/>
      <c r="AL628" s="409"/>
      <c r="AM628" s="409"/>
      <c r="AN628" s="242"/>
      <c r="AO628" s="242"/>
      <c r="AP628" s="242"/>
      <c r="AQ628" s="1566">
        <f t="shared" si="63"/>
        <v>0</v>
      </c>
      <c r="AR628" s="1566"/>
      <c r="AS628" s="1566"/>
      <c r="AT628" s="267"/>
      <c r="AU628" s="1566">
        <f t="shared" si="64"/>
        <v>0</v>
      </c>
      <c r="AV628" s="1566"/>
      <c r="AW628" s="1566"/>
      <c r="AX628" s="267"/>
      <c r="AY628" s="1566">
        <f t="shared" si="65"/>
        <v>0</v>
      </c>
      <c r="AZ628" s="1566"/>
      <c r="BA628" s="1566"/>
      <c r="BB628" s="267"/>
      <c r="BC628" s="1566">
        <f t="shared" si="66"/>
        <v>0</v>
      </c>
      <c r="BD628" s="1566"/>
      <c r="BE628" s="1566"/>
      <c r="BF628" s="82"/>
      <c r="BG628" s="1624"/>
      <c r="BH628" s="1624"/>
      <c r="BI628" s="1624"/>
      <c r="BP628" s="31"/>
      <c r="BQ628" s="31"/>
      <c r="BR628" s="31"/>
      <c r="BS628" s="31"/>
      <c r="BT628" s="31"/>
      <c r="BU628" s="31"/>
      <c r="BV628" s="31"/>
      <c r="BW628" s="31"/>
      <c r="BX628" s="31"/>
    </row>
    <row r="629" spans="3:76" s="28" customFormat="1" ht="17.100000000000001" hidden="1" customHeight="1" outlineLevel="1">
      <c r="C629" s="489"/>
      <c r="D629" s="550" t="str">
        <f>X!$C$253</f>
        <v>Verdichterstufen-Abschaltung</v>
      </c>
      <c r="E629" s="241"/>
      <c r="F629" s="241"/>
      <c r="G629" s="241"/>
      <c r="H629" s="241"/>
      <c r="I629" s="241"/>
      <c r="J629" s="241"/>
      <c r="K629" s="241"/>
      <c r="L629" s="241"/>
      <c r="M629" s="241"/>
      <c r="N629" s="241"/>
      <c r="O629" s="1565">
        <v>0.1</v>
      </c>
      <c r="P629" s="1565"/>
      <c r="Q629" s="1565"/>
      <c r="R629" s="241"/>
      <c r="S629" s="1566">
        <f t="shared" si="59"/>
        <v>0</v>
      </c>
      <c r="T629" s="1566"/>
      <c r="U629" s="1566"/>
      <c r="V629" s="267"/>
      <c r="W629" s="1566">
        <f t="shared" si="60"/>
        <v>0</v>
      </c>
      <c r="X629" s="1566"/>
      <c r="Y629" s="1566"/>
      <c r="Z629" s="267"/>
      <c r="AA629" s="1566">
        <f t="shared" si="61"/>
        <v>0</v>
      </c>
      <c r="AB629" s="1566"/>
      <c r="AC629" s="1566"/>
      <c r="AD629" s="267"/>
      <c r="AE629" s="1566">
        <f t="shared" si="62"/>
        <v>0</v>
      </c>
      <c r="AF629" s="1566"/>
      <c r="AG629" s="1566"/>
      <c r="AH629" s="82"/>
      <c r="AI629" s="1624"/>
      <c r="AJ629" s="1624"/>
      <c r="AK629" s="1624"/>
      <c r="AL629" s="409"/>
      <c r="AM629" s="409"/>
      <c r="AN629" s="242"/>
      <c r="AO629" s="242"/>
      <c r="AP629" s="242"/>
      <c r="AQ629" s="1566">
        <f t="shared" si="63"/>
        <v>0</v>
      </c>
      <c r="AR629" s="1566"/>
      <c r="AS629" s="1566"/>
      <c r="AT629" s="267"/>
      <c r="AU629" s="1566">
        <f t="shared" si="64"/>
        <v>0</v>
      </c>
      <c r="AV629" s="1566"/>
      <c r="AW629" s="1566"/>
      <c r="AX629" s="267"/>
      <c r="AY629" s="1566">
        <f t="shared" si="65"/>
        <v>0</v>
      </c>
      <c r="AZ629" s="1566"/>
      <c r="BA629" s="1566"/>
      <c r="BB629" s="267"/>
      <c r="BC629" s="1566">
        <f t="shared" si="66"/>
        <v>0</v>
      </c>
      <c r="BD629" s="1566"/>
      <c r="BE629" s="1566"/>
      <c r="BF629" s="82"/>
      <c r="BG629" s="1624"/>
      <c r="BH629" s="1624"/>
      <c r="BI629" s="1624"/>
      <c r="BP629" s="31"/>
      <c r="BQ629" s="31"/>
      <c r="BR629" s="31"/>
      <c r="BS629" s="31"/>
      <c r="BT629" s="31"/>
      <c r="BU629" s="31"/>
      <c r="BV629" s="31"/>
      <c r="BW629" s="31"/>
      <c r="BX629" s="31"/>
    </row>
    <row r="630" spans="3:76" s="28" customFormat="1" ht="17.100000000000001" hidden="1" customHeight="1" outlineLevel="1">
      <c r="C630" s="489"/>
      <c r="D630" s="550" t="str">
        <f>X!$C$112</f>
        <v>Frequenzumformer</v>
      </c>
      <c r="E630" s="241"/>
      <c r="F630" s="241"/>
      <c r="G630" s="241"/>
      <c r="H630" s="241"/>
      <c r="I630" s="241"/>
      <c r="J630" s="241"/>
      <c r="K630" s="241"/>
      <c r="L630" s="241"/>
      <c r="M630" s="241"/>
      <c r="N630" s="241"/>
      <c r="O630" s="1565">
        <v>0.05</v>
      </c>
      <c r="P630" s="1565"/>
      <c r="Q630" s="1565"/>
      <c r="R630" s="241"/>
      <c r="S630" s="1566">
        <f t="shared" si="59"/>
        <v>0</v>
      </c>
      <c r="T630" s="1566"/>
      <c r="U630" s="1566"/>
      <c r="V630" s="267"/>
      <c r="W630" s="1566">
        <f t="shared" si="60"/>
        <v>0</v>
      </c>
      <c r="X630" s="1566"/>
      <c r="Y630" s="1566"/>
      <c r="Z630" s="267"/>
      <c r="AA630" s="1566">
        <f t="shared" si="61"/>
        <v>0</v>
      </c>
      <c r="AB630" s="1566"/>
      <c r="AC630" s="1566"/>
      <c r="AD630" s="267"/>
      <c r="AE630" s="1566">
        <f t="shared" si="62"/>
        <v>0</v>
      </c>
      <c r="AF630" s="1566"/>
      <c r="AG630" s="1566"/>
      <c r="AH630" s="82"/>
      <c r="AI630" s="1624"/>
      <c r="AJ630" s="1624"/>
      <c r="AK630" s="1624"/>
      <c r="AL630" s="409"/>
      <c r="AM630" s="409"/>
      <c r="AN630" s="242"/>
      <c r="AO630" s="242"/>
      <c r="AP630" s="242"/>
      <c r="AQ630" s="1566">
        <f t="shared" si="63"/>
        <v>0</v>
      </c>
      <c r="AR630" s="1566"/>
      <c r="AS630" s="1566"/>
      <c r="AT630" s="267"/>
      <c r="AU630" s="1566">
        <f t="shared" si="64"/>
        <v>0</v>
      </c>
      <c r="AV630" s="1566"/>
      <c r="AW630" s="1566"/>
      <c r="AX630" s="267"/>
      <c r="AY630" s="1566">
        <f t="shared" si="65"/>
        <v>0</v>
      </c>
      <c r="AZ630" s="1566"/>
      <c r="BA630" s="1566"/>
      <c r="BB630" s="267"/>
      <c r="BC630" s="1566">
        <f t="shared" si="66"/>
        <v>0</v>
      </c>
      <c r="BD630" s="1566"/>
      <c r="BE630" s="1566"/>
      <c r="BF630" s="82"/>
      <c r="BG630" s="1624"/>
      <c r="BH630" s="1624"/>
      <c r="BI630" s="1624"/>
      <c r="BP630" s="31"/>
      <c r="BQ630" s="31"/>
      <c r="BR630" s="31"/>
      <c r="BS630" s="31"/>
      <c r="BT630" s="31"/>
      <c r="BU630" s="31"/>
      <c r="BV630" s="31"/>
      <c r="BW630" s="31"/>
      <c r="BX630" s="31"/>
    </row>
    <row r="631" spans="3:76" s="28" customFormat="1" ht="17.100000000000001" hidden="1" customHeight="1" outlineLevel="1">
      <c r="C631" s="489"/>
      <c r="D631" s="554" t="str">
        <f>X!$C$113</f>
        <v>Frequenzumformer mit Speicher</v>
      </c>
      <c r="E631" s="268"/>
      <c r="F631" s="268"/>
      <c r="G631" s="268"/>
      <c r="H631" s="268"/>
      <c r="I631" s="268"/>
      <c r="J631" s="268"/>
      <c r="K631" s="268"/>
      <c r="L631" s="268"/>
      <c r="M631" s="268"/>
      <c r="N631" s="268"/>
      <c r="O631" s="1623">
        <v>0.03</v>
      </c>
      <c r="P631" s="1623"/>
      <c r="Q631" s="1623"/>
      <c r="R631" s="268"/>
      <c r="S631" s="1622">
        <f t="shared" si="59"/>
        <v>0</v>
      </c>
      <c r="T631" s="1622"/>
      <c r="U631" s="1622"/>
      <c r="V631" s="269"/>
      <c r="W631" s="1622">
        <f t="shared" si="60"/>
        <v>0</v>
      </c>
      <c r="X631" s="1622"/>
      <c r="Y631" s="1622"/>
      <c r="Z631" s="269"/>
      <c r="AA631" s="1622">
        <f t="shared" si="61"/>
        <v>0</v>
      </c>
      <c r="AB631" s="1622"/>
      <c r="AC631" s="1622"/>
      <c r="AD631" s="269"/>
      <c r="AE631" s="1622">
        <f t="shared" si="62"/>
        <v>0</v>
      </c>
      <c r="AF631" s="1622"/>
      <c r="AG631" s="1622"/>
      <c r="AH631" s="258"/>
      <c r="AI631" s="1625"/>
      <c r="AJ631" s="1625"/>
      <c r="AK631" s="1625"/>
      <c r="AL631" s="409"/>
      <c r="AM631" s="409"/>
      <c r="AN631" s="242"/>
      <c r="AO631" s="242"/>
      <c r="AP631" s="242"/>
      <c r="AQ631" s="1622">
        <f t="shared" si="63"/>
        <v>0</v>
      </c>
      <c r="AR631" s="1622"/>
      <c r="AS631" s="1622"/>
      <c r="AT631" s="269"/>
      <c r="AU631" s="1622">
        <f t="shared" si="64"/>
        <v>0</v>
      </c>
      <c r="AV631" s="1622"/>
      <c r="AW631" s="1622"/>
      <c r="AX631" s="269"/>
      <c r="AY631" s="1622">
        <f t="shared" si="65"/>
        <v>0</v>
      </c>
      <c r="AZ631" s="1622"/>
      <c r="BA631" s="1622"/>
      <c r="BB631" s="269"/>
      <c r="BC631" s="1622">
        <f t="shared" si="66"/>
        <v>0</v>
      </c>
      <c r="BD631" s="1622"/>
      <c r="BE631" s="1622"/>
      <c r="BF631" s="258"/>
      <c r="BG631" s="1625"/>
      <c r="BH631" s="1625"/>
      <c r="BI631" s="1625"/>
      <c r="BP631" s="31"/>
      <c r="BQ631" s="31"/>
      <c r="BR631" s="31"/>
      <c r="BS631" s="31"/>
      <c r="BT631" s="31"/>
      <c r="BU631" s="31"/>
      <c r="BV631" s="31"/>
      <c r="BW631" s="31"/>
      <c r="BX631" s="31"/>
    </row>
    <row r="632" spans="3:76" s="55" customFormat="1" ht="17.100000000000001" hidden="1" customHeight="1" outlineLevel="1">
      <c r="C632" s="363"/>
      <c r="D632" s="555" t="str">
        <f>X!$C$40</f>
        <v>Beaufschlagung</v>
      </c>
      <c r="E632" s="270"/>
      <c r="F632" s="270"/>
      <c r="G632" s="270"/>
      <c r="H632" s="270"/>
      <c r="I632" s="270"/>
      <c r="J632" s="270"/>
      <c r="K632" s="270"/>
      <c r="L632" s="270"/>
      <c r="M632" s="270"/>
      <c r="N632" s="270"/>
      <c r="O632" s="1647"/>
      <c r="P632" s="1647"/>
      <c r="Q632" s="1647"/>
      <c r="R632" s="270"/>
      <c r="S632" s="1626">
        <f>IF(SUM(S626:U631)=0,$O$626,SUM(S626:U631))</f>
        <v>0.25</v>
      </c>
      <c r="T632" s="1626"/>
      <c r="U632" s="1626"/>
      <c r="V632" s="271"/>
      <c r="W632" s="1626">
        <f>IF(SUM(W626:Y631)=0,$O$626,SUM(W626:Y631))</f>
        <v>0.25</v>
      </c>
      <c r="X632" s="1626"/>
      <c r="Y632" s="1626"/>
      <c r="Z632" s="271"/>
      <c r="AA632" s="1626">
        <f>IF(SUM(AA626:AC631)=0,$O$626,SUM(AA626:AC631))</f>
        <v>0.25</v>
      </c>
      <c r="AB632" s="1626"/>
      <c r="AC632" s="1626"/>
      <c r="AD632" s="271"/>
      <c r="AE632" s="1626">
        <f>IF(SUM(AE626:AG631)=0,$O$626,SUM(AE626:AG631))</f>
        <v>0.25</v>
      </c>
      <c r="AF632" s="1626"/>
      <c r="AG632" s="1626"/>
      <c r="AH632" s="272"/>
      <c r="AI632" s="1631">
        <f>MIN(S632:AG632)</f>
        <v>0.25</v>
      </c>
      <c r="AJ632" s="1632"/>
      <c r="AK632" s="1632"/>
      <c r="AL632" s="410"/>
      <c r="AM632" s="410"/>
      <c r="AN632" s="253"/>
      <c r="AO632" s="253"/>
      <c r="AP632" s="242"/>
      <c r="AQ632" s="1626">
        <f>IF(SUM(AQ626:AS631)=0,$O$626,SUM(AQ626:AS631))</f>
        <v>0.25</v>
      </c>
      <c r="AR632" s="1626"/>
      <c r="AS632" s="1626"/>
      <c r="AT632" s="271"/>
      <c r="AU632" s="1626">
        <f>IF(SUM(AU626:AW631)=0,$O$626,SUM(AU626:AW631))</f>
        <v>0.25</v>
      </c>
      <c r="AV632" s="1626"/>
      <c r="AW632" s="1626"/>
      <c r="AX632" s="271"/>
      <c r="AY632" s="1626">
        <f>IF(SUM(AY626:BA631)=0,$O$626,SUM(AY626:BA631))</f>
        <v>0.25</v>
      </c>
      <c r="AZ632" s="1626"/>
      <c r="BA632" s="1626"/>
      <c r="BB632" s="271"/>
      <c r="BC632" s="1626">
        <f>IF(SUM(BC626:BE631)=0,$O$626,SUM(BC626:BE631))</f>
        <v>0.25</v>
      </c>
      <c r="BD632" s="1626"/>
      <c r="BE632" s="1626"/>
      <c r="BF632" s="272"/>
      <c r="BG632" s="1631">
        <f>MIN(AQ632:BE632)</f>
        <v>0.25</v>
      </c>
      <c r="BH632" s="1632"/>
      <c r="BI632" s="1632"/>
      <c r="BL632" s="28"/>
      <c r="BP632" s="31"/>
      <c r="BQ632" s="31"/>
      <c r="BR632" s="31"/>
      <c r="BS632" s="31"/>
      <c r="BT632" s="31"/>
      <c r="BU632" s="31"/>
      <c r="BV632" s="31"/>
      <c r="BW632" s="31"/>
      <c r="BX632" s="31"/>
    </row>
    <row r="633" spans="3:76" hidden="1" outlineLevel="1">
      <c r="U633" s="273"/>
      <c r="V633" s="273"/>
      <c r="W633" s="273"/>
      <c r="X633" s="273"/>
      <c r="Y633" s="273"/>
      <c r="Z633" s="273"/>
      <c r="AA633" s="273"/>
      <c r="AB633" s="273"/>
      <c r="AC633" s="273"/>
      <c r="AD633" s="273"/>
      <c r="AE633" s="273"/>
      <c r="AF633" s="273"/>
      <c r="AG633" s="273"/>
      <c r="AH633" s="273"/>
      <c r="AI633" s="273"/>
      <c r="AJ633" s="273"/>
      <c r="AK633" s="273"/>
      <c r="AL633" s="273"/>
      <c r="AM633" s="273"/>
      <c r="AN633" s="273"/>
      <c r="AO633" s="273"/>
      <c r="BL633" s="28"/>
    </row>
    <row r="634" spans="3:76" hidden="1" outlineLevel="1">
      <c r="U634" s="273"/>
      <c r="V634" s="273"/>
      <c r="W634" s="273"/>
      <c r="X634" s="273"/>
      <c r="Y634" s="273"/>
      <c r="Z634" s="273"/>
      <c r="AA634" s="273"/>
      <c r="AB634" s="273"/>
      <c r="AC634" s="273"/>
      <c r="AD634" s="273"/>
      <c r="AE634" s="273"/>
      <c r="AF634" s="273"/>
      <c r="AG634" s="273"/>
      <c r="AH634" s="273"/>
      <c r="AI634" s="273"/>
      <c r="AJ634" s="273"/>
      <c r="AK634" s="273"/>
      <c r="AL634" s="273"/>
      <c r="AM634" s="273"/>
      <c r="AN634" s="273"/>
      <c r="AO634" s="273"/>
      <c r="BL634" s="28"/>
    </row>
    <row r="635" spans="3:76" hidden="1" outlineLevel="1">
      <c r="U635" s="273"/>
      <c r="V635" s="273"/>
      <c r="W635" s="273"/>
      <c r="X635" s="273"/>
      <c r="Y635" s="273"/>
      <c r="Z635" s="273"/>
      <c r="AA635" s="273"/>
      <c r="AB635" s="273"/>
      <c r="AC635" s="273"/>
      <c r="AD635" s="273"/>
      <c r="AE635" s="273"/>
      <c r="AF635" s="273"/>
      <c r="AG635" s="273"/>
      <c r="AH635" s="273"/>
      <c r="AI635" s="273"/>
      <c r="AJ635" s="273"/>
      <c r="AK635" s="273"/>
      <c r="AL635" s="273"/>
      <c r="AM635" s="273"/>
      <c r="AN635" s="273"/>
      <c r="AO635" s="273"/>
      <c r="BL635" s="28"/>
    </row>
    <row r="636" spans="3:76" ht="18" hidden="1" outlineLevel="1">
      <c r="C636" s="19" t="s">
        <v>223</v>
      </c>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L636" s="28"/>
    </row>
    <row r="637" spans="3:76" ht="16.5" hidden="1" outlineLevel="1">
      <c r="C637" s="5"/>
      <c r="D637" s="1"/>
      <c r="E637" s="2"/>
      <c r="BL637" s="28"/>
    </row>
    <row r="638" spans="3:76" hidden="1" outlineLevel="1">
      <c r="BL638" s="28"/>
    </row>
    <row r="639" spans="3:76" s="28" customFormat="1" ht="17.100000000000001" hidden="1" customHeight="1" outlineLevel="1">
      <c r="C639" s="302"/>
      <c r="D639" s="31"/>
      <c r="F639" s="31"/>
      <c r="G639" s="31"/>
      <c r="H639" s="31"/>
      <c r="I639" s="31"/>
      <c r="J639" s="31"/>
      <c r="K639" s="31"/>
      <c r="L639" s="31"/>
      <c r="M639" s="31"/>
      <c r="N639" s="31"/>
      <c r="O639" s="31"/>
      <c r="Q639" s="261" t="s">
        <v>214</v>
      </c>
      <c r="R639" s="31"/>
      <c r="S639" s="1617" t="str">
        <f>S621</f>
        <v>Verdichter 1</v>
      </c>
      <c r="T639" s="1617"/>
      <c r="U639" s="1617"/>
      <c r="V639" s="262"/>
      <c r="W639" s="1617" t="str">
        <f>W621</f>
        <v>Verdichter 2</v>
      </c>
      <c r="X639" s="1617"/>
      <c r="Y639" s="1617"/>
      <c r="Z639" s="262"/>
      <c r="AA639" s="1617" t="str">
        <f>AA621</f>
        <v>Verdichter 3</v>
      </c>
      <c r="AB639" s="1617"/>
      <c r="AC639" s="1617"/>
      <c r="AD639" s="263"/>
      <c r="AE639" s="1617" t="str">
        <f>AE621</f>
        <v>Verdichter 4</v>
      </c>
      <c r="AF639" s="1617"/>
      <c r="AG639" s="1617"/>
      <c r="AH639" s="264"/>
      <c r="AI639" s="1630" t="s">
        <v>123</v>
      </c>
      <c r="AJ639" s="1630"/>
      <c r="AK639" s="1630"/>
      <c r="AL639" s="424"/>
      <c r="AM639" s="424"/>
      <c r="AN639" s="31"/>
      <c r="AO639" s="31"/>
      <c r="AP639" s="31"/>
      <c r="AQ639" s="1617" t="str">
        <f>AQ621</f>
        <v>Verdichter 1</v>
      </c>
      <c r="AR639" s="1617"/>
      <c r="AS639" s="1617"/>
      <c r="AT639" s="262"/>
      <c r="AU639" s="1617" t="str">
        <f>AU621</f>
        <v>Verdichter 2</v>
      </c>
      <c r="AV639" s="1617"/>
      <c r="AW639" s="1617"/>
      <c r="AX639" s="262"/>
      <c r="AY639" s="1617" t="str">
        <f>AY621</f>
        <v>Verdichter 3</v>
      </c>
      <c r="AZ639" s="1617"/>
      <c r="BA639" s="1617"/>
      <c r="BB639" s="263"/>
      <c r="BC639" s="1617" t="str">
        <f>BC621</f>
        <v>Verdichter 4</v>
      </c>
      <c r="BD639" s="1617"/>
      <c r="BE639" s="1617"/>
      <c r="BF639" s="264"/>
      <c r="BG639" s="1630" t="s">
        <v>123</v>
      </c>
      <c r="BH639" s="1630"/>
      <c r="BI639" s="1630"/>
      <c r="BP639" s="31"/>
      <c r="BQ639" s="31"/>
      <c r="BR639" s="31"/>
      <c r="BS639" s="31"/>
      <c r="BT639" s="31"/>
      <c r="BU639" s="31"/>
      <c r="BV639" s="31"/>
      <c r="BW639" s="31"/>
      <c r="BX639" s="31"/>
    </row>
    <row r="640" spans="3:76" s="28" customFormat="1" ht="17.100000000000001" hidden="1" customHeight="1" outlineLevel="1">
      <c r="C640" s="302"/>
      <c r="D640" s="31"/>
      <c r="F640" s="31"/>
      <c r="G640" s="31"/>
      <c r="H640" s="31"/>
      <c r="I640" s="31"/>
      <c r="J640" s="31"/>
      <c r="K640" s="31"/>
      <c r="L640" s="31"/>
      <c r="M640" s="31"/>
      <c r="N640" s="31"/>
      <c r="O640" s="31"/>
      <c r="Q640" s="261" t="s">
        <v>112</v>
      </c>
      <c r="R640" s="31"/>
      <c r="S640" s="1618">
        <f>S622</f>
        <v>0</v>
      </c>
      <c r="T640" s="1618"/>
      <c r="U640" s="1618"/>
      <c r="V640" s="52"/>
      <c r="W640" s="1618">
        <f>W622</f>
        <v>0</v>
      </c>
      <c r="X640" s="1618"/>
      <c r="Y640" s="1618"/>
      <c r="Z640" s="52"/>
      <c r="AA640" s="1618">
        <f>AA622</f>
        <v>0</v>
      </c>
      <c r="AB640" s="1618"/>
      <c r="AC640" s="1618"/>
      <c r="AD640" s="31"/>
      <c r="AE640" s="1618">
        <f>AE622</f>
        <v>0</v>
      </c>
      <c r="AF640" s="1618"/>
      <c r="AG640" s="1618"/>
      <c r="AH640" s="31"/>
      <c r="AI640" s="1618"/>
      <c r="AJ640" s="1618"/>
      <c r="AK640" s="1618"/>
      <c r="AL640" s="409"/>
      <c r="AM640" s="409"/>
      <c r="AN640" s="31"/>
      <c r="AO640" s="31"/>
      <c r="AP640" s="31"/>
      <c r="AQ640" s="1618">
        <f>AQ622</f>
        <v>0</v>
      </c>
      <c r="AR640" s="1618"/>
      <c r="AS640" s="1618"/>
      <c r="AT640" s="52"/>
      <c r="AU640" s="1618">
        <f>AU622</f>
        <v>0</v>
      </c>
      <c r="AV640" s="1618"/>
      <c r="AW640" s="1618"/>
      <c r="AX640" s="52"/>
      <c r="AY640" s="1618">
        <f>AY622</f>
        <v>0</v>
      </c>
      <c r="AZ640" s="1618"/>
      <c r="BA640" s="1618"/>
      <c r="BB640" s="31"/>
      <c r="BC640" s="1618">
        <f>BC622</f>
        <v>0</v>
      </c>
      <c r="BD640" s="1618"/>
      <c r="BE640" s="1618"/>
      <c r="BF640" s="31"/>
      <c r="BG640" s="1618"/>
      <c r="BH640" s="1618"/>
      <c r="BI640" s="1618"/>
      <c r="BP640" s="31"/>
      <c r="BQ640" s="31"/>
      <c r="BR640" s="31"/>
      <c r="BS640" s="31"/>
      <c r="BT640" s="31"/>
      <c r="BU640" s="31"/>
      <c r="BV640" s="31"/>
      <c r="BW640" s="31"/>
      <c r="BX640" s="31"/>
    </row>
    <row r="641" spans="3:76" s="28" customFormat="1" ht="17.100000000000001" hidden="1" customHeight="1" outlineLevel="1">
      <c r="C641" s="302"/>
      <c r="D641" s="31"/>
      <c r="F641" s="31"/>
      <c r="G641" s="31"/>
      <c r="H641" s="31"/>
      <c r="I641" s="31"/>
      <c r="J641" s="31"/>
      <c r="K641" s="31"/>
      <c r="L641" s="31"/>
      <c r="M641" s="31"/>
      <c r="N641" s="31"/>
      <c r="O641" s="31"/>
      <c r="Q641" s="261"/>
      <c r="R641" s="31"/>
      <c r="S641" s="265"/>
      <c r="T641" s="265"/>
      <c r="U641" s="265"/>
      <c r="V641" s="52"/>
      <c r="W641" s="265"/>
      <c r="X641" s="265"/>
      <c r="Y641" s="265"/>
      <c r="Z641" s="52"/>
      <c r="AA641" s="265"/>
      <c r="AB641" s="265"/>
      <c r="AC641" s="265"/>
      <c r="AD641" s="31"/>
      <c r="AE641" s="265"/>
      <c r="AF641" s="265"/>
      <c r="AG641" s="265"/>
      <c r="AH641" s="31"/>
      <c r="AI641" s="265"/>
      <c r="AJ641" s="265"/>
      <c r="AK641" s="265"/>
      <c r="AL641" s="409"/>
      <c r="AM641" s="409"/>
      <c r="AN641" s="31"/>
      <c r="AO641" s="31"/>
      <c r="AP641" s="31"/>
      <c r="AQ641" s="265"/>
      <c r="AR641" s="265"/>
      <c r="AS641" s="265"/>
      <c r="AT641" s="52"/>
      <c r="AU641" s="265"/>
      <c r="AV641" s="265"/>
      <c r="AW641" s="265"/>
      <c r="AX641" s="52"/>
      <c r="AY641" s="265"/>
      <c r="AZ641" s="265"/>
      <c r="BA641" s="265"/>
      <c r="BB641" s="31"/>
      <c r="BC641" s="265"/>
      <c r="BD641" s="265"/>
      <c r="BE641" s="265"/>
      <c r="BF641" s="31"/>
      <c r="BG641" s="265"/>
      <c r="BH641" s="265"/>
      <c r="BI641" s="265"/>
      <c r="BP641" s="31"/>
      <c r="BQ641" s="31"/>
      <c r="BR641" s="31"/>
      <c r="BS641" s="31"/>
      <c r="BT641" s="31"/>
      <c r="BU641" s="31"/>
      <c r="BV641" s="31"/>
      <c r="BW641" s="31"/>
      <c r="BX641" s="31"/>
    </row>
    <row r="642" spans="3:76" s="28" customFormat="1" ht="17.100000000000001" hidden="1" customHeight="1" outlineLevel="1">
      <c r="C642" s="302"/>
      <c r="D642" s="266" t="s">
        <v>112</v>
      </c>
      <c r="E642" s="31"/>
      <c r="F642" s="31"/>
      <c r="G642" s="31"/>
      <c r="H642" s="31"/>
      <c r="I642" s="31"/>
      <c r="J642" s="31"/>
      <c r="K642" s="31"/>
      <c r="L642" s="31"/>
      <c r="M642" s="31"/>
      <c r="N642" s="31"/>
      <c r="O642" s="31"/>
      <c r="Q642" s="261"/>
      <c r="R642" s="31"/>
      <c r="S642" s="265"/>
      <c r="T642" s="265"/>
      <c r="U642" s="265"/>
      <c r="V642" s="52"/>
      <c r="W642" s="265"/>
      <c r="X642" s="265"/>
      <c r="Y642" s="265"/>
      <c r="Z642" s="52"/>
      <c r="AA642" s="265"/>
      <c r="AB642" s="265"/>
      <c r="AC642" s="265"/>
      <c r="AD642" s="31"/>
      <c r="AE642" s="265"/>
      <c r="AF642" s="265"/>
      <c r="AG642" s="265"/>
      <c r="AH642" s="31"/>
      <c r="AI642" s="265"/>
      <c r="AJ642" s="265"/>
      <c r="AK642" s="265"/>
      <c r="AL642" s="409"/>
      <c r="AM642" s="409"/>
      <c r="AN642" s="31"/>
      <c r="AO642" s="31"/>
      <c r="AP642" s="31"/>
      <c r="AQ642" s="265"/>
      <c r="AR642" s="265"/>
      <c r="AS642" s="265"/>
      <c r="AT642" s="52"/>
      <c r="AU642" s="265"/>
      <c r="AV642" s="265"/>
      <c r="AW642" s="265"/>
      <c r="AX642" s="52"/>
      <c r="AY642" s="265"/>
      <c r="AZ642" s="265"/>
      <c r="BA642" s="265"/>
      <c r="BB642" s="31"/>
      <c r="BC642" s="265"/>
      <c r="BD642" s="265"/>
      <c r="BE642" s="265"/>
      <c r="BF642" s="31"/>
      <c r="BG642" s="265"/>
      <c r="BH642" s="265"/>
      <c r="BI642" s="265"/>
      <c r="BP642" s="31"/>
      <c r="BQ642" s="31"/>
      <c r="BR642" s="31"/>
      <c r="BS642" s="31"/>
      <c r="BT642" s="31"/>
      <c r="BU642" s="31"/>
      <c r="BV642" s="31"/>
      <c r="BW642" s="31"/>
      <c r="BX642" s="31"/>
    </row>
    <row r="643" spans="3:76" s="28" customFormat="1" ht="17.100000000000001" hidden="1" customHeight="1" outlineLevel="1">
      <c r="C643" s="302"/>
      <c r="D643" s="31"/>
      <c r="E643" s="31"/>
      <c r="F643" s="31"/>
      <c r="G643" s="31"/>
      <c r="H643" s="31"/>
      <c r="I643" s="31"/>
      <c r="J643" s="31"/>
      <c r="K643" s="31"/>
      <c r="L643" s="31"/>
      <c r="M643" s="31"/>
      <c r="N643" s="31"/>
      <c r="O643" s="31"/>
      <c r="Q643" s="31"/>
      <c r="R643" s="31"/>
      <c r="S643" s="265"/>
      <c r="T643" s="265"/>
      <c r="U643" s="265"/>
      <c r="V643" s="52"/>
      <c r="W643" s="265"/>
      <c r="X643" s="265"/>
      <c r="Y643" s="265"/>
      <c r="Z643" s="52"/>
      <c r="AA643" s="265"/>
      <c r="AB643" s="265"/>
      <c r="AC643" s="265"/>
      <c r="AD643" s="31"/>
      <c r="AE643" s="265"/>
      <c r="AF643" s="265"/>
      <c r="AG643" s="265"/>
      <c r="AH643" s="31"/>
      <c r="AI643" s="265"/>
      <c r="AJ643" s="265"/>
      <c r="AK643" s="265"/>
      <c r="AL643" s="409"/>
      <c r="AM643" s="409"/>
      <c r="AN643" s="242"/>
      <c r="AO643" s="242"/>
      <c r="AP643" s="242"/>
      <c r="AQ643" s="265"/>
      <c r="AR643" s="265"/>
      <c r="AS643" s="265"/>
      <c r="AT643" s="52"/>
      <c r="AU643" s="265"/>
      <c r="AV643" s="265"/>
      <c r="AW643" s="265"/>
      <c r="AX643" s="52"/>
      <c r="AY643" s="265"/>
      <c r="AZ643" s="265"/>
      <c r="BA643" s="265"/>
      <c r="BB643" s="31"/>
      <c r="BC643" s="265"/>
      <c r="BD643" s="265"/>
      <c r="BE643" s="265"/>
      <c r="BF643" s="31"/>
      <c r="BG643" s="265"/>
      <c r="BH643" s="265"/>
      <c r="BI643" s="265"/>
      <c r="BP643" s="31"/>
      <c r="BQ643" s="31"/>
      <c r="BR643" s="31"/>
      <c r="BS643" s="31"/>
      <c r="BT643" s="31"/>
      <c r="BU643" s="31"/>
      <c r="BV643" s="31"/>
      <c r="BW643" s="31"/>
      <c r="BX643" s="31"/>
    </row>
    <row r="644" spans="3:76" s="28" customFormat="1" ht="17.100000000000001" hidden="1" customHeight="1" outlineLevel="1">
      <c r="C644" s="489"/>
      <c r="D644" s="241" t="str">
        <f>D630</f>
        <v>Frequenzumformer</v>
      </c>
      <c r="E644" s="241"/>
      <c r="F644" s="241"/>
      <c r="G644" s="241"/>
      <c r="H644" s="241"/>
      <c r="I644" s="241"/>
      <c r="J644" s="241"/>
      <c r="K644" s="241"/>
      <c r="L644" s="241"/>
      <c r="M644" s="241"/>
      <c r="N644" s="241"/>
      <c r="O644" s="1642"/>
      <c r="P644" s="1642"/>
      <c r="Q644" s="1642"/>
      <c r="R644" s="31"/>
      <c r="S644" s="1633">
        <f>IF($D644=S$640,S56,0)</f>
        <v>0</v>
      </c>
      <c r="T644" s="1633"/>
      <c r="U644" s="1633"/>
      <c r="V644" s="274"/>
      <c r="W644" s="1633">
        <f>IF($D644=W$640,S58,0)</f>
        <v>0</v>
      </c>
      <c r="X644" s="1633"/>
      <c r="Y644" s="1633"/>
      <c r="Z644" s="274"/>
      <c r="AA644" s="1633">
        <f>IF($D644=AA$640,S60,0)</f>
        <v>0</v>
      </c>
      <c r="AB644" s="1633"/>
      <c r="AC644" s="1633"/>
      <c r="AD644" s="274"/>
      <c r="AE644" s="1633">
        <f>IF($D644=AE$640,S62,0)</f>
        <v>0</v>
      </c>
      <c r="AF644" s="1633"/>
      <c r="AG644" s="1633"/>
      <c r="AH644" s="275"/>
      <c r="AI644" s="1649"/>
      <c r="AJ644" s="1649"/>
      <c r="AK644" s="1649"/>
      <c r="AL644" s="435"/>
      <c r="AM644" s="435"/>
      <c r="AN644" s="242"/>
      <c r="AO644" s="242"/>
      <c r="AP644" s="242"/>
      <c r="AQ644" s="1634">
        <f>IF($D644=AQ$640,AQ56,0)</f>
        <v>0</v>
      </c>
      <c r="AR644" s="1634"/>
      <c r="AS644" s="1634"/>
      <c r="AT644" s="276"/>
      <c r="AU644" s="1634">
        <f>IF($D644=AU$640,AQ58,0)</f>
        <v>0</v>
      </c>
      <c r="AV644" s="1634"/>
      <c r="AW644" s="1634"/>
      <c r="AX644" s="276"/>
      <c r="AY644" s="1634">
        <f>IF($D644=AY$640,AQ60,0)</f>
        <v>0</v>
      </c>
      <c r="AZ644" s="1634"/>
      <c r="BA644" s="1634"/>
      <c r="BB644" s="276"/>
      <c r="BC644" s="1634">
        <f>IF($D644=BC$640,AQ62,0)</f>
        <v>0</v>
      </c>
      <c r="BD644" s="1634"/>
      <c r="BE644" s="1634"/>
      <c r="BF644" s="277"/>
      <c r="BG644" s="1649"/>
      <c r="BH644" s="1649"/>
      <c r="BI644" s="1649"/>
      <c r="BP644" s="31"/>
      <c r="BQ644" s="31"/>
      <c r="BR644" s="31"/>
      <c r="BS644" s="31"/>
      <c r="BT644" s="31"/>
      <c r="BU644" s="31"/>
      <c r="BV644" s="31"/>
      <c r="BW644" s="31"/>
      <c r="BX644" s="31"/>
    </row>
    <row r="645" spans="3:76" s="28" customFormat="1" ht="17.100000000000001" hidden="1" customHeight="1" outlineLevel="1">
      <c r="C645" s="489"/>
      <c r="D645" s="241" t="str">
        <f>D631</f>
        <v>Frequenzumformer mit Speicher</v>
      </c>
      <c r="E645" s="241"/>
      <c r="F645" s="241"/>
      <c r="G645" s="241"/>
      <c r="H645" s="241"/>
      <c r="I645" s="241"/>
      <c r="J645" s="241"/>
      <c r="K645" s="241"/>
      <c r="L645" s="241"/>
      <c r="M645" s="241"/>
      <c r="N645" s="241"/>
      <c r="O645" s="241"/>
      <c r="P645" s="241"/>
      <c r="Q645" s="241"/>
      <c r="R645" s="31"/>
      <c r="S645" s="1633">
        <f>IF($D645=S$640,S56,0)</f>
        <v>0</v>
      </c>
      <c r="T645" s="1633"/>
      <c r="U645" s="1633"/>
      <c r="V645" s="274"/>
      <c r="W645" s="1633">
        <f>IF($D645=W$640,S626,0)</f>
        <v>0</v>
      </c>
      <c r="X645" s="1633"/>
      <c r="Y645" s="1633"/>
      <c r="Z645" s="274"/>
      <c r="AA645" s="1633">
        <f>IF($D645=AA$640,S60,0)</f>
        <v>0</v>
      </c>
      <c r="AB645" s="1633"/>
      <c r="AC645" s="1633"/>
      <c r="AD645" s="274"/>
      <c r="AE645" s="1633">
        <f>IF($D645=AE$640,S62,0)</f>
        <v>0</v>
      </c>
      <c r="AF645" s="1633"/>
      <c r="AG645" s="1633"/>
      <c r="AH645" s="275"/>
      <c r="AI645" s="1649"/>
      <c r="AJ645" s="1649"/>
      <c r="AK645" s="1649"/>
      <c r="AL645" s="435"/>
      <c r="AM645" s="435"/>
      <c r="AN645" s="242"/>
      <c r="AO645" s="242"/>
      <c r="AP645" s="242"/>
      <c r="AQ645" s="1634">
        <f>IF($D645=AQ$640,AQ56,0)</f>
        <v>0</v>
      </c>
      <c r="AR645" s="1634"/>
      <c r="AS645" s="1634"/>
      <c r="AT645" s="276"/>
      <c r="AU645" s="1634">
        <f>IF($D645=AU$640,AQ626,0)</f>
        <v>0</v>
      </c>
      <c r="AV645" s="1634"/>
      <c r="AW645" s="1634"/>
      <c r="AX645" s="276"/>
      <c r="AY645" s="1634">
        <f>IF($D645=AY$640,AQ60,0)</f>
        <v>0</v>
      </c>
      <c r="AZ645" s="1634"/>
      <c r="BA645" s="1634"/>
      <c r="BB645" s="276"/>
      <c r="BC645" s="1634">
        <f>IF($D645=BC$640,AQ62,0)</f>
        <v>0</v>
      </c>
      <c r="BD645" s="1634"/>
      <c r="BE645" s="1634"/>
      <c r="BF645" s="277"/>
      <c r="BG645" s="1649"/>
      <c r="BH645" s="1649"/>
      <c r="BI645" s="1649"/>
      <c r="BP645" s="31"/>
      <c r="BQ645" s="31"/>
      <c r="BR645" s="31"/>
      <c r="BS645" s="31"/>
      <c r="BT645" s="31"/>
      <c r="BU645" s="31"/>
      <c r="BV645" s="31"/>
      <c r="BW645" s="31"/>
      <c r="BX645" s="31"/>
    </row>
    <row r="646" spans="3:76" s="55" customFormat="1" ht="17.100000000000001" hidden="1" customHeight="1" outlineLevel="1">
      <c r="C646" s="363"/>
      <c r="D646" s="278" t="s">
        <v>224</v>
      </c>
      <c r="E646" s="278"/>
      <c r="F646" s="278"/>
      <c r="G646" s="278"/>
      <c r="H646" s="278"/>
      <c r="I646" s="278"/>
      <c r="J646" s="278"/>
      <c r="K646" s="278"/>
      <c r="L646" s="278"/>
      <c r="M646" s="278"/>
      <c r="N646" s="278"/>
      <c r="O646" s="279"/>
      <c r="P646" s="280" t="s">
        <v>228</v>
      </c>
      <c r="Q646" s="279"/>
      <c r="R646" s="31"/>
      <c r="S646" s="1627">
        <f>SUM(S644:U645)</f>
        <v>0</v>
      </c>
      <c r="T646" s="1627"/>
      <c r="U646" s="1627"/>
      <c r="V646" s="281"/>
      <c r="W646" s="1627">
        <f>SUM(W644:Y645)</f>
        <v>0</v>
      </c>
      <c r="X646" s="1627"/>
      <c r="Y646" s="1627"/>
      <c r="Z646" s="281"/>
      <c r="AA646" s="1627">
        <f>SUM(AA644:AC645)</f>
        <v>0</v>
      </c>
      <c r="AB646" s="1627"/>
      <c r="AC646" s="1627"/>
      <c r="AD646" s="281"/>
      <c r="AE646" s="1627">
        <f>SUM(AE644:AG645)</f>
        <v>0</v>
      </c>
      <c r="AF646" s="1627"/>
      <c r="AG646" s="1627"/>
      <c r="AH646" s="282"/>
      <c r="AI646" s="1628">
        <f>S646+W646+AA646+AE646</f>
        <v>0</v>
      </c>
      <c r="AJ646" s="1628"/>
      <c r="AK646" s="1628"/>
      <c r="AL646" s="436"/>
      <c r="AM646" s="436"/>
      <c r="AN646" s="283"/>
      <c r="AO646" s="283"/>
      <c r="AP646" s="283"/>
      <c r="AQ646" s="1629">
        <f>SUM(AQ644:AS645)</f>
        <v>0</v>
      </c>
      <c r="AR646" s="1629"/>
      <c r="AS646" s="1629"/>
      <c r="AT646" s="284"/>
      <c r="AU646" s="1629">
        <f>SUM(AU644:AW645)</f>
        <v>0</v>
      </c>
      <c r="AV646" s="1629"/>
      <c r="AW646" s="1629"/>
      <c r="AX646" s="284"/>
      <c r="AY646" s="1629">
        <f>SUM(AY644:BA645)</f>
        <v>0</v>
      </c>
      <c r="AZ646" s="1629"/>
      <c r="BA646" s="1629"/>
      <c r="BB646" s="284"/>
      <c r="BC646" s="1629">
        <f>SUM(BC644:BE645)</f>
        <v>0</v>
      </c>
      <c r="BD646" s="1629"/>
      <c r="BE646" s="1629"/>
      <c r="BF646" s="285"/>
      <c r="BG646" s="1628">
        <f>AQ646+AU646+AY646+BC646</f>
        <v>0</v>
      </c>
      <c r="BH646" s="1628"/>
      <c r="BI646" s="1628"/>
      <c r="BL646" s="28"/>
      <c r="BP646" s="31"/>
      <c r="BQ646" s="31"/>
      <c r="BR646" s="31"/>
      <c r="BS646" s="31"/>
      <c r="BT646" s="31"/>
      <c r="BU646" s="31"/>
      <c r="BV646" s="31"/>
      <c r="BW646" s="31"/>
      <c r="BX646" s="31"/>
    </row>
    <row r="647" spans="3:76" s="61" customFormat="1" ht="17.100000000000001" hidden="1" customHeight="1" outlineLevel="1">
      <c r="C647" s="62"/>
      <c r="D647" s="286" t="s">
        <v>227</v>
      </c>
      <c r="E647" s="286"/>
      <c r="F647" s="286"/>
      <c r="G647" s="286"/>
      <c r="H647" s="286"/>
      <c r="I647" s="286"/>
      <c r="J647" s="286"/>
      <c r="K647" s="286"/>
      <c r="L647" s="286"/>
      <c r="M647" s="286"/>
      <c r="N647" s="286"/>
      <c r="O647" s="287"/>
      <c r="P647" s="288" t="s">
        <v>228</v>
      </c>
      <c r="Q647" s="287"/>
      <c r="R647" s="31"/>
      <c r="S647" s="1646">
        <f>IF(S646=$AI647,S646,0)</f>
        <v>0</v>
      </c>
      <c r="T647" s="1646"/>
      <c r="U647" s="1646"/>
      <c r="V647" s="289"/>
      <c r="W647" s="1646">
        <f>IF($S647&gt;0,0,IF(W646=$AI647,W646,0))</f>
        <v>0</v>
      </c>
      <c r="X647" s="1646"/>
      <c r="Y647" s="1646"/>
      <c r="Z647" s="289"/>
      <c r="AA647" s="1646">
        <f>IF($S647&gt;0,0,IF(AA646=$AI647,AA646,0))</f>
        <v>0</v>
      </c>
      <c r="AB647" s="1646"/>
      <c r="AC647" s="1646"/>
      <c r="AD647" s="289"/>
      <c r="AE647" s="1646">
        <f>IF($S647&gt;0,0,IF(AE646=$AI647,AE646,0))</f>
        <v>0</v>
      </c>
      <c r="AF647" s="1646"/>
      <c r="AG647" s="1646"/>
      <c r="AH647" s="290"/>
      <c r="AI647" s="1650">
        <f>MAX(S646:AG646)</f>
        <v>0</v>
      </c>
      <c r="AJ647" s="1650"/>
      <c r="AK647" s="1650"/>
      <c r="AL647" s="437"/>
      <c r="AM647" s="437"/>
      <c r="AN647" s="283"/>
      <c r="AO647" s="283"/>
      <c r="AP647" s="283"/>
      <c r="AQ647" s="1648">
        <f>IF(AQ646=$BG647,AQ646,0)</f>
        <v>0</v>
      </c>
      <c r="AR647" s="1648"/>
      <c r="AS647" s="1648"/>
      <c r="AT647" s="291"/>
      <c r="AU647" s="1648">
        <f>IF($AQ647&gt;0,0,IF(AU646=$BG647,AU646,0))</f>
        <v>0</v>
      </c>
      <c r="AV647" s="1648"/>
      <c r="AW647" s="1648"/>
      <c r="AX647" s="291"/>
      <c r="AY647" s="1648">
        <f>IF($AQ647&gt;0,0,IF(AY646=$BG647,AY646,0))</f>
        <v>0</v>
      </c>
      <c r="AZ647" s="1648"/>
      <c r="BA647" s="1648"/>
      <c r="BB647" s="291"/>
      <c r="BC647" s="1648">
        <f>IF($AQ647&gt;0,0,IF(BC646=$BG647,BC646,0))</f>
        <v>0</v>
      </c>
      <c r="BD647" s="1648"/>
      <c r="BE647" s="1648"/>
      <c r="BF647" s="292"/>
      <c r="BG647" s="1650">
        <f>MAX(AQ646:BE646)</f>
        <v>0</v>
      </c>
      <c r="BH647" s="1650"/>
      <c r="BI647" s="1650"/>
      <c r="BL647" s="28"/>
      <c r="BP647" s="31"/>
      <c r="BQ647" s="31"/>
      <c r="BR647" s="31"/>
      <c r="BS647" s="31"/>
      <c r="BT647" s="31"/>
      <c r="BU647" s="31"/>
      <c r="BV647" s="31"/>
      <c r="BW647" s="31"/>
      <c r="BX647" s="31"/>
    </row>
    <row r="648" spans="3:76" s="61" customFormat="1" ht="17.100000000000001" hidden="1" customHeight="1" outlineLevel="1">
      <c r="C648" s="62"/>
      <c r="D648" s="286" t="s">
        <v>225</v>
      </c>
      <c r="E648" s="286"/>
      <c r="F648" s="286"/>
      <c r="G648" s="286"/>
      <c r="H648" s="286"/>
      <c r="I648" s="286"/>
      <c r="J648" s="286"/>
      <c r="K648" s="286"/>
      <c r="L648" s="286"/>
      <c r="M648" s="286"/>
      <c r="N648" s="286"/>
      <c r="O648" s="293"/>
      <c r="P648" s="293" t="s">
        <v>228</v>
      </c>
      <c r="Q648" s="293"/>
      <c r="R648" s="31"/>
      <c r="S648" s="1646"/>
      <c r="T648" s="1646"/>
      <c r="U648" s="1646"/>
      <c r="V648" s="294"/>
      <c r="W648" s="1646"/>
      <c r="X648" s="1646"/>
      <c r="Y648" s="1646"/>
      <c r="Z648" s="294"/>
      <c r="AA648" s="1646"/>
      <c r="AB648" s="1646"/>
      <c r="AC648" s="1646"/>
      <c r="AD648" s="294"/>
      <c r="AE648" s="1646"/>
      <c r="AF648" s="1646"/>
      <c r="AG648" s="1646"/>
      <c r="AH648" s="295"/>
      <c r="AI648" s="1651">
        <f>IF(S50=4,(S56+S58+S60+S62),IF(S50=3,(S56+S58+S60),IF(S50=2,(S56+S58),S56)))</f>
        <v>0</v>
      </c>
      <c r="AJ648" s="1651"/>
      <c r="AK648" s="1651"/>
      <c r="AL648" s="437"/>
      <c r="AM648" s="437"/>
      <c r="AN648" s="283"/>
      <c r="AO648" s="283"/>
      <c r="AP648" s="283"/>
      <c r="AQ648" s="1648"/>
      <c r="AR648" s="1648"/>
      <c r="AS648" s="1648"/>
      <c r="AT648" s="296"/>
      <c r="AU648" s="1648"/>
      <c r="AV648" s="1648"/>
      <c r="AW648" s="1648"/>
      <c r="AX648" s="296"/>
      <c r="AY648" s="1648"/>
      <c r="AZ648" s="1648"/>
      <c r="BA648" s="1648"/>
      <c r="BB648" s="296"/>
      <c r="BC648" s="1648"/>
      <c r="BD648" s="1648"/>
      <c r="BE648" s="1648"/>
      <c r="BF648" s="297"/>
      <c r="BG648" s="1651">
        <f>IF(AQ50=4,(AQ56+AQ58+AQ60+AQ62),IF(AQ50=3,(AQ56+AQ58+AQ60),IF(AQ50=2,(AQ56+AQ58),AQ56)))</f>
        <v>0</v>
      </c>
      <c r="BH648" s="1651"/>
      <c r="BI648" s="1651"/>
      <c r="BL648" s="28"/>
      <c r="BP648" s="31"/>
      <c r="BQ648" s="31"/>
      <c r="BR648" s="31"/>
      <c r="BS648" s="31"/>
      <c r="BT648" s="31"/>
      <c r="BU648" s="31"/>
      <c r="BV648" s="31"/>
      <c r="BW648" s="31"/>
      <c r="BX648" s="31"/>
    </row>
    <row r="649" spans="3:76" s="61" customFormat="1" ht="17.100000000000001" hidden="1" customHeight="1" outlineLevel="1">
      <c r="C649" s="62"/>
      <c r="D649" s="286" t="s">
        <v>226</v>
      </c>
      <c r="E649" s="286"/>
      <c r="F649" s="286"/>
      <c r="G649" s="286"/>
      <c r="H649" s="286"/>
      <c r="I649" s="286"/>
      <c r="J649" s="286"/>
      <c r="K649" s="286"/>
      <c r="L649" s="286"/>
      <c r="M649" s="286"/>
      <c r="N649" s="286"/>
      <c r="O649" s="293"/>
      <c r="P649" s="293" t="s">
        <v>30</v>
      </c>
      <c r="Q649" s="293"/>
      <c r="R649" s="31"/>
      <c r="S649" s="1643">
        <f>IF($AI648=0,0,S646/$AI648)</f>
        <v>0</v>
      </c>
      <c r="T649" s="1643"/>
      <c r="U649" s="1643"/>
      <c r="V649" s="294"/>
      <c r="W649" s="1643">
        <f>IF($AI648=0,0,W646/$AI648)</f>
        <v>0</v>
      </c>
      <c r="X649" s="1643"/>
      <c r="Y649" s="1643"/>
      <c r="Z649" s="294"/>
      <c r="AA649" s="1643">
        <f>IF($AI648=0,0,AA646/$AI648)</f>
        <v>0</v>
      </c>
      <c r="AB649" s="1643"/>
      <c r="AC649" s="1643"/>
      <c r="AD649" s="294"/>
      <c r="AE649" s="1643">
        <f>IF($AI648=0,0,AE646/$AI648)</f>
        <v>0</v>
      </c>
      <c r="AF649" s="1643"/>
      <c r="AG649" s="1643"/>
      <c r="AH649" s="295"/>
      <c r="AI649" s="1643">
        <f>IF($AI648=0,0,AI646/$AI648)</f>
        <v>0</v>
      </c>
      <c r="AJ649" s="1643"/>
      <c r="AK649" s="1643"/>
      <c r="AL649" s="438"/>
      <c r="AM649" s="438"/>
      <c r="AN649" s="283"/>
      <c r="AO649" s="283"/>
      <c r="AP649" s="283"/>
      <c r="AQ649" s="1645">
        <f>IF($BG648=0,0,AQ646/$BG648)</f>
        <v>0</v>
      </c>
      <c r="AR649" s="1645"/>
      <c r="AS649" s="1645"/>
      <c r="AT649" s="296"/>
      <c r="AU649" s="1645">
        <f>IF($BG648=0,0,AU646/$BG648)</f>
        <v>0</v>
      </c>
      <c r="AV649" s="1645"/>
      <c r="AW649" s="1645"/>
      <c r="AX649" s="296"/>
      <c r="AY649" s="1645">
        <f>IF($BG648=0,0,AY646/$BG648)</f>
        <v>0</v>
      </c>
      <c r="AZ649" s="1645"/>
      <c r="BA649" s="1645"/>
      <c r="BB649" s="296"/>
      <c r="BC649" s="1645">
        <f>IF($BG648=0,0,BC646/$BG648)</f>
        <v>0</v>
      </c>
      <c r="BD649" s="1645"/>
      <c r="BE649" s="1645"/>
      <c r="BF649" s="297"/>
      <c r="BG649" s="1645">
        <f>IF($BG648=0,0,BG646/$BG648)</f>
        <v>0</v>
      </c>
      <c r="BH649" s="1645"/>
      <c r="BI649" s="1645"/>
      <c r="BL649" s="28"/>
      <c r="BP649" s="31"/>
      <c r="BQ649" s="31"/>
      <c r="BR649" s="31"/>
      <c r="BS649" s="31"/>
      <c r="BT649" s="31"/>
      <c r="BU649" s="31"/>
      <c r="BV649" s="31"/>
      <c r="BW649" s="31"/>
      <c r="BX649" s="31"/>
    </row>
    <row r="650" spans="3:76" s="61" customFormat="1" ht="17.100000000000001" hidden="1" customHeight="1" outlineLevel="1">
      <c r="C650" s="62"/>
      <c r="D650" s="286"/>
      <c r="E650" s="286"/>
      <c r="F650" s="286"/>
      <c r="G650" s="286"/>
      <c r="H650" s="286"/>
      <c r="I650" s="286"/>
      <c r="J650" s="286"/>
      <c r="K650" s="286"/>
      <c r="L650" s="286"/>
      <c r="M650" s="286"/>
      <c r="N650" s="286"/>
      <c r="O650" s="293"/>
      <c r="P650" s="293"/>
      <c r="Q650" s="293"/>
      <c r="R650" s="31"/>
      <c r="S650" s="298"/>
      <c r="T650" s="298"/>
      <c r="U650" s="298"/>
      <c r="V650" s="294"/>
      <c r="W650" s="298"/>
      <c r="X650" s="298"/>
      <c r="Y650" s="298"/>
      <c r="Z650" s="294"/>
      <c r="AA650" s="298"/>
      <c r="AB650" s="298"/>
      <c r="AC650" s="298"/>
      <c r="AD650" s="294"/>
      <c r="AE650" s="298"/>
      <c r="AF650" s="298"/>
      <c r="AG650" s="298"/>
      <c r="AH650" s="295"/>
      <c r="AI650" s="299"/>
      <c r="AJ650" s="299"/>
      <c r="AK650" s="299"/>
      <c r="AL650" s="439"/>
      <c r="AM650" s="439"/>
      <c r="AN650" s="283"/>
      <c r="AO650" s="283"/>
      <c r="AP650" s="283"/>
      <c r="AQ650" s="300"/>
      <c r="AR650" s="300"/>
      <c r="AS650" s="300"/>
      <c r="AT650" s="296"/>
      <c r="AU650" s="300"/>
      <c r="AV650" s="300"/>
      <c r="AW650" s="300"/>
      <c r="AX650" s="296"/>
      <c r="AY650" s="300"/>
      <c r="AZ650" s="300"/>
      <c r="BA650" s="300"/>
      <c r="BB650" s="296"/>
      <c r="BC650" s="300"/>
      <c r="BD650" s="300"/>
      <c r="BE650" s="300"/>
      <c r="BF650" s="297"/>
      <c r="BG650" s="299"/>
      <c r="BH650" s="299"/>
      <c r="BI650" s="299"/>
      <c r="BL650" s="28"/>
      <c r="BP650" s="31"/>
      <c r="BQ650" s="31"/>
      <c r="BR650" s="31"/>
      <c r="BS650" s="31"/>
      <c r="BT650" s="31"/>
      <c r="BU650" s="31"/>
      <c r="BV650" s="31"/>
      <c r="BW650" s="31"/>
      <c r="BX650" s="31"/>
    </row>
    <row r="651" spans="3:76" s="61" customFormat="1" ht="17.100000000000001" hidden="1" customHeight="1" outlineLevel="1">
      <c r="C651" s="62"/>
      <c r="D651" s="286" t="s">
        <v>758</v>
      </c>
      <c r="E651" s="286"/>
      <c r="F651" s="286"/>
      <c r="G651" s="286"/>
      <c r="H651" s="286"/>
      <c r="I651" s="286"/>
      <c r="J651" s="286"/>
      <c r="K651" s="286"/>
      <c r="L651" s="286"/>
      <c r="M651" s="286"/>
      <c r="N651" s="286"/>
      <c r="O651" s="1641">
        <v>0.08</v>
      </c>
      <c r="P651" s="1641"/>
      <c r="Q651" s="1641"/>
      <c r="R651" s="31"/>
      <c r="S651" s="1643">
        <f>IF(S647&gt;0,$O651,0)</f>
        <v>0</v>
      </c>
      <c r="T651" s="1643"/>
      <c r="U651" s="1643"/>
      <c r="V651" s="294"/>
      <c r="W651" s="1643">
        <f>IF(W647&gt;0,$O651,0)</f>
        <v>0</v>
      </c>
      <c r="X651" s="1643"/>
      <c r="Y651" s="1643"/>
      <c r="Z651" s="294"/>
      <c r="AA651" s="1643">
        <f>IF(AA647&gt;0,$O651,0)</f>
        <v>0</v>
      </c>
      <c r="AB651" s="1643"/>
      <c r="AC651" s="1643"/>
      <c r="AD651" s="294"/>
      <c r="AE651" s="1643">
        <f>IF(AE647&gt;0,$O651,0)</f>
        <v>0</v>
      </c>
      <c r="AF651" s="1643"/>
      <c r="AG651" s="1643"/>
      <c r="AH651" s="295"/>
      <c r="AI651" s="1644"/>
      <c r="AJ651" s="1644"/>
      <c r="AK651" s="1644"/>
      <c r="AL651" s="439"/>
      <c r="AM651" s="439"/>
      <c r="AN651" s="283"/>
      <c r="AO651" s="283"/>
      <c r="AP651" s="283"/>
      <c r="AQ651" s="1645">
        <f>IF(AQ647&gt;0,$O651,0)</f>
        <v>0</v>
      </c>
      <c r="AR651" s="1645"/>
      <c r="AS651" s="1645"/>
      <c r="AT651" s="296"/>
      <c r="AU651" s="1645">
        <f>IF(AU647&gt;0,$O651,0)</f>
        <v>0</v>
      </c>
      <c r="AV651" s="1645"/>
      <c r="AW651" s="1645"/>
      <c r="AX651" s="296"/>
      <c r="AY651" s="1645">
        <f>IF(AY647&gt;0,$O651,0)</f>
        <v>0</v>
      </c>
      <c r="AZ651" s="1645"/>
      <c r="BA651" s="1645"/>
      <c r="BB651" s="296"/>
      <c r="BC651" s="1645">
        <f>IF(BC647&gt;0,$O651,0)</f>
        <v>0</v>
      </c>
      <c r="BD651" s="1645"/>
      <c r="BE651" s="1645"/>
      <c r="BF651" s="297"/>
      <c r="BG651" s="1644"/>
      <c r="BH651" s="1644"/>
      <c r="BI651" s="1644"/>
      <c r="BL651" s="28"/>
      <c r="BP651" s="31"/>
      <c r="BQ651" s="31"/>
      <c r="BR651" s="31"/>
      <c r="BS651" s="31"/>
      <c r="BT651" s="31"/>
      <c r="BU651" s="31"/>
      <c r="BV651" s="31"/>
      <c r="BW651" s="31"/>
      <c r="BX651" s="31"/>
    </row>
    <row r="652" spans="3:76" s="61" customFormat="1" ht="17.100000000000001" hidden="1" customHeight="1" outlineLevel="1">
      <c r="C652" s="62"/>
      <c r="D652" s="286" t="s">
        <v>230</v>
      </c>
      <c r="E652" s="286"/>
      <c r="F652" s="286"/>
      <c r="G652" s="286"/>
      <c r="H652" s="286"/>
      <c r="I652" s="286"/>
      <c r="J652" s="286"/>
      <c r="K652" s="286"/>
      <c r="L652" s="286"/>
      <c r="M652" s="286"/>
      <c r="N652" s="286"/>
      <c r="O652" s="1637"/>
      <c r="P652" s="1637"/>
      <c r="Q652" s="1637"/>
      <c r="R652" s="31"/>
      <c r="S652" s="1638">
        <f>S649*S651</f>
        <v>0</v>
      </c>
      <c r="T652" s="1638"/>
      <c r="U652" s="1638"/>
      <c r="V652" s="294"/>
      <c r="W652" s="1638">
        <f>W649*W651</f>
        <v>0</v>
      </c>
      <c r="X652" s="1638"/>
      <c r="Y652" s="1638"/>
      <c r="Z652" s="294"/>
      <c r="AA652" s="1638">
        <f>AA649*AA651</f>
        <v>0</v>
      </c>
      <c r="AB652" s="1638"/>
      <c r="AC652" s="1638"/>
      <c r="AD652" s="294"/>
      <c r="AE652" s="1638">
        <f>AE649*AE651</f>
        <v>0</v>
      </c>
      <c r="AF652" s="1638"/>
      <c r="AG652" s="1638"/>
      <c r="AH652" s="295"/>
      <c r="AI652" s="1639">
        <f>SUM(S652:AG652)</f>
        <v>0</v>
      </c>
      <c r="AJ652" s="1639"/>
      <c r="AK652" s="1639"/>
      <c r="AL652" s="440"/>
      <c r="AM652" s="440"/>
      <c r="AN652" s="283"/>
      <c r="AO652" s="283"/>
      <c r="AP652" s="283"/>
      <c r="AQ652" s="1640">
        <f>AQ649*AQ651</f>
        <v>0</v>
      </c>
      <c r="AR652" s="1640"/>
      <c r="AS652" s="1640"/>
      <c r="AT652" s="296"/>
      <c r="AU652" s="1640">
        <f>AU649*AU651</f>
        <v>0</v>
      </c>
      <c r="AV652" s="1640"/>
      <c r="AW652" s="1640"/>
      <c r="AX652" s="296"/>
      <c r="AY652" s="1640">
        <f>AY649*AY651</f>
        <v>0</v>
      </c>
      <c r="AZ652" s="1640"/>
      <c r="BA652" s="1640"/>
      <c r="BB652" s="296"/>
      <c r="BC652" s="1640">
        <f>BC649*BC651</f>
        <v>0</v>
      </c>
      <c r="BD652" s="1640"/>
      <c r="BE652" s="1640"/>
      <c r="BF652" s="297"/>
      <c r="BG652" s="1639">
        <f>SUM(AQ652:BE652)</f>
        <v>0</v>
      </c>
      <c r="BH652" s="1639"/>
      <c r="BI652" s="1639"/>
      <c r="BL652" s="28"/>
      <c r="BP652" s="31"/>
      <c r="BQ652" s="31"/>
      <c r="BR652" s="31"/>
      <c r="BS652" s="31"/>
      <c r="BT652" s="31"/>
      <c r="BU652" s="31"/>
      <c r="BV652" s="31"/>
      <c r="BW652" s="31"/>
      <c r="BX652" s="31"/>
    </row>
    <row r="653" spans="3:76" hidden="1" outlineLevel="1">
      <c r="AI653" s="301"/>
      <c r="AJ653" s="301"/>
      <c r="AK653" s="301"/>
      <c r="AL653" s="301"/>
      <c r="AM653" s="301"/>
      <c r="AN653" s="283"/>
      <c r="AO653" s="283"/>
      <c r="AP653" s="283"/>
      <c r="AQ653" s="301"/>
      <c r="AR653" s="301"/>
      <c r="AS653" s="301"/>
      <c r="AT653" s="301"/>
      <c r="AU653" s="301"/>
      <c r="AV653" s="301"/>
      <c r="AW653" s="301"/>
      <c r="AX653" s="301"/>
      <c r="AY653" s="301"/>
      <c r="AZ653" s="301"/>
      <c r="BA653" s="301"/>
      <c r="BB653" s="301"/>
      <c r="BC653" s="301"/>
      <c r="BD653" s="301"/>
      <c r="BE653" s="301"/>
      <c r="BF653" s="301"/>
      <c r="BG653" s="301"/>
      <c r="BH653" s="301"/>
      <c r="BI653" s="301"/>
      <c r="BL653" s="28"/>
    </row>
    <row r="654" spans="3:76" hidden="1" outlineLevel="1">
      <c r="AN654" s="242"/>
      <c r="AO654" s="242"/>
      <c r="AP654" s="242"/>
      <c r="BL654" s="28"/>
    </row>
    <row r="655" spans="3:76" hidden="1" outlineLevel="1">
      <c r="AN655" s="242"/>
      <c r="AO655" s="242"/>
      <c r="AP655" s="242"/>
      <c r="BL655" s="28"/>
    </row>
    <row r="656" spans="3:76" ht="18" hidden="1" outlineLevel="1">
      <c r="C656" s="19" t="s">
        <v>247</v>
      </c>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L656" s="28"/>
    </row>
    <row r="657" spans="2:76" ht="16.5" hidden="1" outlineLevel="1">
      <c r="C657" s="5"/>
      <c r="D657" s="1"/>
      <c r="E657" s="2"/>
      <c r="BL657" s="28"/>
    </row>
    <row r="658" spans="2:76" hidden="1" outlineLevel="1">
      <c r="BL658" s="28"/>
    </row>
    <row r="659" spans="2:76" s="28" customFormat="1" ht="17.100000000000001" hidden="1" customHeight="1" outlineLevel="1">
      <c r="C659" s="302"/>
      <c r="D659" s="302" t="s">
        <v>248</v>
      </c>
      <c r="E659" s="302"/>
      <c r="F659" s="302"/>
      <c r="G659" s="302"/>
      <c r="H659" s="302" t="s">
        <v>249</v>
      </c>
      <c r="I659" s="302"/>
      <c r="J659" s="302"/>
      <c r="K659" s="31"/>
      <c r="L659" s="31"/>
      <c r="M659" s="31"/>
      <c r="N659" s="31"/>
      <c r="O659" s="31"/>
      <c r="Q659" s="31"/>
      <c r="R659" s="31"/>
      <c r="S659" s="265"/>
      <c r="T659" s="265"/>
      <c r="U659" s="265"/>
      <c r="V659" s="52"/>
      <c r="W659" s="265"/>
      <c r="X659" s="265"/>
      <c r="Y659" s="265"/>
      <c r="Z659" s="52"/>
      <c r="AA659" s="265"/>
      <c r="AB659" s="265"/>
      <c r="AC659" s="265"/>
      <c r="AD659" s="31"/>
      <c r="AE659" s="265"/>
      <c r="AF659" s="265"/>
      <c r="AG659" s="265"/>
      <c r="AH659" s="31"/>
      <c r="AI659" s="265"/>
      <c r="AJ659" s="265"/>
      <c r="AK659" s="265"/>
      <c r="AL659" s="409"/>
      <c r="AM659" s="409"/>
      <c r="AN659" s="242"/>
      <c r="AO659" s="242"/>
      <c r="AP659" s="242"/>
      <c r="AQ659" s="265"/>
      <c r="AR659" s="265"/>
      <c r="AS659" s="265"/>
      <c r="AT659" s="52"/>
      <c r="AU659" s="265"/>
      <c r="AV659" s="265"/>
      <c r="AW659" s="265"/>
      <c r="AX659" s="52"/>
      <c r="AY659" s="265"/>
      <c r="AZ659" s="265"/>
      <c r="BA659" s="265"/>
      <c r="BB659" s="31"/>
      <c r="BC659" s="265"/>
      <c r="BD659" s="265"/>
      <c r="BE659" s="265"/>
      <c r="BF659" s="31"/>
      <c r="BG659" s="265"/>
      <c r="BH659" s="265"/>
      <c r="BI659" s="265"/>
      <c r="BP659" s="31"/>
      <c r="BQ659" s="31"/>
      <c r="BR659" s="31"/>
      <c r="BS659" s="31"/>
      <c r="BT659" s="31"/>
      <c r="BU659" s="31"/>
      <c r="BV659" s="31"/>
      <c r="BW659" s="31"/>
      <c r="BX659" s="31"/>
    </row>
    <row r="660" spans="2:76" s="209" customFormat="1" ht="41.1" hidden="1" customHeight="1" outlineLevel="1">
      <c r="C660" s="522"/>
      <c r="D660" s="1549">
        <v>-0.05</v>
      </c>
      <c r="E660" s="1549"/>
      <c r="F660" s="1549"/>
      <c r="G660" s="303"/>
      <c r="H660" s="1549">
        <f>D661</f>
        <v>-0.2</v>
      </c>
      <c r="I660" s="1549"/>
      <c r="J660" s="1549"/>
      <c r="K660" s="304"/>
      <c r="L660" s="304"/>
      <c r="M660" s="304"/>
      <c r="N660" s="304"/>
      <c r="O660" s="304"/>
      <c r="P660" s="304"/>
      <c r="Q660" s="304"/>
      <c r="R660" s="304"/>
      <c r="S660" s="1551" t="str">
        <f>X!$C$279</f>
        <v xml:space="preserve">Der Planer hat weniger Vollbetriebsstunden eingerechnet, als dass die Standard-Werte für diese Anwendung vorgeben. Dadurch wird der abgeschätzte Energieverbrauch tiefer. </v>
      </c>
      <c r="T660" s="1552"/>
      <c r="U660" s="1552"/>
      <c r="V660" s="1552"/>
      <c r="W660" s="1552"/>
      <c r="X660" s="1552"/>
      <c r="Y660" s="1552"/>
      <c r="Z660" s="1552"/>
      <c r="AA660" s="1552"/>
      <c r="AB660" s="1552"/>
      <c r="AC660" s="1552"/>
      <c r="AD660" s="1552"/>
      <c r="AE660" s="1552"/>
      <c r="AF660" s="1552"/>
      <c r="AG660" s="1552"/>
      <c r="AH660" s="1552"/>
      <c r="AI660" s="1552"/>
      <c r="AJ660" s="1552"/>
      <c r="AK660" s="1552"/>
      <c r="AL660" s="425"/>
      <c r="AM660" s="425"/>
      <c r="AN660" s="305"/>
      <c r="AO660" s="305"/>
      <c r="AP660" s="305"/>
      <c r="AQ660" s="1562" t="str">
        <f>X!$C$281</f>
        <v>Klären Sie mit dem Planer, warum er diese Vollbetriebsstunden gewählt hat.</v>
      </c>
      <c r="AR660" s="1563"/>
      <c r="AS660" s="1563"/>
      <c r="AT660" s="1563"/>
      <c r="AU660" s="1563"/>
      <c r="AV660" s="1563"/>
      <c r="AW660" s="1563"/>
      <c r="AX660" s="1563"/>
      <c r="AY660" s="1563"/>
      <c r="AZ660" s="1563"/>
      <c r="BA660" s="1563"/>
      <c r="BB660" s="1563"/>
      <c r="BC660" s="1563"/>
      <c r="BD660" s="1563"/>
      <c r="BE660" s="1563"/>
      <c r="BF660" s="1563"/>
      <c r="BG660" s="1563"/>
      <c r="BH660" s="1563"/>
      <c r="BI660" s="1563"/>
      <c r="BL660" s="28"/>
      <c r="BP660" s="31"/>
      <c r="BQ660" s="31"/>
      <c r="BR660" s="31"/>
      <c r="BS660" s="31"/>
      <c r="BT660" s="31"/>
      <c r="BU660" s="31"/>
      <c r="BV660" s="31"/>
      <c r="BW660" s="31"/>
      <c r="BX660" s="31"/>
    </row>
    <row r="661" spans="2:76" s="209" customFormat="1" ht="45" hidden="1" customHeight="1" outlineLevel="1">
      <c r="C661" s="522"/>
      <c r="D661" s="1549">
        <v>-0.2</v>
      </c>
      <c r="E661" s="1549"/>
      <c r="F661" s="1549"/>
      <c r="G661" s="303"/>
      <c r="H661" s="1549"/>
      <c r="I661" s="1549"/>
      <c r="J661" s="1549"/>
      <c r="K661" s="304"/>
      <c r="L661" s="304"/>
      <c r="M661" s="304"/>
      <c r="N661" s="304"/>
      <c r="O661" s="304"/>
      <c r="P661" s="304"/>
      <c r="Q661" s="304"/>
      <c r="R661" s="304"/>
      <c r="S661" s="1562" t="str">
        <f>X!$C$280</f>
        <v>Der Planer hat erheblich weniger Vollbetriebsstunden eingerechnet, als dass die Standard-Werte für diese Anwendung vorgeben. Dadurch wird der abgeschätzte Energieverbrauch tiefer.</v>
      </c>
      <c r="T661" s="1563"/>
      <c r="U661" s="1563"/>
      <c r="V661" s="1563"/>
      <c r="W661" s="1563"/>
      <c r="X661" s="1563"/>
      <c r="Y661" s="1563"/>
      <c r="Z661" s="1563"/>
      <c r="AA661" s="1563"/>
      <c r="AB661" s="1563"/>
      <c r="AC661" s="1563"/>
      <c r="AD661" s="1563"/>
      <c r="AE661" s="1563"/>
      <c r="AF661" s="1563"/>
      <c r="AG661" s="1563"/>
      <c r="AH661" s="1563"/>
      <c r="AI661" s="1563"/>
      <c r="AJ661" s="1563"/>
      <c r="AK661" s="1563"/>
      <c r="AL661" s="425"/>
      <c r="AM661" s="425"/>
      <c r="AN661" s="305"/>
      <c r="AO661" s="305"/>
      <c r="AP661" s="305"/>
      <c r="AQ661" s="1562" t="str">
        <f>X!$C$281</f>
        <v>Klären Sie mit dem Planer, warum er diese Vollbetriebsstunden gewählt hat.</v>
      </c>
      <c r="AR661" s="1563"/>
      <c r="AS661" s="1563"/>
      <c r="AT661" s="1563"/>
      <c r="AU661" s="1563"/>
      <c r="AV661" s="1563"/>
      <c r="AW661" s="1563"/>
      <c r="AX661" s="1563"/>
      <c r="AY661" s="1563"/>
      <c r="AZ661" s="1563"/>
      <c r="BA661" s="1563"/>
      <c r="BB661" s="1563"/>
      <c r="BC661" s="1563"/>
      <c r="BD661" s="1563"/>
      <c r="BE661" s="1563"/>
      <c r="BF661" s="1563"/>
      <c r="BG661" s="1563"/>
      <c r="BH661" s="1563"/>
      <c r="BI661" s="1563"/>
      <c r="BL661" s="28"/>
      <c r="BP661" s="31"/>
      <c r="BQ661" s="31"/>
      <c r="BR661" s="31"/>
      <c r="BS661" s="31"/>
      <c r="BT661" s="31"/>
      <c r="BU661" s="31"/>
      <c r="BV661" s="31"/>
      <c r="BW661" s="31"/>
      <c r="BX661" s="31"/>
    </row>
    <row r="662" spans="2:76" hidden="1" outlineLevel="1">
      <c r="BL662" s="28"/>
    </row>
    <row r="663" spans="2:76" hidden="1" outlineLevel="1">
      <c r="AN663" s="242"/>
      <c r="AO663" s="242"/>
      <c r="AP663" s="242"/>
      <c r="BL663" s="28"/>
    </row>
    <row r="664" spans="2:76" hidden="1" outlineLevel="1">
      <c r="AN664" s="242"/>
      <c r="AO664" s="242"/>
      <c r="AP664" s="242"/>
      <c r="BL664" s="28"/>
    </row>
    <row r="665" spans="2:76" ht="18" hidden="1" outlineLevel="1">
      <c r="C665" s="19" t="s">
        <v>681</v>
      </c>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L665" s="28"/>
    </row>
    <row r="666" spans="2:76" hidden="1" outlineLevel="1">
      <c r="C666" s="31"/>
      <c r="P666" s="31"/>
      <c r="BL666" s="28"/>
    </row>
    <row r="667" spans="2:76" hidden="1" outlineLevel="1">
      <c r="C667" s="31"/>
      <c r="P667" s="31"/>
      <c r="BL667" s="28"/>
    </row>
    <row r="668" spans="2:76" s="28" customFormat="1" ht="11.1" hidden="1" customHeight="1" outlineLevel="1">
      <c r="B668" s="117"/>
      <c r="C668" s="663"/>
      <c r="D668" s="535" t="str">
        <f>X!$C$254</f>
        <v>Verflüssigungstemperatur</v>
      </c>
      <c r="E668" s="98"/>
      <c r="F668" s="98"/>
      <c r="G668" s="98"/>
      <c r="H668" s="98"/>
      <c r="I668" s="98"/>
      <c r="J668" s="98"/>
      <c r="K668" s="98"/>
      <c r="L668" s="98"/>
      <c r="M668" s="98"/>
      <c r="N668" s="98"/>
      <c r="O668" s="98"/>
      <c r="P668" s="122" t="s">
        <v>108</v>
      </c>
      <c r="Q668" s="98"/>
      <c r="R668" s="98"/>
      <c r="S668" s="1559" t="str">
        <f>IF(S134="","",S134)</f>
        <v/>
      </c>
      <c r="T668" s="1559"/>
      <c r="U668" s="1560"/>
      <c r="V668" s="654" t="str">
        <f>IF(S668&lt;$H674,"!","")</f>
        <v/>
      </c>
      <c r="W668" s="1559" t="str">
        <f>IF(W134="","",W134)</f>
        <v/>
      </c>
      <c r="X668" s="1559"/>
      <c r="Y668" s="1560"/>
      <c r="Z668" s="654" t="str">
        <f>IF(W668&lt;$H674,"!","")</f>
        <v/>
      </c>
      <c r="AA668" s="1559" t="str">
        <f>IF(AA134="","",AA134)</f>
        <v/>
      </c>
      <c r="AB668" s="1559"/>
      <c r="AC668" s="1560"/>
      <c r="AD668" s="654" t="str">
        <f>IF(AA668&lt;$H674,"!","")</f>
        <v/>
      </c>
      <c r="AE668" s="1559" t="str">
        <f>IF(AE134="","",AE134)</f>
        <v/>
      </c>
      <c r="AF668" s="1559"/>
      <c r="AG668" s="1560"/>
      <c r="AH668" s="654" t="str">
        <f>IF(AE668&lt;$H674,"!","")</f>
        <v/>
      </c>
      <c r="AI668" s="1561" t="str">
        <f>IF(SUM(S668:AG668)&gt;0,MIN(S668:AG668),"-")</f>
        <v>-</v>
      </c>
      <c r="AJ668" s="1561"/>
      <c r="AK668" s="1561"/>
      <c r="AL668" s="646"/>
      <c r="AM668" s="633"/>
      <c r="AN668" s="652"/>
      <c r="AO668" s="652"/>
      <c r="AP668" s="652"/>
      <c r="AQ668" s="1559" t="str">
        <f>IF(AQ134="","",AQ134)</f>
        <v/>
      </c>
      <c r="AR668" s="1559"/>
      <c r="AS668" s="1560"/>
      <c r="AT668" s="654" t="str">
        <f>IF(AQ668&lt;$H674,"!","")</f>
        <v/>
      </c>
      <c r="AU668" s="1559" t="str">
        <f>IF(AU134="","",AU134)</f>
        <v/>
      </c>
      <c r="AV668" s="1559"/>
      <c r="AW668" s="1560"/>
      <c r="AX668" s="654" t="str">
        <f>IF(AU668&lt;$H674,"!","")</f>
        <v/>
      </c>
      <c r="AY668" s="1559" t="str">
        <f>IF(AY134="","",AY134)</f>
        <v/>
      </c>
      <c r="AZ668" s="1559"/>
      <c r="BA668" s="1560"/>
      <c r="BB668" s="654" t="str">
        <f>IF(AY668&lt;$H674,"!","")</f>
        <v/>
      </c>
      <c r="BC668" s="1559" t="str">
        <f>IF(BC134="","",BC134)</f>
        <v/>
      </c>
      <c r="BD668" s="1559"/>
      <c r="BE668" s="1560"/>
      <c r="BF668" s="654" t="str">
        <f>IF(BC668&lt;$H674,"!","")</f>
        <v/>
      </c>
      <c r="BG668" s="1561" t="str">
        <f>IF(SUM(AQ668:BE668)&gt;0,MIN(AQ668:BE668),"-")</f>
        <v>-</v>
      </c>
      <c r="BH668" s="1561"/>
      <c r="BI668" s="1561"/>
      <c r="BJ668" s="121"/>
    </row>
    <row r="669" spans="2:76" s="28" customFormat="1" ht="11.1" hidden="1" customHeight="1" outlineLevel="1">
      <c r="B669" s="640"/>
      <c r="C669" s="663"/>
      <c r="D669" s="535"/>
      <c r="E669" s="98"/>
      <c r="F669" s="98"/>
      <c r="G669" s="98"/>
      <c r="H669" s="98"/>
      <c r="I669" s="98"/>
      <c r="J669" s="98"/>
      <c r="K669" s="98"/>
      <c r="L669" s="98"/>
      <c r="M669" s="98"/>
      <c r="N669" s="98"/>
      <c r="O669" s="98"/>
      <c r="P669" s="122"/>
      <c r="Q669" s="98"/>
      <c r="R669" s="98"/>
      <c r="S669" s="643"/>
      <c r="T669" s="643"/>
      <c r="U669" s="643"/>
      <c r="V669" s="654"/>
      <c r="W669" s="643"/>
      <c r="X669" s="643"/>
      <c r="Y669" s="643"/>
      <c r="Z669" s="654"/>
      <c r="AA669" s="643"/>
      <c r="AB669" s="643"/>
      <c r="AC669" s="643"/>
      <c r="AD669" s="654"/>
      <c r="AE669" s="643"/>
      <c r="AF669" s="643"/>
      <c r="AG669" s="643"/>
      <c r="AH669" s="654"/>
      <c r="AI669" s="650"/>
      <c r="AJ669" s="650"/>
      <c r="AK669" s="650"/>
      <c r="AL669" s="646"/>
      <c r="AM669" s="633"/>
      <c r="AN669" s="652"/>
      <c r="AO669" s="652"/>
      <c r="AP669" s="652"/>
      <c r="AQ669" s="643"/>
      <c r="AR669" s="643"/>
      <c r="AS669" s="643"/>
      <c r="AT669" s="654"/>
      <c r="AU669" s="643"/>
      <c r="AV669" s="643"/>
      <c r="AW669" s="643"/>
      <c r="AX669" s="654"/>
      <c r="AY669" s="643"/>
      <c r="AZ669" s="643"/>
      <c r="BA669" s="643"/>
      <c r="BB669" s="654"/>
      <c r="BC669" s="643"/>
      <c r="BD669" s="643"/>
      <c r="BE669" s="643"/>
      <c r="BF669" s="654"/>
      <c r="BG669" s="650"/>
      <c r="BH669" s="650"/>
      <c r="BI669" s="650"/>
      <c r="BJ669" s="640"/>
    </row>
    <row r="670" spans="2:76" s="273" customFormat="1" ht="15" hidden="1" customHeight="1" outlineLevel="1">
      <c r="B670" s="958"/>
      <c r="C670" s="956"/>
      <c r="D670" s="538"/>
      <c r="E670" s="160"/>
      <c r="F670" s="160"/>
      <c r="G670" s="160"/>
      <c r="H670" s="1671">
        <f>S46</f>
        <v>0</v>
      </c>
      <c r="I670" s="1671"/>
      <c r="J670" s="1671"/>
      <c r="K670" s="160" t="s">
        <v>108</v>
      </c>
      <c r="L670" s="160"/>
      <c r="M670" s="160" t="s">
        <v>691</v>
      </c>
      <c r="N670" s="160"/>
      <c r="O670" s="160"/>
      <c r="P670" s="160"/>
      <c r="Q670" s="160"/>
      <c r="R670" s="160"/>
      <c r="S670" s="1668" t="str">
        <f>IF(AI668&lt;$H674,S674,"")</f>
        <v/>
      </c>
      <c r="T670" s="1668"/>
      <c r="U670" s="1668"/>
      <c r="V670" s="1668"/>
      <c r="W670" s="1668"/>
      <c r="X670" s="1668"/>
      <c r="Y670" s="1668"/>
      <c r="Z670" s="1668"/>
      <c r="AA670" s="1668"/>
      <c r="AB670" s="1668"/>
      <c r="AC670" s="1668"/>
      <c r="AD670" s="1668"/>
      <c r="AE670" s="1668"/>
      <c r="AF670" s="1668"/>
      <c r="AG670" s="1668"/>
      <c r="AH670" s="1668"/>
      <c r="AI670" s="1668"/>
      <c r="AJ670" s="1668"/>
      <c r="AK670" s="1668"/>
      <c r="AL670" s="947"/>
      <c r="AM670" s="633"/>
      <c r="AN670" s="943"/>
      <c r="AO670" s="943"/>
      <c r="AP670" s="943"/>
      <c r="AQ670" s="1668" t="str">
        <f>IF(BG668&lt;$H674,AQ674,"")</f>
        <v/>
      </c>
      <c r="AR670" s="1668"/>
      <c r="AS670" s="1668"/>
      <c r="AT670" s="1668"/>
      <c r="AU670" s="1668"/>
      <c r="AV670" s="1668"/>
      <c r="AW670" s="1668"/>
      <c r="AX670" s="1668"/>
      <c r="AY670" s="1668"/>
      <c r="AZ670" s="1668"/>
      <c r="BA670" s="1668"/>
      <c r="BB670" s="1668"/>
      <c r="BC670" s="1668"/>
      <c r="BD670" s="1668"/>
      <c r="BE670" s="1668"/>
      <c r="BF670" s="1668"/>
      <c r="BG670" s="1668"/>
      <c r="BH670" s="1668"/>
      <c r="BI670" s="1668"/>
      <c r="BJ670" s="958"/>
      <c r="BL670" s="28"/>
    </row>
    <row r="671" spans="2:76" s="273" customFormat="1" ht="15" hidden="1" customHeight="1" outlineLevel="1">
      <c r="B671" s="958"/>
      <c r="C671" s="956"/>
      <c r="D671" s="538" t="s">
        <v>688</v>
      </c>
      <c r="E671" s="160"/>
      <c r="F671" s="160"/>
      <c r="G671" s="160"/>
      <c r="H671" s="1670">
        <v>20</v>
      </c>
      <c r="I671" s="1670"/>
      <c r="J671" s="1670"/>
      <c r="K671" s="160" t="s">
        <v>108</v>
      </c>
      <c r="L671" s="160"/>
      <c r="M671" s="160" t="s">
        <v>689</v>
      </c>
      <c r="N671" s="160"/>
      <c r="O671" s="160"/>
      <c r="P671" s="160"/>
      <c r="Q671" s="160"/>
      <c r="R671" s="160"/>
      <c r="S671" s="949"/>
      <c r="T671" s="949"/>
      <c r="U671" s="949"/>
      <c r="V671" s="948"/>
      <c r="W671" s="949"/>
      <c r="X671" s="949"/>
      <c r="Y671" s="949"/>
      <c r="Z671" s="948"/>
      <c r="AA671" s="949"/>
      <c r="AB671" s="949"/>
      <c r="AC671" s="949"/>
      <c r="AD671" s="948"/>
      <c r="AE671" s="949"/>
      <c r="AF671" s="949"/>
      <c r="AG671" s="949"/>
      <c r="AH671" s="948"/>
      <c r="AI671" s="953"/>
      <c r="AJ671" s="953"/>
      <c r="AK671" s="953"/>
      <c r="AL671" s="947"/>
      <c r="AM671" s="633"/>
      <c r="AN671" s="943"/>
      <c r="AO671" s="943"/>
      <c r="AP671" s="943"/>
      <c r="AQ671" s="949"/>
      <c r="AR671" s="949"/>
      <c r="AS671" s="949"/>
      <c r="AT671" s="948"/>
      <c r="AU671" s="949"/>
      <c r="AV671" s="949"/>
      <c r="AW671" s="949"/>
      <c r="AX671" s="948"/>
      <c r="AY671" s="949"/>
      <c r="AZ671" s="949"/>
      <c r="BA671" s="949"/>
      <c r="BB671" s="948"/>
      <c r="BC671" s="949"/>
      <c r="BD671" s="949"/>
      <c r="BE671" s="949"/>
      <c r="BF671" s="948"/>
      <c r="BG671" s="953"/>
      <c r="BH671" s="953"/>
      <c r="BI671" s="953"/>
      <c r="BJ671" s="958"/>
      <c r="BL671" s="28"/>
    </row>
    <row r="672" spans="2:76" s="273" customFormat="1" ht="15" hidden="1" customHeight="1" outlineLevel="1">
      <c r="B672" s="958"/>
      <c r="C672" s="956"/>
      <c r="D672" s="538"/>
      <c r="E672" s="160"/>
      <c r="F672" s="160"/>
      <c r="G672" s="160"/>
      <c r="H672" s="1670">
        <v>25</v>
      </c>
      <c r="I672" s="1670"/>
      <c r="J672" s="1670"/>
      <c r="K672" s="160" t="s">
        <v>108</v>
      </c>
      <c r="L672" s="160"/>
      <c r="M672" s="160" t="s">
        <v>690</v>
      </c>
      <c r="N672" s="160"/>
      <c r="O672" s="160"/>
      <c r="P672" s="160"/>
      <c r="Q672" s="160"/>
      <c r="R672" s="160"/>
      <c r="S672" s="949"/>
      <c r="T672" s="949"/>
      <c r="U672" s="949"/>
      <c r="V672" s="948"/>
      <c r="W672" s="949"/>
      <c r="X672" s="949"/>
      <c r="Y672" s="949"/>
      <c r="Z672" s="948"/>
      <c r="AA672" s="949"/>
      <c r="AB672" s="949"/>
      <c r="AC672" s="949"/>
      <c r="AD672" s="948"/>
      <c r="AE672" s="949"/>
      <c r="AF672" s="949"/>
      <c r="AG672" s="949"/>
      <c r="AH672" s="948"/>
      <c r="AI672" s="953"/>
      <c r="AJ672" s="953"/>
      <c r="AK672" s="953"/>
      <c r="AL672" s="947"/>
      <c r="AM672" s="633"/>
      <c r="AN672" s="943"/>
      <c r="AO672" s="943"/>
      <c r="AP672" s="943"/>
      <c r="AQ672" s="949"/>
      <c r="AR672" s="949"/>
      <c r="AS672" s="949"/>
      <c r="AT672" s="948"/>
      <c r="AU672" s="949"/>
      <c r="AV672" s="949"/>
      <c r="AW672" s="949"/>
      <c r="AX672" s="948"/>
      <c r="AY672" s="949"/>
      <c r="AZ672" s="949"/>
      <c r="BA672" s="949"/>
      <c r="BB672" s="948"/>
      <c r="BC672" s="949"/>
      <c r="BD672" s="949"/>
      <c r="BE672" s="949"/>
      <c r="BF672" s="948"/>
      <c r="BG672" s="953"/>
      <c r="BH672" s="953"/>
      <c r="BI672" s="953"/>
      <c r="BJ672" s="958"/>
      <c r="BL672" s="28"/>
    </row>
    <row r="673" spans="2:76" ht="16.5" hidden="1" outlineLevel="1">
      <c r="C673" s="5"/>
      <c r="D673" s="1"/>
      <c r="E673" s="2"/>
      <c r="BL673" s="28"/>
    </row>
    <row r="674" spans="2:76" s="209" customFormat="1" ht="27.95" hidden="1" customHeight="1" outlineLevel="1">
      <c r="C674" s="522"/>
      <c r="D674" s="1549" t="s">
        <v>651</v>
      </c>
      <c r="E674" s="1549"/>
      <c r="F674" s="1549"/>
      <c r="G674" s="649"/>
      <c r="H674" s="1550">
        <f>IF(H670=0,H672,H670-H671)</f>
        <v>25</v>
      </c>
      <c r="I674" s="1550"/>
      <c r="J674" s="1550"/>
      <c r="K674" s="304" t="s">
        <v>108</v>
      </c>
      <c r="L674" s="304"/>
      <c r="M674" s="304" t="s">
        <v>682</v>
      </c>
      <c r="N674" s="304"/>
      <c r="O674" s="304"/>
      <c r="P674" s="304"/>
      <c r="Q674" s="304"/>
      <c r="R674" s="304"/>
      <c r="S674" s="1551" t="str">
        <f>X!C293</f>
        <v>Prüfen Sie ob das Expansionsventil bei diesen Bedingungen noch korrekt arbeitet</v>
      </c>
      <c r="T674" s="1552"/>
      <c r="U674" s="1552"/>
      <c r="V674" s="1552"/>
      <c r="W674" s="1552"/>
      <c r="X674" s="1552"/>
      <c r="Y674" s="1552"/>
      <c r="Z674" s="1552"/>
      <c r="AA674" s="1552"/>
      <c r="AB674" s="1552"/>
      <c r="AC674" s="1552"/>
      <c r="AD674" s="1552"/>
      <c r="AE674" s="1552"/>
      <c r="AF674" s="1552"/>
      <c r="AG674" s="1552"/>
      <c r="AH674" s="1552"/>
      <c r="AI674" s="1552"/>
      <c r="AJ674" s="1552"/>
      <c r="AK674" s="1552"/>
      <c r="AL674" s="651"/>
      <c r="AM674" s="651"/>
      <c r="AN674" s="305"/>
      <c r="AO674" s="305"/>
      <c r="AP674" s="305"/>
      <c r="AQ674" s="1551" t="str">
        <f>S674</f>
        <v>Prüfen Sie ob das Expansionsventil bei diesen Bedingungen noch korrekt arbeitet</v>
      </c>
      <c r="AR674" s="1552"/>
      <c r="AS674" s="1552"/>
      <c r="AT674" s="1552"/>
      <c r="AU674" s="1552"/>
      <c r="AV674" s="1552"/>
      <c r="AW674" s="1552"/>
      <c r="AX674" s="1552"/>
      <c r="AY674" s="1552"/>
      <c r="AZ674" s="1552"/>
      <c r="BA674" s="1552"/>
      <c r="BB674" s="1552"/>
      <c r="BC674" s="1552"/>
      <c r="BD674" s="1552"/>
      <c r="BE674" s="1552"/>
      <c r="BF674" s="1552"/>
      <c r="BG674" s="1552"/>
      <c r="BH674" s="1552"/>
      <c r="BI674" s="1552"/>
      <c r="BL674" s="28"/>
      <c r="BP674" s="31"/>
      <c r="BQ674" s="31"/>
      <c r="BR674" s="31"/>
      <c r="BS674" s="31"/>
      <c r="BT674" s="31"/>
      <c r="BU674" s="31"/>
      <c r="BV674" s="31"/>
      <c r="BW674" s="31"/>
      <c r="BX674" s="31"/>
    </row>
    <row r="675" spans="2:76" hidden="1" outlineLevel="1">
      <c r="BL675" s="28"/>
    </row>
    <row r="676" spans="2:76" hidden="1" outlineLevel="1">
      <c r="BL676" s="28"/>
    </row>
    <row r="677" spans="2:76" hidden="1" outlineLevel="1">
      <c r="BL677" s="28"/>
    </row>
    <row r="678" spans="2:76" ht="18" hidden="1" outlineLevel="1">
      <c r="C678" s="19" t="s">
        <v>816</v>
      </c>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L678" s="28"/>
    </row>
    <row r="679" spans="2:76" ht="16.5" hidden="1" outlineLevel="1">
      <c r="C679" s="5"/>
      <c r="D679" s="1"/>
      <c r="E679" s="2"/>
      <c r="BL679" s="28"/>
    </row>
    <row r="680" spans="2:76" hidden="1" outlineLevel="1">
      <c r="BL680" s="28"/>
    </row>
    <row r="681" spans="2:76" s="139" customFormat="1" ht="17.100000000000001" hidden="1" customHeight="1" outlineLevel="1">
      <c r="B681" s="137"/>
      <c r="C681" s="488"/>
      <c r="D681" s="138"/>
      <c r="E681" s="138"/>
      <c r="F681" s="138"/>
      <c r="T681" s="31"/>
      <c r="U681" s="31"/>
      <c r="V681" s="31"/>
      <c r="W681" s="31"/>
      <c r="X681" s="31"/>
      <c r="Y681" s="31"/>
      <c r="Z681" s="140" t="str">
        <f>'1 System specification'!O132</f>
        <v>Variante A</v>
      </c>
      <c r="AA681" s="141"/>
      <c r="AB681" s="141"/>
      <c r="AC681" s="141"/>
      <c r="AD681" s="141"/>
      <c r="AE681" s="141"/>
      <c r="AF681" s="141"/>
      <c r="AG681" s="141"/>
      <c r="AH681" s="141"/>
      <c r="AI681" s="141"/>
      <c r="AJ681" s="141"/>
      <c r="AK681" s="141"/>
      <c r="AL681" s="431"/>
      <c r="AM681" s="431"/>
      <c r="AQ681" s="140" t="str">
        <f>'1 System specification'!O133</f>
        <v/>
      </c>
      <c r="AR681" s="140"/>
      <c r="AS681" s="141"/>
      <c r="AT681" s="141"/>
      <c r="AU681" s="141"/>
      <c r="AV681" s="141"/>
      <c r="AW681" s="141"/>
      <c r="AX681" s="141"/>
      <c r="AY681" s="141"/>
      <c r="AZ681" s="141"/>
      <c r="BA681" s="141"/>
      <c r="BB681" s="141"/>
      <c r="BC681" s="141"/>
      <c r="BD681" s="141"/>
      <c r="BE681" s="141"/>
      <c r="BF681" s="141"/>
      <c r="BG681" s="141"/>
      <c r="BH681" s="141"/>
      <c r="BI681" s="141"/>
      <c r="BJ681" s="31"/>
      <c r="BK681" s="31"/>
      <c r="BL681" s="28"/>
      <c r="BP681" s="31"/>
      <c r="BQ681" s="31"/>
      <c r="BR681" s="31"/>
      <c r="BS681" s="31"/>
      <c r="BT681" s="31"/>
      <c r="BU681" s="31"/>
      <c r="BV681" s="31"/>
      <c r="BW681" s="31"/>
      <c r="BX681" s="31"/>
    </row>
    <row r="682" spans="2:76" s="28" customFormat="1" ht="17.100000000000001" hidden="1" customHeight="1" outlineLevel="1">
      <c r="C682" s="302"/>
      <c r="D682" s="31"/>
      <c r="E682" s="31"/>
      <c r="F682" s="31"/>
      <c r="G682" s="31"/>
      <c r="H682" s="31"/>
      <c r="I682" s="31"/>
      <c r="J682" s="31"/>
      <c r="K682" s="31"/>
      <c r="L682" s="31"/>
      <c r="M682" s="31"/>
      <c r="N682" s="31"/>
      <c r="O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431"/>
      <c r="AM682" s="431"/>
      <c r="AN682" s="139"/>
      <c r="AO682" s="139"/>
      <c r="AP682" s="139"/>
      <c r="AQ682" s="31"/>
      <c r="AR682" s="31"/>
      <c r="AS682" s="31"/>
      <c r="AT682" s="31"/>
      <c r="AU682" s="31"/>
      <c r="AV682" s="31"/>
      <c r="AW682" s="31"/>
      <c r="AX682" s="31"/>
      <c r="AY682" s="31"/>
      <c r="AZ682" s="31"/>
      <c r="BA682" s="31"/>
      <c r="BB682" s="31"/>
      <c r="BC682" s="31"/>
      <c r="BD682" s="31"/>
      <c r="BE682" s="31"/>
      <c r="BF682" s="31"/>
      <c r="BG682" s="31"/>
      <c r="BH682" s="31"/>
      <c r="BI682" s="31"/>
      <c r="BJ682" s="31"/>
      <c r="BK682" s="31"/>
      <c r="BP682" s="31"/>
      <c r="BQ682" s="31"/>
      <c r="BR682" s="31"/>
      <c r="BS682" s="31"/>
      <c r="BT682" s="31"/>
      <c r="BU682" s="31"/>
      <c r="BV682" s="31"/>
      <c r="BW682" s="31"/>
      <c r="BX682" s="31"/>
    </row>
    <row r="683" spans="2:76" s="698" customFormat="1" ht="14.1" hidden="1" customHeight="1" outlineLevel="1">
      <c r="C683" s="699" t="s">
        <v>291</v>
      </c>
      <c r="D683" s="699"/>
      <c r="E683" s="700"/>
      <c r="F683" s="700"/>
      <c r="G683" s="700"/>
      <c r="H683" s="700"/>
      <c r="I683" s="700"/>
      <c r="J683" s="699"/>
      <c r="K683" s="699"/>
      <c r="L683" s="699"/>
      <c r="M683" s="699"/>
      <c r="N683" s="699"/>
      <c r="O683" s="699"/>
      <c r="P683" s="699"/>
      <c r="Q683" s="699"/>
      <c r="R683" s="699"/>
      <c r="S683" s="699"/>
      <c r="T683" s="699"/>
      <c r="U683" s="699"/>
      <c r="V683" s="699"/>
      <c r="W683" s="699"/>
      <c r="X683" s="699"/>
      <c r="Y683" s="699"/>
      <c r="Z683" s="1510">
        <f>S31</f>
        <v>0</v>
      </c>
      <c r="AA683" s="1511"/>
      <c r="AB683" s="1511"/>
      <c r="AC683" s="1511"/>
      <c r="AD683" s="1511"/>
      <c r="AE683" s="1511"/>
      <c r="AF683" s="1511"/>
      <c r="AG683" s="1511"/>
      <c r="AH683" s="1511"/>
      <c r="AI683" s="1511"/>
      <c r="AJ683" s="1511"/>
      <c r="AK683" s="1511"/>
      <c r="AL683" s="431"/>
      <c r="AM683" s="431"/>
      <c r="AN683" s="139"/>
      <c r="AO683" s="139"/>
      <c r="AP683" s="139"/>
      <c r="AQ683" s="1510">
        <f>Z683</f>
        <v>0</v>
      </c>
      <c r="AR683" s="1511"/>
      <c r="AS683" s="1511"/>
      <c r="AT683" s="1511"/>
      <c r="AU683" s="1511"/>
      <c r="AV683" s="1511"/>
      <c r="AW683" s="1511"/>
      <c r="AX683" s="1511"/>
      <c r="AY683" s="1511"/>
      <c r="AZ683" s="1511"/>
      <c r="BA683" s="1511"/>
      <c r="BB683" s="1511"/>
      <c r="BC683" s="699"/>
      <c r="BD683" s="699"/>
      <c r="BE683" s="699"/>
      <c r="BF683" s="699"/>
      <c r="BG683" s="699"/>
      <c r="BH683" s="699"/>
      <c r="BI683" s="699"/>
      <c r="BL683" s="28"/>
      <c r="BP683" s="398"/>
      <c r="BQ683" s="398"/>
      <c r="BR683" s="398"/>
      <c r="BS683" s="398"/>
      <c r="BT683" s="398"/>
      <c r="BU683" s="398"/>
      <c r="BV683" s="398"/>
      <c r="BW683" s="398"/>
      <c r="BX683" s="398"/>
    </row>
    <row r="684" spans="2:76" s="698" customFormat="1" ht="14.1" hidden="1" customHeight="1" outlineLevel="1">
      <c r="C684" s="701" t="s">
        <v>822</v>
      </c>
      <c r="D684" s="701"/>
      <c r="E684" s="702"/>
      <c r="F684" s="702"/>
      <c r="G684" s="702"/>
      <c r="H684" s="702"/>
      <c r="I684" s="702"/>
      <c r="J684" s="701"/>
      <c r="K684" s="701"/>
      <c r="L684" s="701"/>
      <c r="M684" s="701"/>
      <c r="N684" s="701"/>
      <c r="O684" s="701"/>
      <c r="P684" s="701"/>
      <c r="Q684" s="701"/>
      <c r="R684" s="701"/>
      <c r="S684" s="701"/>
      <c r="T684" s="701"/>
      <c r="U684" s="701"/>
      <c r="V684" s="701"/>
      <c r="W684" s="701"/>
      <c r="X684" s="701"/>
      <c r="Y684" s="701"/>
      <c r="Z684" s="1510">
        <f>W88</f>
        <v>0</v>
      </c>
      <c r="AA684" s="1511"/>
      <c r="AB684" s="1511"/>
      <c r="AC684" s="1511"/>
      <c r="AD684" s="1511"/>
      <c r="AE684" s="1511"/>
      <c r="AF684" s="1511"/>
      <c r="AG684" s="1511"/>
      <c r="AH684" s="1511"/>
      <c r="AI684" s="1511"/>
      <c r="AJ684" s="1511"/>
      <c r="AK684" s="1511"/>
      <c r="AL684" s="431"/>
      <c r="AM684" s="431"/>
      <c r="AN684" s="139"/>
      <c r="AO684" s="139"/>
      <c r="AP684" s="139"/>
      <c r="AQ684" s="1510">
        <f>AU88</f>
        <v>0</v>
      </c>
      <c r="AR684" s="1511"/>
      <c r="AS684" s="1511"/>
      <c r="AT684" s="1511"/>
      <c r="AU684" s="1511"/>
      <c r="AV684" s="1511"/>
      <c r="AW684" s="1511"/>
      <c r="AX684" s="1511"/>
      <c r="AY684" s="1511"/>
      <c r="AZ684" s="1511"/>
      <c r="BA684" s="1511"/>
      <c r="BB684" s="1511"/>
      <c r="BC684" s="701"/>
      <c r="BD684" s="701"/>
      <c r="BE684" s="701"/>
      <c r="BF684" s="701"/>
      <c r="BG684" s="701"/>
      <c r="BH684" s="701"/>
      <c r="BI684" s="701"/>
      <c r="BL684" s="28"/>
      <c r="BP684" s="398"/>
      <c r="BQ684" s="398"/>
      <c r="BR684" s="398"/>
      <c r="BS684" s="398"/>
      <c r="BT684" s="398"/>
      <c r="BU684" s="398"/>
      <c r="BV684" s="398"/>
      <c r="BW684" s="398"/>
      <c r="BX684" s="398"/>
    </row>
    <row r="685" spans="2:76" s="398" customFormat="1" ht="14.1" hidden="1" customHeight="1" outlineLevel="1">
      <c r="C685" s="701" t="s">
        <v>823</v>
      </c>
      <c r="D685" s="701"/>
      <c r="E685" s="702"/>
      <c r="F685" s="702"/>
      <c r="G685" s="702"/>
      <c r="H685" s="702"/>
      <c r="I685" s="702"/>
      <c r="J685" s="701"/>
      <c r="K685" s="701"/>
      <c r="L685" s="701"/>
      <c r="M685" s="701"/>
      <c r="N685" s="701"/>
      <c r="O685" s="701"/>
      <c r="P685" s="701"/>
      <c r="Q685" s="701"/>
      <c r="R685" s="701"/>
      <c r="S685" s="701"/>
      <c r="T685" s="701"/>
      <c r="U685" s="701"/>
      <c r="V685" s="701"/>
      <c r="W685" s="701"/>
      <c r="X685" s="701"/>
      <c r="Y685" s="701"/>
      <c r="Z685" s="1512">
        <f>S106</f>
        <v>0</v>
      </c>
      <c r="AA685" s="1511"/>
      <c r="AB685" s="1511"/>
      <c r="AC685" s="1511"/>
      <c r="AD685" s="1511"/>
      <c r="AE685" s="1511"/>
      <c r="AF685" s="1511"/>
      <c r="AG685" s="1511"/>
      <c r="AH685" s="1511"/>
      <c r="AI685" s="1511"/>
      <c r="AJ685" s="1511"/>
      <c r="AK685" s="1511"/>
      <c r="AL685" s="431"/>
      <c r="AM685" s="431"/>
      <c r="AN685" s="139"/>
      <c r="AO685" s="139"/>
      <c r="AP685" s="139"/>
      <c r="AQ685" s="1512">
        <f>AQ106</f>
        <v>0</v>
      </c>
      <c r="AR685" s="1511"/>
      <c r="AS685" s="1511"/>
      <c r="AT685" s="1511"/>
      <c r="AU685" s="1511"/>
      <c r="AV685" s="1511"/>
      <c r="AW685" s="1511"/>
      <c r="AX685" s="1511"/>
      <c r="AY685" s="1511"/>
      <c r="AZ685" s="1511"/>
      <c r="BA685" s="1511"/>
      <c r="BB685" s="1511"/>
      <c r="BC685" s="701"/>
      <c r="BD685" s="701"/>
      <c r="BE685" s="701"/>
      <c r="BF685" s="701"/>
      <c r="BG685" s="701"/>
      <c r="BH685" s="701"/>
      <c r="BI685" s="701"/>
      <c r="BL685" s="28"/>
    </row>
    <row r="686" spans="2:76" s="398" customFormat="1" ht="14.1" hidden="1" customHeight="1" outlineLevel="1">
      <c r="C686" s="701" t="s">
        <v>824</v>
      </c>
      <c r="D686" s="701"/>
      <c r="E686" s="702"/>
      <c r="F686" s="702"/>
      <c r="G686" s="702"/>
      <c r="H686" s="702"/>
      <c r="I686" s="702"/>
      <c r="J686" s="701"/>
      <c r="K686" s="701"/>
      <c r="L686" s="701"/>
      <c r="M686" s="701"/>
      <c r="N686" s="701"/>
      <c r="O686" s="701"/>
      <c r="P686" s="701"/>
      <c r="Q686" s="701"/>
      <c r="R686" s="701"/>
      <c r="S686" s="701"/>
      <c r="T686" s="701"/>
      <c r="U686" s="701"/>
      <c r="V686" s="701"/>
      <c r="W686" s="701"/>
      <c r="X686" s="701"/>
      <c r="Y686" s="701"/>
      <c r="Z686" s="1510" t="str">
        <f>S546</f>
        <v>Zürich</v>
      </c>
      <c r="AA686" s="1511"/>
      <c r="AB686" s="1511"/>
      <c r="AC686" s="1511"/>
      <c r="AD686" s="1511"/>
      <c r="AE686" s="1511"/>
      <c r="AF686" s="1511"/>
      <c r="AG686" s="1511"/>
      <c r="AH686" s="1511"/>
      <c r="AI686" s="1511"/>
      <c r="AJ686" s="1511"/>
      <c r="AK686" s="1511"/>
      <c r="AL686" s="431"/>
      <c r="AM686" s="431"/>
      <c r="AN686" s="139"/>
      <c r="AO686" s="139"/>
      <c r="AP686" s="139"/>
      <c r="AQ686" s="1510" t="str">
        <f>Z686</f>
        <v>Zürich</v>
      </c>
      <c r="AR686" s="1511"/>
      <c r="AS686" s="1511"/>
      <c r="AT686" s="1511"/>
      <c r="AU686" s="1511"/>
      <c r="AV686" s="1511"/>
      <c r="AW686" s="1511"/>
      <c r="AX686" s="1511"/>
      <c r="AY686" s="1511"/>
      <c r="AZ686" s="1511"/>
      <c r="BA686" s="1511"/>
      <c r="BB686" s="1511"/>
      <c r="BC686" s="701"/>
      <c r="BD686" s="701"/>
      <c r="BE686" s="701"/>
      <c r="BF686" s="701"/>
      <c r="BG686" s="701"/>
      <c r="BH686" s="701"/>
      <c r="BI686" s="701"/>
      <c r="BL686" s="28"/>
    </row>
    <row r="687" spans="2:76" s="398" customFormat="1" ht="15" hidden="1" outlineLevel="1">
      <c r="C687" s="703"/>
      <c r="D687" s="703"/>
      <c r="E687" s="704"/>
      <c r="F687" s="704"/>
      <c r="G687" s="704"/>
      <c r="H687" s="704"/>
      <c r="I687" s="704"/>
      <c r="J687" s="703"/>
      <c r="P687" s="227"/>
      <c r="AL687" s="431"/>
      <c r="AM687" s="431"/>
      <c r="AN687" s="139"/>
      <c r="AO687" s="139"/>
      <c r="AP687" s="139"/>
      <c r="BL687" s="28"/>
    </row>
    <row r="688" spans="2:76" s="398" customFormat="1" ht="15" hidden="1" outlineLevel="1">
      <c r="C688" s="703"/>
      <c r="D688" s="703"/>
      <c r="E688" s="704"/>
      <c r="F688" s="704"/>
      <c r="G688" s="704"/>
      <c r="H688" s="704"/>
      <c r="I688" s="704"/>
      <c r="J688" s="703"/>
      <c r="P688" s="227"/>
      <c r="AL688" s="431"/>
      <c r="AM688" s="431"/>
      <c r="AN688" s="139"/>
      <c r="AO688" s="139"/>
      <c r="AP688" s="139"/>
      <c r="BL688" s="28"/>
    </row>
    <row r="689" spans="3:64" s="398" customFormat="1" ht="15.75" hidden="1" outlineLevel="1">
      <c r="C689" s="718" t="str">
        <f>C589</f>
        <v>A: Klimakälte (2'000 h/a)</v>
      </c>
      <c r="D689" s="699"/>
      <c r="E689" s="700"/>
      <c r="F689" s="700"/>
      <c r="G689" s="700"/>
      <c r="H689" s="700"/>
      <c r="I689" s="719"/>
      <c r="J689" s="719"/>
      <c r="K689" s="719"/>
      <c r="L689" s="719"/>
      <c r="M689" s="719"/>
      <c r="N689" s="719"/>
      <c r="O689" s="719"/>
      <c r="P689" s="720"/>
      <c r="Q689" s="719"/>
      <c r="R689" s="719"/>
      <c r="S689" s="719"/>
      <c r="T689" s="719"/>
      <c r="U689" s="719"/>
      <c r="V689" s="721"/>
      <c r="W689" s="722"/>
      <c r="X689" s="719"/>
      <c r="Y689" s="719"/>
      <c r="Z689" s="719"/>
      <c r="AA689" s="719"/>
      <c r="AB689" s="719"/>
      <c r="AC689" s="719"/>
      <c r="AD689" s="719"/>
      <c r="AE689" s="719"/>
      <c r="AF689" s="719"/>
      <c r="AG689" s="719"/>
      <c r="AH689" s="719"/>
      <c r="AI689" s="719"/>
      <c r="AJ689" s="719"/>
      <c r="AK689" s="719"/>
      <c r="BL689" s="28"/>
    </row>
    <row r="690" spans="3:64" s="398" customFormat="1" hidden="1" outlineLevel="1">
      <c r="C690" s="709"/>
      <c r="D690" s="709"/>
      <c r="E690" s="710"/>
      <c r="F690" s="710"/>
      <c r="G690" s="710"/>
      <c r="H690" s="710"/>
      <c r="I690" s="710"/>
      <c r="J690" s="709"/>
      <c r="K690" s="64"/>
      <c r="L690" s="64"/>
      <c r="M690" s="64"/>
      <c r="N690" s="64"/>
      <c r="O690" s="64"/>
      <c r="P690" s="61"/>
      <c r="Q690" s="64"/>
      <c r="R690" s="64"/>
      <c r="S690" s="64"/>
      <c r="T690" s="64"/>
      <c r="U690" s="64"/>
      <c r="V690" s="64"/>
      <c r="BL690" s="28"/>
    </row>
    <row r="691" spans="3:64" s="398" customFormat="1" hidden="1" outlineLevel="1">
      <c r="C691" s="709" t="str">
        <f>C689</f>
        <v>A: Klimakälte (2'000 h/a)</v>
      </c>
      <c r="D691" s="709"/>
      <c r="E691" s="710"/>
      <c r="F691" s="710"/>
      <c r="G691" s="710"/>
      <c r="H691" s="710"/>
      <c r="I691" s="710"/>
      <c r="J691" s="709"/>
      <c r="K691" s="64"/>
      <c r="L691" s="64"/>
      <c r="M691" s="64"/>
      <c r="N691" s="64"/>
      <c r="O691" s="64"/>
      <c r="P691" s="61"/>
      <c r="Q691" s="64"/>
      <c r="R691" s="64"/>
      <c r="S691" s="64"/>
      <c r="T691" s="64"/>
      <c r="U691" s="64"/>
      <c r="V691" s="64"/>
      <c r="BL691" s="28"/>
    </row>
    <row r="692" spans="3:64" s="398" customFormat="1" hidden="1" outlineLevel="1">
      <c r="C692" s="716" t="str">
        <f>S$445</f>
        <v>Trocken</v>
      </c>
      <c r="M692" s="1502" t="s">
        <v>828</v>
      </c>
      <c r="N692" s="1502"/>
      <c r="O692" s="1502"/>
      <c r="P692" s="1502"/>
      <c r="Q692" s="1502"/>
      <c r="R692" s="1502"/>
      <c r="S692" s="1502"/>
      <c r="T692" s="1502"/>
      <c r="U692" s="1502"/>
      <c r="V692" s="1502"/>
      <c r="Z692" s="1502" t="s">
        <v>828</v>
      </c>
      <c r="AA692" s="1502"/>
      <c r="AB692" s="1502"/>
      <c r="AC692" s="1502"/>
      <c r="AD692" s="1502"/>
      <c r="AE692" s="1502"/>
      <c r="AF692" s="1502"/>
      <c r="AG692" s="1502"/>
      <c r="AH692" s="1502"/>
      <c r="AI692" s="1502"/>
      <c r="AQ692" s="1502" t="s">
        <v>828</v>
      </c>
      <c r="AR692" s="1502"/>
      <c r="AS692" s="1502"/>
      <c r="AT692" s="1502"/>
      <c r="AU692" s="1502"/>
      <c r="AV692" s="1502"/>
      <c r="AW692" s="1502"/>
      <c r="AX692" s="1502"/>
      <c r="AY692" s="1502"/>
      <c r="AZ692" s="1502"/>
      <c r="BL692" s="28"/>
    </row>
    <row r="693" spans="3:64" s="398" customFormat="1" hidden="1" outlineLevel="1">
      <c r="C693" s="703"/>
      <c r="F693" s="703"/>
      <c r="M693" s="1502">
        <v>6</v>
      </c>
      <c r="N693" s="1502"/>
      <c r="O693" s="1502">
        <v>10</v>
      </c>
      <c r="P693" s="1502"/>
      <c r="Q693" s="1502">
        <v>14</v>
      </c>
      <c r="R693" s="1502"/>
      <c r="S693" s="1502">
        <v>18</v>
      </c>
      <c r="T693" s="1502"/>
      <c r="U693" s="1502">
        <v>22</v>
      </c>
      <c r="V693" s="1502"/>
      <c r="Z693" s="1502">
        <v>6</v>
      </c>
      <c r="AA693" s="1502"/>
      <c r="AB693" s="1502">
        <v>10</v>
      </c>
      <c r="AC693" s="1502"/>
      <c r="AD693" s="1502">
        <v>14</v>
      </c>
      <c r="AE693" s="1502"/>
      <c r="AF693" s="1502">
        <v>18</v>
      </c>
      <c r="AG693" s="1502"/>
      <c r="AH693" s="1502">
        <v>22</v>
      </c>
      <c r="AI693" s="1502"/>
      <c r="AJ693" s="1680">
        <f>SUM(Z694:AI696)</f>
        <v>0</v>
      </c>
      <c r="AK693" s="1681"/>
      <c r="AQ693" s="1502">
        <v>6</v>
      </c>
      <c r="AR693" s="1502"/>
      <c r="AS693" s="1502">
        <v>10</v>
      </c>
      <c r="AT693" s="1502"/>
      <c r="AU693" s="1502">
        <v>14</v>
      </c>
      <c r="AV693" s="1502"/>
      <c r="AW693" s="1502">
        <v>18</v>
      </c>
      <c r="AX693" s="1502"/>
      <c r="AY693" s="1502">
        <v>22</v>
      </c>
      <c r="AZ693" s="1502"/>
      <c r="BA693" s="1680">
        <f>SUM(AQ694:AZ696)</f>
        <v>0</v>
      </c>
      <c r="BB693" s="1681"/>
      <c r="BL693" s="28"/>
    </row>
    <row r="694" spans="3:64" s="398" customFormat="1" hidden="1" outlineLevel="1">
      <c r="C694" s="705" t="s">
        <v>825</v>
      </c>
      <c r="F694" s="706" t="str">
        <f>C555</f>
        <v>Zürich</v>
      </c>
      <c r="M694" s="1521">
        <v>0</v>
      </c>
      <c r="N694" s="1521"/>
      <c r="O694" s="1521">
        <v>0</v>
      </c>
      <c r="P694" s="1521"/>
      <c r="Q694" s="1521">
        <v>0.05</v>
      </c>
      <c r="R694" s="1521"/>
      <c r="S694" s="1521">
        <v>0.16</v>
      </c>
      <c r="T694" s="1521"/>
      <c r="U694" s="1521">
        <v>0.37</v>
      </c>
      <c r="V694" s="1521"/>
      <c r="Z694" s="1492">
        <f>IF($Z$683=$C$691,IF($Z$684=$C$692,IF($Z$685=Z$693,IF($Z$686=$F694,M694,0),0),0),0)</f>
        <v>0</v>
      </c>
      <c r="AA694" s="1492"/>
      <c r="AB694" s="1492">
        <f>IF($Z$683=$C$691,IF($Z$684=$C$692,IF($Z$685=AB$693,IF($Z$686=$F694,O694,0),0),0),0)</f>
        <v>0</v>
      </c>
      <c r="AC694" s="1492"/>
      <c r="AD694" s="1492">
        <f>IF($Z$683=$C$691,IF($Z$684=$C$692,IF($Z$685=AD$693,IF($Z$686=$F694,Q694,0),0),0),0)</f>
        <v>0</v>
      </c>
      <c r="AE694" s="1492"/>
      <c r="AF694" s="1492">
        <f>IF($Z$683=$C$691,IF($Z$684=$C$692,IF($Z$685=AF$693,IF($Z$686=$F694,S694,0),0),0),0)</f>
        <v>0</v>
      </c>
      <c r="AG694" s="1492"/>
      <c r="AH694" s="1492">
        <f>IF($Z$683=$C$691,IF($Z$684=$C$692,IF($Z$685=AH$693,IF($Z$686=$F694,U694,0),0),0),0)</f>
        <v>0</v>
      </c>
      <c r="AI694" s="1492"/>
      <c r="AQ694" s="1492">
        <f>IF($AQ$683=$C$691,IF($AQ$684=$C$692,IF($AQ$685=AQ$693,IF($AQ$686=$F694,M694,0),0),0),0)</f>
        <v>0</v>
      </c>
      <c r="AR694" s="1492"/>
      <c r="AS694" s="1492">
        <f>IF($AQ$683=$C$691,IF($AQ$684=$C$692,IF($AQ$685=AS$693,IF($AQ$686=$F694,O694,0),0),0),0)</f>
        <v>0</v>
      </c>
      <c r="AT694" s="1492"/>
      <c r="AU694" s="1492">
        <f>IF($AQ$683=$C$691,IF($AQ$684=$C$692,IF($AQ$685=AU$693,IF($AQ$686=$F694,Q694,0),0),0),0)</f>
        <v>0</v>
      </c>
      <c r="AV694" s="1492"/>
      <c r="AW694" s="1492">
        <f>IF($AQ$683=$C$691,IF($AQ$684=$C$692,IF($AQ$685=AW$693,IF($AQ$686=$F694,S694,0),0),0),0)</f>
        <v>0</v>
      </c>
      <c r="AX694" s="1492"/>
      <c r="AY694" s="1492">
        <f>IF($AQ$683=$C$691,IF($AQ$684=$C$692,IF($AQ$685=AY$693,IF($AQ$686=$F694,U694,0),0),0),0)</f>
        <v>0</v>
      </c>
      <c r="AZ694" s="1492"/>
      <c r="BL694" s="28"/>
    </row>
    <row r="695" spans="3:64" s="398" customFormat="1" hidden="1" outlineLevel="1">
      <c r="C695" s="707" t="s">
        <v>826</v>
      </c>
      <c r="F695" s="708" t="str">
        <f>C553</f>
        <v>Lugano</v>
      </c>
      <c r="M695" s="1521">
        <v>0</v>
      </c>
      <c r="N695" s="1521"/>
      <c r="O695" s="1521">
        <v>0.01</v>
      </c>
      <c r="P695" s="1521"/>
      <c r="Q695" s="1521">
        <v>0.03</v>
      </c>
      <c r="R695" s="1521"/>
      <c r="S695" s="1521">
        <v>0.11</v>
      </c>
      <c r="T695" s="1521"/>
      <c r="U695" s="1521">
        <v>0.3</v>
      </c>
      <c r="V695" s="1521"/>
      <c r="Z695" s="1492">
        <f>IF($Z$683=$C$691,IF($Z$684=$C$692,IF($Z$685=Z$693,IF($Z$686=$F695,M695,0),0),0),0)</f>
        <v>0</v>
      </c>
      <c r="AA695" s="1492"/>
      <c r="AB695" s="1492">
        <f>IF($Z$683=$C$691,IF($Z$684=$C$692,IF($Z$685=AB$693,IF($Z$686=$F695,O695,0),0),0),0)</f>
        <v>0</v>
      </c>
      <c r="AC695" s="1492"/>
      <c r="AD695" s="1492">
        <f>IF($Z$683=$C$691,IF($Z$684=$C$692,IF($Z$685=AD$693,IF($Z$686=$F695,Q695,0),0),0),0)</f>
        <v>0</v>
      </c>
      <c r="AE695" s="1492"/>
      <c r="AF695" s="1492">
        <f>IF($Z$683=$C$691,IF($Z$684=$C$692,IF($Z$685=AF$693,IF($Z$686=$F695,S695,0),0),0),0)</f>
        <v>0</v>
      </c>
      <c r="AG695" s="1492"/>
      <c r="AH695" s="1492">
        <f>IF($Z$683=$C$691,IF($Z$684=$C$692,IF($Z$685=AH$693,IF($Z$686=$F695,U695,0),0),0),0)</f>
        <v>0</v>
      </c>
      <c r="AI695" s="1492"/>
      <c r="AQ695" s="1492">
        <f>IF($AQ$683=$C$691,IF($AQ$684=$C$692,IF($AQ$685=AQ$693,IF($AQ$686=$F695,M695,0),0),0),0)</f>
        <v>0</v>
      </c>
      <c r="AR695" s="1492"/>
      <c r="AS695" s="1492">
        <f>IF($AQ$683=$C$691,IF($AQ$684=$C$692,IF($AQ$685=AS$693,IF($AQ$686=$F695,O695,0),0),0),0)</f>
        <v>0</v>
      </c>
      <c r="AT695" s="1492"/>
      <c r="AU695" s="1492">
        <f>IF($AQ$683=$C$691,IF($AQ$684=$C$692,IF($AQ$685=AU$693,IF($AQ$686=$F695,Q695,0),0),0),0)</f>
        <v>0</v>
      </c>
      <c r="AV695" s="1492"/>
      <c r="AW695" s="1492">
        <f>IF($AQ$683=$C$691,IF($AQ$684=$C$692,IF($AQ$685=AW$693,IF($AQ$686=$F695,S695,0),0),0),0)</f>
        <v>0</v>
      </c>
      <c r="AX695" s="1492"/>
      <c r="AY695" s="1492">
        <f>IF($AQ$683=$C$691,IF($AQ$684=$C$692,IF($AQ$685=AY$693,IF($AQ$686=$F695,U695,0),0),0),0)</f>
        <v>0</v>
      </c>
      <c r="AZ695" s="1492"/>
      <c r="BL695" s="28"/>
    </row>
    <row r="696" spans="3:64" s="398" customFormat="1" hidden="1" outlineLevel="1">
      <c r="C696" s="707" t="s">
        <v>827</v>
      </c>
      <c r="F696" s="708" t="str">
        <f>C561</f>
        <v>Davos</v>
      </c>
      <c r="M696" s="1521">
        <v>0</v>
      </c>
      <c r="N696" s="1521"/>
      <c r="O696" s="1521">
        <v>0.03</v>
      </c>
      <c r="P696" s="1521"/>
      <c r="Q696" s="1521">
        <v>0.1</v>
      </c>
      <c r="R696" s="1521"/>
      <c r="S696" s="1521">
        <v>0.28000000000000003</v>
      </c>
      <c r="T696" s="1521"/>
      <c r="U696" s="1521">
        <v>0.52</v>
      </c>
      <c r="V696" s="1521"/>
      <c r="Z696" s="1492">
        <f>IF($Z$683=$C$691,IF($Z$684=$C$692,IF($Z$685=Z$693,IF($Z$686=$F696,M696,0),0),0),0)</f>
        <v>0</v>
      </c>
      <c r="AA696" s="1492"/>
      <c r="AB696" s="1492">
        <f>IF($Z$683=$C$691,IF($Z$684=$C$692,IF($Z$685=AB$693,IF($Z$686=$F696,O696,0),0),0),0)</f>
        <v>0</v>
      </c>
      <c r="AC696" s="1492"/>
      <c r="AD696" s="1492">
        <f>IF($Z$683=$C$691,IF($Z$684=$C$692,IF($Z$685=AD$693,IF($Z$686=$F696,Q696,0),0),0),0)</f>
        <v>0</v>
      </c>
      <c r="AE696" s="1492"/>
      <c r="AF696" s="1492">
        <f>IF($Z$683=$C$691,IF($Z$684=$C$692,IF($Z$685=AF$693,IF($Z$686=$F696,S696,0),0),0),0)</f>
        <v>0</v>
      </c>
      <c r="AG696" s="1492"/>
      <c r="AH696" s="1492">
        <f>IF($Z$683=$C$691,IF($Z$684=$C$692,IF($Z$685=AH$693,IF($Z$686=$F696,U696,0),0),0),0)</f>
        <v>0</v>
      </c>
      <c r="AI696" s="1492"/>
      <c r="AQ696" s="1492">
        <f>IF($AQ$683=$C$691,IF($AQ$684=$C$692,IF($AQ$685=AQ$693,IF($AQ$686=$F696,M696,0),0),0),0)</f>
        <v>0</v>
      </c>
      <c r="AR696" s="1492"/>
      <c r="AS696" s="1492">
        <f>IF($AQ$683=$C$691,IF($AQ$684=$C$692,IF($AQ$685=AS$693,IF($AQ$686=$F696,O696,0),0),0),0)</f>
        <v>0</v>
      </c>
      <c r="AT696" s="1492"/>
      <c r="AU696" s="1492">
        <f>IF($AQ$683=$C$691,IF($AQ$684=$C$692,IF($AQ$685=AU$693,IF($AQ$686=$F696,Q696,0),0),0),0)</f>
        <v>0</v>
      </c>
      <c r="AV696" s="1492"/>
      <c r="AW696" s="1492">
        <f>IF($AQ$683=$C$691,IF($AQ$684=$C$692,IF($AQ$685=AW$693,IF($AQ$686=$F696,S696,0),0),0),0)</f>
        <v>0</v>
      </c>
      <c r="AX696" s="1492"/>
      <c r="AY696" s="1492">
        <f>IF($AQ$683=$C$691,IF($AQ$684=$C$692,IF($AQ$685=AY$693,IF($AQ$686=$F696,U696,0),0),0),0)</f>
        <v>0</v>
      </c>
      <c r="AZ696" s="1492"/>
      <c r="BL696" s="28"/>
    </row>
    <row r="697" spans="3:64" s="398" customFormat="1" hidden="1" outlineLevel="1">
      <c r="C697" s="703"/>
      <c r="F697" s="703"/>
      <c r="BL697" s="28"/>
    </row>
    <row r="698" spans="3:64" s="398" customFormat="1" hidden="1" outlineLevel="1">
      <c r="C698" s="703" t="str">
        <f>C691</f>
        <v>A: Klimakälte (2'000 h/a)</v>
      </c>
      <c r="F698" s="703"/>
      <c r="BL698" s="28"/>
    </row>
    <row r="699" spans="3:64" s="398" customFormat="1" hidden="1" outlineLevel="1">
      <c r="C699" s="717" t="str">
        <f>S$446</f>
        <v>Hybrid</v>
      </c>
      <c r="M699" s="1501" t="s">
        <v>828</v>
      </c>
      <c r="N699" s="1501"/>
      <c r="O699" s="1501"/>
      <c r="P699" s="1501"/>
      <c r="Q699" s="1501"/>
      <c r="R699" s="1501"/>
      <c r="S699" s="1501"/>
      <c r="T699" s="1501"/>
      <c r="U699" s="1501"/>
      <c r="V699" s="1501"/>
      <c r="Z699" s="1501" t="s">
        <v>828</v>
      </c>
      <c r="AA699" s="1501"/>
      <c r="AB699" s="1501"/>
      <c r="AC699" s="1501"/>
      <c r="AD699" s="1501"/>
      <c r="AE699" s="1501"/>
      <c r="AF699" s="1501"/>
      <c r="AG699" s="1501"/>
      <c r="AH699" s="1501"/>
      <c r="AI699" s="1501"/>
      <c r="AQ699" s="1501" t="s">
        <v>828</v>
      </c>
      <c r="AR699" s="1501"/>
      <c r="AS699" s="1501"/>
      <c r="AT699" s="1501"/>
      <c r="AU699" s="1501"/>
      <c r="AV699" s="1501"/>
      <c r="AW699" s="1501"/>
      <c r="AX699" s="1501"/>
      <c r="AY699" s="1501"/>
      <c r="AZ699" s="1501"/>
      <c r="BL699" s="28"/>
    </row>
    <row r="700" spans="3:64" s="398" customFormat="1" hidden="1" outlineLevel="1">
      <c r="C700" s="703"/>
      <c r="F700" s="703"/>
      <c r="M700" s="1501">
        <v>6</v>
      </c>
      <c r="N700" s="1501"/>
      <c r="O700" s="1501">
        <v>10</v>
      </c>
      <c r="P700" s="1501"/>
      <c r="Q700" s="1501">
        <v>14</v>
      </c>
      <c r="R700" s="1501"/>
      <c r="S700" s="1501">
        <v>18</v>
      </c>
      <c r="T700" s="1501"/>
      <c r="U700" s="1501">
        <v>22</v>
      </c>
      <c r="V700" s="1501"/>
      <c r="Z700" s="1501">
        <v>6</v>
      </c>
      <c r="AA700" s="1501"/>
      <c r="AB700" s="1501">
        <v>10</v>
      </c>
      <c r="AC700" s="1501"/>
      <c r="AD700" s="1501">
        <v>14</v>
      </c>
      <c r="AE700" s="1501"/>
      <c r="AF700" s="1501">
        <v>18</v>
      </c>
      <c r="AG700" s="1501"/>
      <c r="AH700" s="1501">
        <v>22</v>
      </c>
      <c r="AI700" s="1501"/>
      <c r="AJ700" s="1680">
        <f>SUM(Z701:AI703)</f>
        <v>0</v>
      </c>
      <c r="AK700" s="1681"/>
      <c r="AQ700" s="1501">
        <v>6</v>
      </c>
      <c r="AR700" s="1501"/>
      <c r="AS700" s="1501">
        <v>10</v>
      </c>
      <c r="AT700" s="1501"/>
      <c r="AU700" s="1501">
        <v>14</v>
      </c>
      <c r="AV700" s="1501"/>
      <c r="AW700" s="1501">
        <v>18</v>
      </c>
      <c r="AX700" s="1501"/>
      <c r="AY700" s="1501">
        <v>22</v>
      </c>
      <c r="AZ700" s="1501"/>
      <c r="BA700" s="1680">
        <f>SUM(AQ701:AZ703)</f>
        <v>0</v>
      </c>
      <c r="BB700" s="1681"/>
      <c r="BL700" s="28"/>
    </row>
    <row r="701" spans="3:64" s="398" customFormat="1" hidden="1" outlineLevel="1">
      <c r="C701" s="705" t="s">
        <v>825</v>
      </c>
      <c r="F701" s="706" t="str">
        <f>F694</f>
        <v>Zürich</v>
      </c>
      <c r="M701" s="1521">
        <v>0</v>
      </c>
      <c r="N701" s="1521"/>
      <c r="O701" s="1521">
        <v>0.01</v>
      </c>
      <c r="P701" s="1521"/>
      <c r="Q701" s="1521">
        <v>0.1</v>
      </c>
      <c r="R701" s="1521"/>
      <c r="S701" s="1521">
        <v>0.35</v>
      </c>
      <c r="T701" s="1521"/>
      <c r="U701" s="1521">
        <v>0.66</v>
      </c>
      <c r="V701" s="1521"/>
      <c r="Z701" s="1492">
        <f>IF($Z$683=$C$698,IF($Z$684=$C$699,IF($Z$685=Z$693,IF($Z$686=$F701,M701,0),0),0),0)</f>
        <v>0</v>
      </c>
      <c r="AA701" s="1492"/>
      <c r="AB701" s="1492">
        <f>IF($Z$683=$C$698,IF($Z$684=$C$699,IF($Z$685=AB$693,IF($Z$686=$F701,O701,0),0),0),0)</f>
        <v>0</v>
      </c>
      <c r="AC701" s="1492"/>
      <c r="AD701" s="1492">
        <f>IF($Z$683=$C$698,IF($Z$684=$C$699,IF($Z$685=AD$693,IF($Z$686=$F701,Q701,0),0),0),0)</f>
        <v>0</v>
      </c>
      <c r="AE701" s="1492"/>
      <c r="AF701" s="1492">
        <f>IF($Z$683=$C$698,IF($Z$684=$C$699,IF($Z$685=AF$693,IF($Z$686=$F701,S701,0),0),0),0)</f>
        <v>0</v>
      </c>
      <c r="AG701" s="1492"/>
      <c r="AH701" s="1492">
        <f>IF($Z$683=$C$698,IF($Z$684=$C$699,IF($Z$685=AH$693,IF($Z$686=$F701,U701,0),0),0),0)</f>
        <v>0</v>
      </c>
      <c r="AI701" s="1492"/>
      <c r="AQ701" s="1492">
        <f>IF($AQ$683=$C$698,IF($AQ$684=$C$699,IF($AQ$685=AQ$693,IF($AQ$686=$F701,M701,0),0),0),0)</f>
        <v>0</v>
      </c>
      <c r="AR701" s="1492"/>
      <c r="AS701" s="1492">
        <f>IF($AQ$683=$C$698,IF($AQ$684=$C$699,IF($AQ$685=AS$693,IF($AQ$686=$F701,O701,0),0),0),0)</f>
        <v>0</v>
      </c>
      <c r="AT701" s="1492"/>
      <c r="AU701" s="1492">
        <f>IF($AQ$683=$C$698,IF($AQ$684=$C$699,IF($AQ$685=AU$693,IF($AQ$686=$F701,Q701,0),0),0),0)</f>
        <v>0</v>
      </c>
      <c r="AV701" s="1492"/>
      <c r="AW701" s="1492">
        <f>IF($AQ$683=$C$698,IF($AQ$684=$C$699,IF($AQ$685=AW$693,IF($AQ$686=$F701,S701,0),0),0),0)</f>
        <v>0</v>
      </c>
      <c r="AX701" s="1492"/>
      <c r="AY701" s="1492">
        <f>IF($AQ$683=$C$698,IF($AQ$684=$C$699,IF($AQ$685=AY$693,IF($AQ$686=$F701,U701,0),0),0),0)</f>
        <v>0</v>
      </c>
      <c r="AZ701" s="1492"/>
      <c r="BL701" s="28"/>
    </row>
    <row r="702" spans="3:64" s="398" customFormat="1" hidden="1" outlineLevel="1">
      <c r="C702" s="707" t="s">
        <v>826</v>
      </c>
      <c r="F702" s="708" t="str">
        <f>F695</f>
        <v>Lugano</v>
      </c>
      <c r="M702" s="1521">
        <v>0</v>
      </c>
      <c r="N702" s="1521"/>
      <c r="O702" s="1521">
        <v>0.02</v>
      </c>
      <c r="P702" s="1521"/>
      <c r="Q702" s="1521">
        <v>7.0000000000000007E-2</v>
      </c>
      <c r="R702" s="1521"/>
      <c r="S702" s="1521">
        <v>0.27</v>
      </c>
      <c r="T702" s="1521"/>
      <c r="U702" s="1521">
        <v>0.52</v>
      </c>
      <c r="V702" s="1521"/>
      <c r="Z702" s="1492">
        <f>IF($Z$683=$C$698,IF($Z$684=$C$699,IF($Z$685=Z$693,IF($Z$686=$F702,M702,0),0),0),0)</f>
        <v>0</v>
      </c>
      <c r="AA702" s="1492"/>
      <c r="AB702" s="1492">
        <f>IF($Z$683=$C$698,IF($Z$684=$C$699,IF($Z$685=AB$693,IF($Z$686=$F702,O702,0),0),0),0)</f>
        <v>0</v>
      </c>
      <c r="AC702" s="1492"/>
      <c r="AD702" s="1492">
        <f>IF($Z$683=$C$698,IF($Z$684=$C$699,IF($Z$685=AD$693,IF($Z$686=$F702,Q702,0),0),0),0)</f>
        <v>0</v>
      </c>
      <c r="AE702" s="1492"/>
      <c r="AF702" s="1492">
        <f>IF($Z$683=$C$698,IF($Z$684=$C$699,IF($Z$685=AF$693,IF($Z$686=$F702,S702,0),0),0),0)</f>
        <v>0</v>
      </c>
      <c r="AG702" s="1492"/>
      <c r="AH702" s="1492">
        <f>IF($Z$683=$C$698,IF($Z$684=$C$699,IF($Z$685=AH$693,IF($Z$686=$F702,U702,0),0),0),0)</f>
        <v>0</v>
      </c>
      <c r="AI702" s="1492"/>
      <c r="AQ702" s="1492">
        <f>IF($AQ$683=$C$698,IF($AQ$684=$C$699,IF($AQ$685=AQ$693,IF($AQ$686=$F702,M702,0),0),0),0)</f>
        <v>0</v>
      </c>
      <c r="AR702" s="1492"/>
      <c r="AS702" s="1492">
        <f>IF($AQ$683=$C$698,IF($AQ$684=$C$699,IF($AQ$685=AS$693,IF($AQ$686=$F702,O702,0),0),0),0)</f>
        <v>0</v>
      </c>
      <c r="AT702" s="1492"/>
      <c r="AU702" s="1492">
        <f>IF($AQ$683=$C$698,IF($AQ$684=$C$699,IF($AQ$685=AU$693,IF($AQ$686=$F702,Q702,0),0),0),0)</f>
        <v>0</v>
      </c>
      <c r="AV702" s="1492"/>
      <c r="AW702" s="1492">
        <f>IF($AQ$683=$C$698,IF($AQ$684=$C$699,IF($AQ$685=AW$693,IF($AQ$686=$F702,S702,0),0),0),0)</f>
        <v>0</v>
      </c>
      <c r="AX702" s="1492"/>
      <c r="AY702" s="1492">
        <f>IF($AQ$683=$C$698,IF($AQ$684=$C$699,IF($AQ$685=AY$693,IF($AQ$686=$F702,U702,0),0),0),0)</f>
        <v>0</v>
      </c>
      <c r="AZ702" s="1492"/>
      <c r="BL702" s="28"/>
    </row>
    <row r="703" spans="3:64" s="398" customFormat="1" hidden="1" outlineLevel="1">
      <c r="C703" s="707" t="s">
        <v>827</v>
      </c>
      <c r="F703" s="708" t="str">
        <f>F696</f>
        <v>Davos</v>
      </c>
      <c r="M703" s="1521">
        <v>0.01</v>
      </c>
      <c r="N703" s="1521"/>
      <c r="O703" s="1521">
        <v>0.05</v>
      </c>
      <c r="P703" s="1521"/>
      <c r="Q703" s="1521">
        <v>0.3</v>
      </c>
      <c r="R703" s="1521"/>
      <c r="S703" s="1521">
        <v>0.62</v>
      </c>
      <c r="T703" s="1521"/>
      <c r="U703" s="1521">
        <v>0.7</v>
      </c>
      <c r="V703" s="1521"/>
      <c r="Z703" s="1492">
        <f>IF($Z$683=$C$698,IF($Z$684=$C$699,IF($Z$685=Z$693,IF($Z$686=$F703,M703,0),0),0),0)</f>
        <v>0</v>
      </c>
      <c r="AA703" s="1492"/>
      <c r="AB703" s="1492">
        <f>IF($Z$683=$C$698,IF($Z$684=$C$699,IF($Z$685=AB$693,IF($Z$686=$F703,O703,0),0),0),0)</f>
        <v>0</v>
      </c>
      <c r="AC703" s="1492"/>
      <c r="AD703" s="1492">
        <f>IF($Z$683=$C$698,IF($Z$684=$C$699,IF($Z$685=AD$693,IF($Z$686=$F703,Q703,0),0),0),0)</f>
        <v>0</v>
      </c>
      <c r="AE703" s="1492"/>
      <c r="AF703" s="1492">
        <f>IF($Z$683=$C$698,IF($Z$684=$C$699,IF($Z$685=AF$693,IF($Z$686=$F703,S703,0),0),0),0)</f>
        <v>0</v>
      </c>
      <c r="AG703" s="1492"/>
      <c r="AH703" s="1492">
        <f>IF($Z$683=$C$698,IF($Z$684=$C$699,IF($Z$685=AH$693,IF($Z$686=$F703,U703,0),0),0),0)</f>
        <v>0</v>
      </c>
      <c r="AI703" s="1492"/>
      <c r="AQ703" s="1492">
        <f>IF($AQ$683=$C$698,IF($AQ$684=$C$699,IF($AQ$685=AQ$693,IF($AQ$686=$F703,M703,0),0),0),0)</f>
        <v>0</v>
      </c>
      <c r="AR703" s="1492"/>
      <c r="AS703" s="1492">
        <f>IF($AQ$683=$C$698,IF($AQ$684=$C$699,IF($AQ$685=AS$693,IF($AQ$686=$F703,O703,0),0),0),0)</f>
        <v>0</v>
      </c>
      <c r="AT703" s="1492"/>
      <c r="AU703" s="1492">
        <f>IF($AQ$683=$C$698,IF($AQ$684=$C$699,IF($AQ$685=AU$693,IF($AQ$686=$F703,Q703,0),0),0),0)</f>
        <v>0</v>
      </c>
      <c r="AV703" s="1492"/>
      <c r="AW703" s="1492">
        <f>IF($AQ$683=$C$698,IF($AQ$684=$C$699,IF($AQ$685=AW$693,IF($AQ$686=$F703,S703,0),0),0),0)</f>
        <v>0</v>
      </c>
      <c r="AX703" s="1492"/>
      <c r="AY703" s="1492">
        <f>IF($AQ$683=$C$698,IF($AQ$684=$C$699,IF($AQ$685=AY$693,IF($AQ$686=$F703,U703,0),0),0),0)</f>
        <v>0</v>
      </c>
      <c r="AZ703" s="1492"/>
      <c r="BL703" s="28"/>
    </row>
    <row r="704" spans="3:64" s="398" customFormat="1" hidden="1" outlineLevel="1">
      <c r="C704" s="703"/>
      <c r="F704" s="703"/>
      <c r="M704" s="704"/>
      <c r="O704" s="704"/>
      <c r="P704" s="227"/>
      <c r="Q704" s="704"/>
      <c r="S704" s="704"/>
      <c r="U704" s="704"/>
      <c r="BL704" s="28"/>
    </row>
    <row r="705" spans="3:64" s="398" customFormat="1" hidden="1" outlineLevel="1">
      <c r="C705" s="703"/>
      <c r="F705" s="703"/>
      <c r="M705" s="704"/>
      <c r="O705" s="704"/>
      <c r="P705" s="227"/>
      <c r="Q705" s="704"/>
      <c r="S705" s="704"/>
      <c r="U705" s="704"/>
      <c r="BL705" s="28"/>
    </row>
    <row r="706" spans="3:64" s="398" customFormat="1" ht="15.75" hidden="1" outlineLevel="1">
      <c r="C706" s="718" t="str">
        <f>C590</f>
        <v>B: Anlage mit 3'500 Vollbetriebsstunden pro Jahr</v>
      </c>
      <c r="D706" s="719"/>
      <c r="E706" s="719"/>
      <c r="F706" s="699"/>
      <c r="G706" s="719"/>
      <c r="H706" s="719"/>
      <c r="I706" s="719"/>
      <c r="J706" s="719"/>
      <c r="K706" s="719"/>
      <c r="L706" s="719"/>
      <c r="M706" s="700"/>
      <c r="N706" s="719"/>
      <c r="O706" s="700"/>
      <c r="P706" s="720"/>
      <c r="Q706" s="700"/>
      <c r="R706" s="719"/>
      <c r="S706" s="700"/>
      <c r="T706" s="719"/>
      <c r="U706" s="721"/>
      <c r="V706" s="719"/>
      <c r="W706" s="719"/>
      <c r="X706" s="719"/>
      <c r="Y706" s="719"/>
      <c r="Z706" s="719"/>
      <c r="AA706" s="719"/>
      <c r="AB706" s="719"/>
      <c r="AC706" s="719"/>
      <c r="AD706" s="719"/>
      <c r="AE706" s="719"/>
      <c r="AF706" s="719"/>
      <c r="AG706" s="719"/>
      <c r="AH706" s="719"/>
      <c r="AI706" s="719"/>
      <c r="AJ706" s="719"/>
      <c r="AK706" s="719"/>
      <c r="AQ706" s="719"/>
      <c r="AR706" s="719"/>
      <c r="AS706" s="719"/>
      <c r="AT706" s="719"/>
      <c r="AU706" s="719"/>
      <c r="AV706" s="719"/>
      <c r="AW706" s="719"/>
      <c r="AX706" s="719"/>
      <c r="AY706" s="719"/>
      <c r="AZ706" s="719"/>
      <c r="BA706" s="719"/>
      <c r="BB706" s="719"/>
      <c r="BL706" s="28"/>
    </row>
    <row r="707" spans="3:64" s="398" customFormat="1" hidden="1" outlineLevel="1">
      <c r="C707" s="709"/>
      <c r="D707" s="64"/>
      <c r="E707" s="64"/>
      <c r="F707" s="709"/>
      <c r="G707" s="64"/>
      <c r="H707" s="64"/>
      <c r="I707" s="64"/>
      <c r="J707" s="64"/>
      <c r="K707" s="64"/>
      <c r="L707" s="64"/>
      <c r="M707" s="710"/>
      <c r="N707" s="64"/>
      <c r="O707" s="710"/>
      <c r="P707" s="61"/>
      <c r="Q707" s="710"/>
      <c r="R707" s="64"/>
      <c r="S707" s="710"/>
      <c r="T707" s="64"/>
      <c r="U707" s="710"/>
      <c r="V707" s="64"/>
      <c r="BL707" s="28"/>
    </row>
    <row r="708" spans="3:64" s="398" customFormat="1" hidden="1" outlineLevel="1">
      <c r="C708" s="709" t="str">
        <f>C706</f>
        <v>B: Anlage mit 3'500 Vollbetriebsstunden pro Jahr</v>
      </c>
      <c r="D708" s="64"/>
      <c r="E708" s="64"/>
      <c r="F708" s="709"/>
      <c r="G708" s="64"/>
      <c r="H708" s="64"/>
      <c r="I708" s="64"/>
      <c r="J708" s="64"/>
      <c r="K708" s="64"/>
      <c r="L708" s="64"/>
      <c r="M708" s="710"/>
      <c r="N708" s="64"/>
      <c r="O708" s="710"/>
      <c r="P708" s="61"/>
      <c r="Q708" s="710"/>
      <c r="R708" s="64"/>
      <c r="S708" s="710"/>
      <c r="T708" s="64"/>
      <c r="U708" s="710"/>
      <c r="V708" s="64"/>
      <c r="BL708" s="28"/>
    </row>
    <row r="709" spans="3:64" s="398" customFormat="1" hidden="1" outlineLevel="1">
      <c r="C709" s="716" t="str">
        <f>S$445</f>
        <v>Trocken</v>
      </c>
      <c r="M709" s="1502" t="s">
        <v>828</v>
      </c>
      <c r="N709" s="1502"/>
      <c r="O709" s="1502"/>
      <c r="P709" s="1502"/>
      <c r="Q709" s="1502"/>
      <c r="R709" s="1502"/>
      <c r="S709" s="1502"/>
      <c r="T709" s="1502"/>
      <c r="U709" s="1502"/>
      <c r="V709" s="1502"/>
      <c r="Z709" s="1502" t="s">
        <v>828</v>
      </c>
      <c r="AA709" s="1502"/>
      <c r="AB709" s="1502"/>
      <c r="AC709" s="1502"/>
      <c r="AD709" s="1502"/>
      <c r="AE709" s="1502"/>
      <c r="AF709" s="1502"/>
      <c r="AG709" s="1502"/>
      <c r="AH709" s="1502"/>
      <c r="AI709" s="1502"/>
      <c r="AQ709" s="1502" t="s">
        <v>828</v>
      </c>
      <c r="AR709" s="1502"/>
      <c r="AS709" s="1502"/>
      <c r="AT709" s="1502"/>
      <c r="AU709" s="1502"/>
      <c r="AV709" s="1502"/>
      <c r="AW709" s="1502"/>
      <c r="AX709" s="1502"/>
      <c r="AY709" s="1502"/>
      <c r="AZ709" s="1502"/>
      <c r="BL709" s="28"/>
    </row>
    <row r="710" spans="3:64" s="398" customFormat="1" hidden="1" outlineLevel="1">
      <c r="C710" s="703"/>
      <c r="F710" s="703"/>
      <c r="M710" s="1502">
        <v>6</v>
      </c>
      <c r="N710" s="1502"/>
      <c r="O710" s="1502">
        <v>10</v>
      </c>
      <c r="P710" s="1502"/>
      <c r="Q710" s="1502">
        <v>14</v>
      </c>
      <c r="R710" s="1502"/>
      <c r="S710" s="1502">
        <v>18</v>
      </c>
      <c r="T710" s="1502"/>
      <c r="U710" s="1502">
        <v>22</v>
      </c>
      <c r="V710" s="1502"/>
      <c r="Z710" s="1502">
        <v>6</v>
      </c>
      <c r="AA710" s="1502"/>
      <c r="AB710" s="1502">
        <v>10</v>
      </c>
      <c r="AC710" s="1502"/>
      <c r="AD710" s="1502">
        <v>14</v>
      </c>
      <c r="AE710" s="1502"/>
      <c r="AF710" s="1502">
        <v>18</v>
      </c>
      <c r="AG710" s="1502"/>
      <c r="AH710" s="1502">
        <v>22</v>
      </c>
      <c r="AI710" s="1502"/>
      <c r="AJ710" s="1680">
        <f>SUM(Z711:AI713)</f>
        <v>0</v>
      </c>
      <c r="AK710" s="1681"/>
      <c r="AQ710" s="1502">
        <v>6</v>
      </c>
      <c r="AR710" s="1502"/>
      <c r="AS710" s="1502">
        <v>10</v>
      </c>
      <c r="AT710" s="1502"/>
      <c r="AU710" s="1502">
        <v>14</v>
      </c>
      <c r="AV710" s="1502"/>
      <c r="AW710" s="1502">
        <v>18</v>
      </c>
      <c r="AX710" s="1502"/>
      <c r="AY710" s="1502">
        <v>22</v>
      </c>
      <c r="AZ710" s="1502"/>
      <c r="BA710" s="1680">
        <f>SUM(AQ711:AZ713)</f>
        <v>0</v>
      </c>
      <c r="BB710" s="1681"/>
      <c r="BL710" s="28"/>
    </row>
    <row r="711" spans="3:64" s="398" customFormat="1" hidden="1" outlineLevel="1">
      <c r="C711" s="705" t="s">
        <v>825</v>
      </c>
      <c r="F711" s="706" t="str">
        <f>F694</f>
        <v>Zürich</v>
      </c>
      <c r="M711" s="1519">
        <v>5.9400000000000001E-2</v>
      </c>
      <c r="N711" s="1519"/>
      <c r="O711" s="1519">
        <v>9.9900000000000003E-2</v>
      </c>
      <c r="P711" s="1519"/>
      <c r="Q711" s="1519">
        <v>0.18230000000000002</v>
      </c>
      <c r="R711" s="1519"/>
      <c r="S711" s="1519">
        <v>0.29770000000000002</v>
      </c>
      <c r="T711" s="1519"/>
      <c r="U711" s="1519">
        <v>0.48880000000000001</v>
      </c>
      <c r="V711" s="1519"/>
      <c r="Z711" s="1492">
        <f>IF($Z$683=$C$708,IF($Z$684=$C$709,IF($Z$685=Z$693,IF($Z$686=$F711,M711,0),0),0),0)</f>
        <v>0</v>
      </c>
      <c r="AA711" s="1492"/>
      <c r="AB711" s="1492">
        <f>IF($Z$683=$C$708,IF($Z$684=$C$709,IF($Z$685=AB$693,IF($Z$686=$F711,O711,0),0),0),0)</f>
        <v>0</v>
      </c>
      <c r="AC711" s="1492"/>
      <c r="AD711" s="1492">
        <f>IF($Z$683=$C$708,IF($Z$684=$C$709,IF($Z$685=AD$693,IF($Z$686=$F711,Q711,0),0),0),0)</f>
        <v>0</v>
      </c>
      <c r="AE711" s="1492"/>
      <c r="AF711" s="1492">
        <f>IF($Z$683=$C$708,IF($Z$684=$C$709,IF($Z$685=AF$693,IF($Z$686=$F711,S711,0),0),0),0)</f>
        <v>0</v>
      </c>
      <c r="AG711" s="1492"/>
      <c r="AH711" s="1492">
        <f>IF($Z$683=$C$708,IF($Z$684=$C$709,IF($Z$685=AH$693,IF($Z$686=$F711,U711,0),0),0),0)</f>
        <v>0</v>
      </c>
      <c r="AI711" s="1492"/>
      <c r="AQ711" s="1492">
        <f>IF($AQ$683=$C$708,IF($AQ$684=$C$709,IF($AQ$685=AQ$693,IF($AQ$686=$F711,M711,0),0),0),0)</f>
        <v>0</v>
      </c>
      <c r="AR711" s="1492"/>
      <c r="AS711" s="1492">
        <f>IF($AQ$683=$C$708,IF($AQ$684=$C$709,IF($AQ$685=AS$693,IF($AQ$686=$F711,O711,0),0),0),0)</f>
        <v>0</v>
      </c>
      <c r="AT711" s="1492"/>
      <c r="AU711" s="1492">
        <f>IF($AQ$683=$C$708,IF($AQ$684=$C$709,IF($AQ$685=AU$693,IF($AQ$686=$F711,Q711,0),0),0),0)</f>
        <v>0</v>
      </c>
      <c r="AV711" s="1492"/>
      <c r="AW711" s="1492">
        <f>IF($AQ$683=$C$708,IF($AQ$684=$C$709,IF($AQ$685=AW$693,IF($AQ$686=$F711,S711,0),0),0),0)</f>
        <v>0</v>
      </c>
      <c r="AX711" s="1492"/>
      <c r="AY711" s="1492">
        <f>IF($AQ$683=$C$708,IF($AQ$684=$C$709,IF($AQ$685=AY$693,IF($AQ$686=$F711,U711,0),0),0),0)</f>
        <v>0</v>
      </c>
      <c r="AZ711" s="1492"/>
      <c r="BL711" s="28"/>
    </row>
    <row r="712" spans="3:64" s="398" customFormat="1" hidden="1" outlineLevel="1">
      <c r="C712" s="707" t="s">
        <v>826</v>
      </c>
      <c r="F712" s="708" t="str">
        <f>F695</f>
        <v>Lugano</v>
      </c>
      <c r="M712" s="1519">
        <v>2.1600000000000001E-2</v>
      </c>
      <c r="N712" s="1519"/>
      <c r="O712" s="1519">
        <v>4.5100000000000008E-2</v>
      </c>
      <c r="P712" s="1519"/>
      <c r="Q712" s="1519">
        <v>0.12990000000000002</v>
      </c>
      <c r="R712" s="1519"/>
      <c r="S712" s="1519">
        <v>0.2288</v>
      </c>
      <c r="T712" s="1519"/>
      <c r="U712" s="1519">
        <v>0.40799999999999997</v>
      </c>
      <c r="V712" s="1519"/>
      <c r="Z712" s="1492">
        <f>IF($Z$683=$C$691,IF($Z$684=$C$692,IF($Z$685=Z$693,IF($Z$686=$F712,M712,0),0),0),0)</f>
        <v>0</v>
      </c>
      <c r="AA712" s="1492"/>
      <c r="AB712" s="1492">
        <f>IF($Z$683=$C$691,IF($Z$684=$C$692,IF($Z$685=AB$693,IF($Z$686=$F712,O712,0),0),0),0)</f>
        <v>0</v>
      </c>
      <c r="AC712" s="1492"/>
      <c r="AD712" s="1492">
        <f>IF($Z$683=$C$691,IF($Z$684=$C$692,IF($Z$685=AD$693,IF($Z$686=$F712,Q712,0),0),0),0)</f>
        <v>0</v>
      </c>
      <c r="AE712" s="1492"/>
      <c r="AF712" s="1492">
        <f>IF($Z$683=$C$691,IF($Z$684=$C$692,IF($Z$685=AF$693,IF($Z$686=$F712,S712,0),0),0),0)</f>
        <v>0</v>
      </c>
      <c r="AG712" s="1492"/>
      <c r="AH712" s="1492">
        <f>IF($Z$683=$C$691,IF($Z$684=$C$692,IF($Z$685=AH$693,IF($Z$686=$F712,U712,0),0),0),0)</f>
        <v>0</v>
      </c>
      <c r="AI712" s="1492"/>
      <c r="AQ712" s="1492">
        <f>IF($AQ$683=$C$708,IF($AQ$684=$C$709,IF($AQ$685=AQ$693,IF($AQ$686=$F712,M712,0),0),0),0)</f>
        <v>0</v>
      </c>
      <c r="AR712" s="1492"/>
      <c r="AS712" s="1492">
        <f>IF($AQ$683=$C$708,IF($AQ$684=$C$709,IF($AQ$685=AS$693,IF($AQ$686=$F712,O712,0),0),0),0)</f>
        <v>0</v>
      </c>
      <c r="AT712" s="1492"/>
      <c r="AU712" s="1492">
        <f>IF($AQ$683=$C$708,IF($AQ$684=$C$709,IF($AQ$685=AU$693,IF($AQ$686=$F712,Q712,0),0),0),0)</f>
        <v>0</v>
      </c>
      <c r="AV712" s="1492"/>
      <c r="AW712" s="1492">
        <f>IF($AQ$683=$C$708,IF($AQ$684=$C$709,IF($AQ$685=AW$693,IF($AQ$686=$F712,S712,0),0),0),0)</f>
        <v>0</v>
      </c>
      <c r="AX712" s="1492"/>
      <c r="AY712" s="1492">
        <f>IF($AQ$683=$C$708,IF($AQ$684=$C$709,IF($AQ$685=AY$693,IF($AQ$686=$F712,U712,0),0),0),0)</f>
        <v>0</v>
      </c>
      <c r="AZ712" s="1492"/>
      <c r="BL712" s="28"/>
    </row>
    <row r="713" spans="3:64" s="398" customFormat="1" hidden="1" outlineLevel="1">
      <c r="C713" s="707" t="s">
        <v>827</v>
      </c>
      <c r="F713" s="708" t="str">
        <f>F696</f>
        <v>Davos</v>
      </c>
      <c r="M713" s="1519">
        <v>0.1134</v>
      </c>
      <c r="N713" s="1519"/>
      <c r="O713" s="1519">
        <v>0.17849999999999999</v>
      </c>
      <c r="P713" s="1519"/>
      <c r="Q713" s="1520">
        <v>0.27550000000000002</v>
      </c>
      <c r="R713" s="1520"/>
      <c r="S713" s="1519">
        <v>0.43659999999999999</v>
      </c>
      <c r="T713" s="1519"/>
      <c r="U713" s="1519">
        <v>0.628</v>
      </c>
      <c r="V713" s="1519"/>
      <c r="Z713" s="1492">
        <f>IF($Z$683=$C$691,IF($Z$684=$C$692,IF($Z$685=Z$693,IF($Z$686=$F713,M713,0),0),0),0)</f>
        <v>0</v>
      </c>
      <c r="AA713" s="1492"/>
      <c r="AB713" s="1492">
        <f>IF($Z$683=$C$691,IF($Z$684=$C$692,IF($Z$685=AB$693,IF($Z$686=$F713,O713,0),0),0),0)</f>
        <v>0</v>
      </c>
      <c r="AC713" s="1492"/>
      <c r="AD713" s="1492">
        <f>IF($Z$683=$C$691,IF($Z$684=$C$692,IF($Z$685=AD$693,IF($Z$686=$F713,Q713,0),0),0),0)</f>
        <v>0</v>
      </c>
      <c r="AE713" s="1492"/>
      <c r="AF713" s="1492">
        <f>IF($Z$683=$C$691,IF($Z$684=$C$692,IF($Z$685=AF$693,IF($Z$686=$F713,S713,0),0),0),0)</f>
        <v>0</v>
      </c>
      <c r="AG713" s="1492"/>
      <c r="AH713" s="1492">
        <f>IF($Z$683=$C$691,IF($Z$684=$C$692,IF($Z$685=AH$693,IF($Z$686=$F713,U713,0),0),0),0)</f>
        <v>0</v>
      </c>
      <c r="AI713" s="1492"/>
      <c r="AQ713" s="1492">
        <f>IF($AQ$683=$C$708,IF($AQ$684=$C$709,IF($AQ$685=AQ$693,IF($AQ$686=$F713,M713,0),0),0),0)</f>
        <v>0</v>
      </c>
      <c r="AR713" s="1492"/>
      <c r="AS713" s="1492">
        <f>IF($AQ$683=$C$708,IF($AQ$684=$C$709,IF($AQ$685=AS$693,IF($AQ$686=$F713,O713,0),0),0),0)</f>
        <v>0</v>
      </c>
      <c r="AT713" s="1492"/>
      <c r="AU713" s="1492">
        <f>IF($AQ$683=$C$708,IF($AQ$684=$C$709,IF($AQ$685=AU$693,IF($AQ$686=$F713,Q713,0),0),0),0)</f>
        <v>0</v>
      </c>
      <c r="AV713" s="1492"/>
      <c r="AW713" s="1492">
        <f>IF($AQ$683=$C$708,IF($AQ$684=$C$709,IF($AQ$685=AW$693,IF($AQ$686=$F713,S713,0),0),0),0)</f>
        <v>0</v>
      </c>
      <c r="AX713" s="1492"/>
      <c r="AY713" s="1492">
        <f>IF($AQ$683=$C$708,IF($AQ$684=$C$709,IF($AQ$685=AY$693,IF($AQ$686=$F713,U713,0),0),0),0)</f>
        <v>0</v>
      </c>
      <c r="AZ713" s="1492"/>
      <c r="BL713" s="28"/>
    </row>
    <row r="714" spans="3:64" s="398" customFormat="1" hidden="1" outlineLevel="1">
      <c r="C714" s="703"/>
      <c r="F714" s="703"/>
      <c r="BL714" s="28"/>
    </row>
    <row r="715" spans="3:64" s="398" customFormat="1" hidden="1" outlineLevel="1">
      <c r="C715" s="703" t="str">
        <f>C706</f>
        <v>B: Anlage mit 3'500 Vollbetriebsstunden pro Jahr</v>
      </c>
      <c r="F715" s="703"/>
      <c r="BL715" s="28"/>
    </row>
    <row r="716" spans="3:64" s="398" customFormat="1" hidden="1" outlineLevel="1">
      <c r="C716" s="717" t="str">
        <f>S$446</f>
        <v>Hybrid</v>
      </c>
      <c r="M716" s="1501" t="s">
        <v>828</v>
      </c>
      <c r="N716" s="1501"/>
      <c r="O716" s="1501"/>
      <c r="P716" s="1501"/>
      <c r="Q716" s="1501"/>
      <c r="R716" s="1501"/>
      <c r="S716" s="1501"/>
      <c r="T716" s="1501"/>
      <c r="U716" s="1501"/>
      <c r="V716" s="1501"/>
      <c r="Z716" s="1501" t="s">
        <v>828</v>
      </c>
      <c r="AA716" s="1501"/>
      <c r="AB716" s="1501"/>
      <c r="AC716" s="1501"/>
      <c r="AD716" s="1501"/>
      <c r="AE716" s="1501"/>
      <c r="AF716" s="1501"/>
      <c r="AG716" s="1501"/>
      <c r="AH716" s="1501"/>
      <c r="AI716" s="1501"/>
      <c r="AQ716" s="1501" t="s">
        <v>828</v>
      </c>
      <c r="AR716" s="1501"/>
      <c r="AS716" s="1501"/>
      <c r="AT716" s="1501"/>
      <c r="AU716" s="1501"/>
      <c r="AV716" s="1501"/>
      <c r="AW716" s="1501"/>
      <c r="AX716" s="1501"/>
      <c r="AY716" s="1501"/>
      <c r="AZ716" s="1501"/>
      <c r="BL716" s="28"/>
    </row>
    <row r="717" spans="3:64" s="398" customFormat="1" hidden="1" outlineLevel="1">
      <c r="C717" s="703"/>
      <c r="F717" s="703"/>
      <c r="M717" s="1501">
        <v>6</v>
      </c>
      <c r="N717" s="1501"/>
      <c r="O717" s="1501">
        <v>10</v>
      </c>
      <c r="P717" s="1501"/>
      <c r="Q717" s="1501">
        <v>14</v>
      </c>
      <c r="R717" s="1501"/>
      <c r="S717" s="1501">
        <v>18</v>
      </c>
      <c r="T717" s="1501"/>
      <c r="U717" s="1501">
        <v>22</v>
      </c>
      <c r="V717" s="1501"/>
      <c r="Z717" s="1501">
        <v>6</v>
      </c>
      <c r="AA717" s="1501"/>
      <c r="AB717" s="1501">
        <v>10</v>
      </c>
      <c r="AC717" s="1501"/>
      <c r="AD717" s="1501">
        <v>14</v>
      </c>
      <c r="AE717" s="1501"/>
      <c r="AF717" s="1501">
        <v>18</v>
      </c>
      <c r="AG717" s="1501"/>
      <c r="AH717" s="1501">
        <v>22</v>
      </c>
      <c r="AI717" s="1501"/>
      <c r="AJ717" s="1680">
        <f>SUM(Z718:AI720)</f>
        <v>0</v>
      </c>
      <c r="AK717" s="1681"/>
      <c r="AQ717" s="1501">
        <v>6</v>
      </c>
      <c r="AR717" s="1501"/>
      <c r="AS717" s="1501">
        <v>10</v>
      </c>
      <c r="AT717" s="1501"/>
      <c r="AU717" s="1501">
        <v>14</v>
      </c>
      <c r="AV717" s="1501"/>
      <c r="AW717" s="1501">
        <v>18</v>
      </c>
      <c r="AX717" s="1501"/>
      <c r="AY717" s="1501">
        <v>22</v>
      </c>
      <c r="AZ717" s="1501"/>
      <c r="BA717" s="1680">
        <f>SUM(AQ718:AZ720)</f>
        <v>0</v>
      </c>
      <c r="BB717" s="1681"/>
      <c r="BL717" s="28"/>
    </row>
    <row r="718" spans="3:64" s="398" customFormat="1" hidden="1" outlineLevel="1">
      <c r="C718" s="705" t="s">
        <v>825</v>
      </c>
      <c r="F718" s="706" t="str">
        <f>F711</f>
        <v>Zürich</v>
      </c>
      <c r="M718" s="1519">
        <v>5.9400000000000001E-2</v>
      </c>
      <c r="N718" s="1519"/>
      <c r="O718" s="1519">
        <v>0.11260000000000001</v>
      </c>
      <c r="P718" s="1519"/>
      <c r="Q718" s="1519">
        <v>0.22150000000000003</v>
      </c>
      <c r="R718" s="1519"/>
      <c r="S718" s="1519">
        <v>0.45529999999999998</v>
      </c>
      <c r="T718" s="1519"/>
      <c r="U718" s="1519">
        <v>0.7248</v>
      </c>
      <c r="V718" s="1519"/>
      <c r="Z718" s="1492">
        <f>IF($Z$683=$C$715,IF($Z$684=$C$716,IF($Z$685=Z$693,IF($Z$686=$F718,M718,0),0),0),0)</f>
        <v>0</v>
      </c>
      <c r="AA718" s="1492"/>
      <c r="AB718" s="1492">
        <f>IF($Z$683=$C$715,IF($Z$684=$C$716,IF($Z$685=AB$693,IF($Z$686=$F718,O718,0),0),0),0)</f>
        <v>0</v>
      </c>
      <c r="AC718" s="1492"/>
      <c r="AD718" s="1492">
        <f>IF($Z$683=$C$715,IF($Z$684=$C$716,IF($Z$685=AD$693,IF($Z$686=$F718,Q718,0),0),0),0)</f>
        <v>0</v>
      </c>
      <c r="AE718" s="1492"/>
      <c r="AF718" s="1492">
        <f>IF($Z$683=$C$715,IF($Z$684=$C$716,IF($Z$685=AF$693,IF($Z$686=$F718,S718,0),0),0),0)</f>
        <v>0</v>
      </c>
      <c r="AG718" s="1492"/>
      <c r="AH718" s="1492">
        <f>IF($Z$683=$C$715,IF($Z$684=$C$716,IF($Z$685=AH$693,IF($Z$686=$F718,U718,0),0),0),0)</f>
        <v>0</v>
      </c>
      <c r="AI718" s="1492"/>
      <c r="AQ718" s="1492">
        <f>IF($AQ$683=$C$715,IF($AQ$684=$C$716,IF($AQ$685=AQ$693,IF($AQ$686=$F718,M718,0),0),0),0)</f>
        <v>0</v>
      </c>
      <c r="AR718" s="1492"/>
      <c r="AS718" s="1492">
        <f>IF($AQ$683=$C$715,IF($AQ$684=$C$716,IF($AQ$685=AS$693,IF($AQ$686=$F718,O718,0),0),0),0)</f>
        <v>0</v>
      </c>
      <c r="AT718" s="1492"/>
      <c r="AU718" s="1492">
        <f>IF($AQ$683=$C$715,IF($AQ$684=$C$716,IF($AQ$685=AU$693,IF($AQ$686=$F718,Q718,0),0),0),0)</f>
        <v>0</v>
      </c>
      <c r="AV718" s="1492"/>
      <c r="AW718" s="1492">
        <f>IF($AQ$683=$C$715,IF($AQ$684=$C$716,IF($AQ$685=AW$693,IF($AQ$686=$F718,S718,0),0),0),0)</f>
        <v>0</v>
      </c>
      <c r="AX718" s="1492"/>
      <c r="AY718" s="1492">
        <f>IF($AQ$683=$C$715,IF($AQ$684=$C$716,IF($AQ$685=AY$693,IF($AQ$686=$F718,U718,0),0),0),0)</f>
        <v>0</v>
      </c>
      <c r="AZ718" s="1492"/>
      <c r="BL718" s="28"/>
    </row>
    <row r="719" spans="3:64" s="398" customFormat="1" hidden="1" outlineLevel="1">
      <c r="C719" s="707" t="s">
        <v>826</v>
      </c>
      <c r="F719" s="708" t="str">
        <f>F712</f>
        <v>Lugano</v>
      </c>
      <c r="M719" s="1519">
        <v>3.2399999999999998E-2</v>
      </c>
      <c r="N719" s="1519"/>
      <c r="O719" s="1519">
        <v>9.5600000000000004E-2</v>
      </c>
      <c r="P719" s="1519"/>
      <c r="Q719" s="1519">
        <v>0.17530000000000001</v>
      </c>
      <c r="R719" s="1519"/>
      <c r="S719" s="1519">
        <v>0.36720000000000003</v>
      </c>
      <c r="T719" s="1519"/>
      <c r="U719" s="1519">
        <v>0.59830000000000005</v>
      </c>
      <c r="V719" s="1519"/>
      <c r="Z719" s="1492">
        <f>IF($Z$683=$C$715,IF($Z$684=$C$716,IF($Z$685=Z$693,IF($Z$686=$F719,M719,0),0),0),0)</f>
        <v>0</v>
      </c>
      <c r="AA719" s="1492"/>
      <c r="AB719" s="1492">
        <f>IF($Z$683=$C$715,IF($Z$684=$C$716,IF($Z$685=AB$693,IF($Z$686=$F719,O719,0),0),0),0)</f>
        <v>0</v>
      </c>
      <c r="AC719" s="1492"/>
      <c r="AD719" s="1492">
        <f>IF($Z$683=$C$715,IF($Z$684=$C$716,IF($Z$685=AD$693,IF($Z$686=$F719,Q719,0),0),0),0)</f>
        <v>0</v>
      </c>
      <c r="AE719" s="1492"/>
      <c r="AF719" s="1492">
        <f>IF($Z$683=$C$715,IF($Z$684=$C$716,IF($Z$685=AF$693,IF($Z$686=$F719,S719,0),0),0),0)</f>
        <v>0</v>
      </c>
      <c r="AG719" s="1492"/>
      <c r="AH719" s="1492">
        <f>IF($Z$683=$C$715,IF($Z$684=$C$716,IF($Z$685=AH$693,IF($Z$686=$F719,U719,0),0),0),0)</f>
        <v>0</v>
      </c>
      <c r="AI719" s="1492"/>
      <c r="AQ719" s="1492">
        <f>IF($AQ$683=$C$715,IF($AQ$684=$C$716,IF($AQ$685=AQ$693,IF($AQ$686=$F719,M719,0),0),0),0)</f>
        <v>0</v>
      </c>
      <c r="AR719" s="1492"/>
      <c r="AS719" s="1492">
        <f>IF($AQ$683=$C$715,IF($AQ$684=$C$716,IF($AQ$685=AS$693,IF($AQ$686=$F719,O719,0),0),0),0)</f>
        <v>0</v>
      </c>
      <c r="AT719" s="1492"/>
      <c r="AU719" s="1492">
        <f>IF($AQ$683=$C$715,IF($AQ$684=$C$716,IF($AQ$685=AU$693,IF($AQ$686=$F719,Q719,0),0),0),0)</f>
        <v>0</v>
      </c>
      <c r="AV719" s="1492"/>
      <c r="AW719" s="1492">
        <f>IF($AQ$683=$C$715,IF($AQ$684=$C$716,IF($AQ$685=AW$693,IF($AQ$686=$F719,S719,0),0),0),0)</f>
        <v>0</v>
      </c>
      <c r="AX719" s="1492"/>
      <c r="AY719" s="1492">
        <f>IF($AQ$683=$C$715,IF($AQ$684=$C$716,IF($AQ$685=AY$693,IF($AQ$686=$F719,U719,0),0),0),0)</f>
        <v>0</v>
      </c>
      <c r="AZ719" s="1492"/>
      <c r="BL719" s="28"/>
    </row>
    <row r="720" spans="3:64" s="398" customFormat="1" hidden="1" outlineLevel="1">
      <c r="C720" s="707" t="s">
        <v>827</v>
      </c>
      <c r="F720" s="708" t="str">
        <f>F713</f>
        <v>Davos</v>
      </c>
      <c r="M720" s="1519">
        <v>0.1288</v>
      </c>
      <c r="N720" s="1519"/>
      <c r="O720" s="1519">
        <v>0.20390000000000003</v>
      </c>
      <c r="P720" s="1519"/>
      <c r="Q720" s="1520">
        <v>0.435</v>
      </c>
      <c r="R720" s="1520"/>
      <c r="S720" s="1519">
        <v>0.6956</v>
      </c>
      <c r="T720" s="1519"/>
      <c r="U720" s="1519">
        <v>0.76749999999999996</v>
      </c>
      <c r="V720" s="1519"/>
      <c r="Z720" s="1492">
        <f>IF($Z$683=$C$715,IF($Z$684=$C$716,IF($Z$685=Z$693,IF($Z$686=$F720,M720,0),0),0),0)</f>
        <v>0</v>
      </c>
      <c r="AA720" s="1492"/>
      <c r="AB720" s="1492">
        <f>IF($Z$683=$C$715,IF($Z$684=$C$716,IF($Z$685=AB$693,IF($Z$686=$F720,O720,0),0),0),0)</f>
        <v>0</v>
      </c>
      <c r="AC720" s="1492"/>
      <c r="AD720" s="1492">
        <f>IF($Z$683=$C$715,IF($Z$684=$C$716,IF($Z$685=AD$693,IF($Z$686=$F720,Q720,0),0),0),0)</f>
        <v>0</v>
      </c>
      <c r="AE720" s="1492"/>
      <c r="AF720" s="1492">
        <f>IF($Z$683=$C$715,IF($Z$684=$C$716,IF($Z$685=AF$693,IF($Z$686=$F720,S720,0),0),0),0)</f>
        <v>0</v>
      </c>
      <c r="AG720" s="1492"/>
      <c r="AH720" s="1492">
        <f>IF($Z$683=$C$715,IF($Z$684=$C$716,IF($Z$685=AH$693,IF($Z$686=$F720,U720,0),0),0),0)</f>
        <v>0</v>
      </c>
      <c r="AI720" s="1492"/>
      <c r="AQ720" s="1492">
        <f>IF($AQ$683=$C$715,IF($AQ$684=$C$716,IF($AQ$685=AQ$693,IF($AQ$686=$F720,M720,0),0),0),0)</f>
        <v>0</v>
      </c>
      <c r="AR720" s="1492"/>
      <c r="AS720" s="1492">
        <f>IF($AQ$683=$C$715,IF($AQ$684=$C$716,IF($AQ$685=AS$693,IF($AQ$686=$F720,O720,0),0),0),0)</f>
        <v>0</v>
      </c>
      <c r="AT720" s="1492"/>
      <c r="AU720" s="1492">
        <f>IF($AQ$683=$C$715,IF($AQ$684=$C$716,IF($AQ$685=AU$693,IF($AQ$686=$F720,Q720,0),0),0),0)</f>
        <v>0</v>
      </c>
      <c r="AV720" s="1492"/>
      <c r="AW720" s="1492">
        <f>IF($AQ$683=$C$715,IF($AQ$684=$C$716,IF($AQ$685=AW$693,IF($AQ$686=$F720,S720,0),0),0),0)</f>
        <v>0</v>
      </c>
      <c r="AX720" s="1492"/>
      <c r="AY720" s="1492">
        <f>IF($AQ$683=$C$715,IF($AQ$684=$C$716,IF($AQ$685=AY$693,IF($AQ$686=$F720,U720,0),0),0),0)</f>
        <v>0</v>
      </c>
      <c r="AZ720" s="1492"/>
      <c r="BL720" s="28"/>
    </row>
    <row r="721" spans="3:64" s="398" customFormat="1" hidden="1" outlineLevel="1">
      <c r="C721" s="703"/>
      <c r="F721" s="703"/>
      <c r="BL721" s="28"/>
    </row>
    <row r="722" spans="3:64" s="398" customFormat="1" hidden="1" outlineLevel="1">
      <c r="C722" s="703"/>
      <c r="F722" s="703"/>
      <c r="M722" s="704"/>
      <c r="O722" s="704"/>
      <c r="P722" s="227"/>
      <c r="Q722" s="704"/>
      <c r="S722" s="704"/>
      <c r="U722" s="704"/>
      <c r="BL722" s="28"/>
    </row>
    <row r="723" spans="3:64" s="398" customFormat="1" ht="15.75" hidden="1" outlineLevel="1">
      <c r="C723" s="718" t="str">
        <f>C598</f>
        <v>C: Anlage mit 5'000 Vollbetriebsstunden pro Jahr</v>
      </c>
      <c r="D723" s="719"/>
      <c r="E723" s="719"/>
      <c r="F723" s="699"/>
      <c r="G723" s="719"/>
      <c r="H723" s="719"/>
      <c r="I723" s="719"/>
      <c r="J723" s="719"/>
      <c r="K723" s="719"/>
      <c r="L723" s="719"/>
      <c r="M723" s="700"/>
      <c r="N723" s="719"/>
      <c r="O723" s="700"/>
      <c r="P723" s="720"/>
      <c r="Q723" s="700"/>
      <c r="R723" s="719"/>
      <c r="S723" s="700"/>
      <c r="T723" s="719"/>
      <c r="U723" s="721"/>
      <c r="V723" s="719"/>
      <c r="W723" s="719"/>
      <c r="X723" s="719"/>
      <c r="Y723" s="719"/>
      <c r="Z723" s="719"/>
      <c r="AA723" s="719"/>
      <c r="AB723" s="719"/>
      <c r="AC723" s="719"/>
      <c r="AD723" s="719"/>
      <c r="AE723" s="719"/>
      <c r="AF723" s="719"/>
      <c r="AG723" s="719"/>
      <c r="AH723" s="719"/>
      <c r="AI723" s="719"/>
      <c r="AJ723" s="719"/>
      <c r="AK723" s="719"/>
      <c r="AQ723" s="719"/>
      <c r="AR723" s="719"/>
      <c r="AS723" s="719"/>
      <c r="AT723" s="719"/>
      <c r="AU723" s="719"/>
      <c r="AV723" s="719"/>
      <c r="AW723" s="719"/>
      <c r="AX723" s="719"/>
      <c r="AY723" s="719"/>
      <c r="AZ723" s="719"/>
      <c r="BA723" s="719"/>
      <c r="BB723" s="719"/>
      <c r="BL723" s="28"/>
    </row>
    <row r="724" spans="3:64" s="398" customFormat="1" hidden="1" outlineLevel="1">
      <c r="C724" s="709"/>
      <c r="D724" s="64"/>
      <c r="E724" s="64"/>
      <c r="F724" s="709"/>
      <c r="G724" s="64"/>
      <c r="H724" s="64"/>
      <c r="I724" s="64"/>
      <c r="J724" s="64"/>
      <c r="K724" s="64"/>
      <c r="L724" s="64"/>
      <c r="M724" s="710"/>
      <c r="N724" s="64"/>
      <c r="O724" s="710"/>
      <c r="P724" s="61"/>
      <c r="Q724" s="710"/>
      <c r="R724" s="64"/>
      <c r="S724" s="710"/>
      <c r="T724" s="64"/>
      <c r="U724" s="710"/>
      <c r="V724" s="64"/>
      <c r="BL724" s="28"/>
    </row>
    <row r="725" spans="3:64" s="398" customFormat="1" hidden="1" outlineLevel="1">
      <c r="C725" s="709" t="str">
        <f>C723</f>
        <v>C: Anlage mit 5'000 Vollbetriebsstunden pro Jahr</v>
      </c>
      <c r="D725" s="64"/>
      <c r="E725" s="64"/>
      <c r="F725" s="709"/>
      <c r="G725" s="64"/>
      <c r="H725" s="64"/>
      <c r="I725" s="64"/>
      <c r="J725" s="64"/>
      <c r="K725" s="64"/>
      <c r="L725" s="64"/>
      <c r="M725" s="710"/>
      <c r="N725" s="64"/>
      <c r="O725" s="710"/>
      <c r="P725" s="61"/>
      <c r="Q725" s="710"/>
      <c r="R725" s="64"/>
      <c r="S725" s="710"/>
      <c r="T725" s="64"/>
      <c r="U725" s="710"/>
      <c r="V725" s="64"/>
      <c r="BL725" s="28"/>
    </row>
    <row r="726" spans="3:64" s="398" customFormat="1" hidden="1" outlineLevel="1">
      <c r="C726" s="716" t="str">
        <f>S$445</f>
        <v>Trocken</v>
      </c>
      <c r="M726" s="1502" t="s">
        <v>828</v>
      </c>
      <c r="N726" s="1502"/>
      <c r="O726" s="1502"/>
      <c r="P726" s="1502"/>
      <c r="Q726" s="1502"/>
      <c r="R726" s="1502"/>
      <c r="S726" s="1502"/>
      <c r="T726" s="1502"/>
      <c r="U726" s="1502"/>
      <c r="V726" s="1502"/>
      <c r="Z726" s="1502" t="s">
        <v>828</v>
      </c>
      <c r="AA726" s="1502"/>
      <c r="AB726" s="1502"/>
      <c r="AC726" s="1502"/>
      <c r="AD726" s="1502"/>
      <c r="AE726" s="1502"/>
      <c r="AF726" s="1502"/>
      <c r="AG726" s="1502"/>
      <c r="AH726" s="1502"/>
      <c r="AI726" s="1502"/>
      <c r="AQ726" s="1502" t="s">
        <v>828</v>
      </c>
      <c r="AR726" s="1502"/>
      <c r="AS726" s="1502"/>
      <c r="AT726" s="1502"/>
      <c r="AU726" s="1502"/>
      <c r="AV726" s="1502"/>
      <c r="AW726" s="1502"/>
      <c r="AX726" s="1502"/>
      <c r="AY726" s="1502"/>
      <c r="AZ726" s="1502"/>
      <c r="BL726" s="28"/>
    </row>
    <row r="727" spans="3:64" s="398" customFormat="1" hidden="1" outlineLevel="1">
      <c r="C727" s="703"/>
      <c r="F727" s="703"/>
      <c r="M727" s="1502">
        <v>6</v>
      </c>
      <c r="N727" s="1502"/>
      <c r="O727" s="1502">
        <v>10</v>
      </c>
      <c r="P727" s="1502"/>
      <c r="Q727" s="1502">
        <v>14</v>
      </c>
      <c r="R727" s="1502"/>
      <c r="S727" s="1502">
        <v>18</v>
      </c>
      <c r="T727" s="1502"/>
      <c r="U727" s="1502">
        <v>22</v>
      </c>
      <c r="V727" s="1502"/>
      <c r="Z727" s="1502">
        <v>6</v>
      </c>
      <c r="AA727" s="1502"/>
      <c r="AB727" s="1502">
        <v>10</v>
      </c>
      <c r="AC727" s="1502"/>
      <c r="AD727" s="1502">
        <v>14</v>
      </c>
      <c r="AE727" s="1502"/>
      <c r="AF727" s="1502">
        <v>18</v>
      </c>
      <c r="AG727" s="1502"/>
      <c r="AH727" s="1502">
        <v>22</v>
      </c>
      <c r="AI727" s="1502"/>
      <c r="AJ727" s="1680">
        <f>SUM(Z728:AI730)</f>
        <v>0</v>
      </c>
      <c r="AK727" s="1681"/>
      <c r="AQ727" s="1502">
        <v>6</v>
      </c>
      <c r="AR727" s="1502"/>
      <c r="AS727" s="1502">
        <v>10</v>
      </c>
      <c r="AT727" s="1502"/>
      <c r="AU727" s="1502">
        <v>14</v>
      </c>
      <c r="AV727" s="1502"/>
      <c r="AW727" s="1502">
        <v>18</v>
      </c>
      <c r="AX727" s="1502"/>
      <c r="AY727" s="1502">
        <v>22</v>
      </c>
      <c r="AZ727" s="1502"/>
      <c r="BA727" s="1680">
        <f>SUM(AQ728:AZ730)</f>
        <v>0</v>
      </c>
      <c r="BB727" s="1681"/>
      <c r="BL727" s="28"/>
    </row>
    <row r="728" spans="3:64" s="398" customFormat="1" hidden="1" outlineLevel="1">
      <c r="C728" s="705" t="s">
        <v>825</v>
      </c>
      <c r="F728" s="706" t="str">
        <f>F711</f>
        <v>Zürich</v>
      </c>
      <c r="M728" s="1519">
        <v>0.12100000000000001</v>
      </c>
      <c r="N728" s="1519"/>
      <c r="O728" s="1519">
        <v>0.20350000000000001</v>
      </c>
      <c r="P728" s="1519"/>
      <c r="Q728" s="1519">
        <v>0.31950000000000006</v>
      </c>
      <c r="R728" s="1519"/>
      <c r="S728" s="1519">
        <v>0.4405</v>
      </c>
      <c r="T728" s="1519"/>
      <c r="U728" s="1519">
        <v>0.6120000000000001</v>
      </c>
      <c r="V728" s="1519"/>
      <c r="Z728" s="1492">
        <f>IF($Z$683=$C$725,IF($Z$684=$C$726,IF($Z$685=Z$693,IF($Z$686=$F728,M728,0),0),0),0)</f>
        <v>0</v>
      </c>
      <c r="AA728" s="1492"/>
      <c r="AB728" s="1492">
        <f>IF($Z$683=$C$725,IF($Z$684=$C$726,IF($Z$685=AB$693,IF($Z$686=$F728,O728,0),0),0),0)</f>
        <v>0</v>
      </c>
      <c r="AC728" s="1492"/>
      <c r="AD728" s="1492">
        <f>IF($Z$683=$C$725,IF($Z$684=$C$726,IF($Z$685=AD$693,IF($Z$686=$F728,Q728,0),0),0),0)</f>
        <v>0</v>
      </c>
      <c r="AE728" s="1492"/>
      <c r="AF728" s="1492">
        <f>IF($Z$683=$C$725,IF($Z$684=$C$726,IF($Z$685=AF$693,IF($Z$686=$F728,S728,0),0),0),0)</f>
        <v>0</v>
      </c>
      <c r="AG728" s="1492"/>
      <c r="AH728" s="1492">
        <f>IF($Z$683=$C$725,IF($Z$684=$C$726,IF($Z$685=AH$693,IF($Z$686=$F728,U728,0),0),0),0)</f>
        <v>0</v>
      </c>
      <c r="AI728" s="1492"/>
      <c r="AQ728" s="1492">
        <f>IF($AQ$683=$C$725,IF($AQ$684=$C$726,IF($AQ$685=AQ$693,IF($AQ$686=$F728,M728,0),0),0),0)</f>
        <v>0</v>
      </c>
      <c r="AR728" s="1492"/>
      <c r="AS728" s="1492">
        <f>IF($AQ$683=$C$725,IF($AQ$684=$C$726,IF($AQ$685=AS$693,IF($AQ$686=$F728,O728,0),0),0),0)</f>
        <v>0</v>
      </c>
      <c r="AT728" s="1492"/>
      <c r="AU728" s="1492">
        <f>IF($AQ$683=$C$725,IF($AQ$684=$C$726,IF($AQ$685=AU$693,IF($AQ$686=$F728,Q728,0),0),0),0)</f>
        <v>0</v>
      </c>
      <c r="AV728" s="1492"/>
      <c r="AW728" s="1492">
        <f>IF($AQ$683=$C$725,IF($AQ$684=$C$726,IF($AQ$685=AW$693,IF($AQ$686=$F728,S728,0),0),0),0)</f>
        <v>0</v>
      </c>
      <c r="AX728" s="1492"/>
      <c r="AY728" s="1492">
        <f>IF($AQ$683=$C$725,IF($AQ$684=$C$726,IF($AQ$685=AY$693,IF($AQ$686=$F728,U728,0),0),0),0)</f>
        <v>0</v>
      </c>
      <c r="AZ728" s="1492"/>
      <c r="BL728" s="28"/>
    </row>
    <row r="729" spans="3:64" s="398" customFormat="1" hidden="1" outlineLevel="1">
      <c r="C729" s="707" t="s">
        <v>826</v>
      </c>
      <c r="F729" s="708" t="str">
        <f>F712</f>
        <v>Lugano</v>
      </c>
      <c r="M729" s="1519">
        <v>4.4000000000000004E-2</v>
      </c>
      <c r="N729" s="1519"/>
      <c r="O729" s="1519">
        <v>8.1500000000000003E-2</v>
      </c>
      <c r="P729" s="1519"/>
      <c r="Q729" s="1519">
        <v>0.23350000000000001</v>
      </c>
      <c r="R729" s="1519"/>
      <c r="S729" s="1519">
        <v>0.35200000000000004</v>
      </c>
      <c r="T729" s="1519"/>
      <c r="U729" s="1519">
        <v>0.52</v>
      </c>
      <c r="V729" s="1519"/>
      <c r="Z729" s="1492">
        <f>IF($Z$683=$C$725,IF($Z$684=$C$726,IF($Z$685=Z$693,IF($Z$686=$F729,M729,0),0),0),0)</f>
        <v>0</v>
      </c>
      <c r="AA729" s="1492"/>
      <c r="AB729" s="1492">
        <f>IF($Z$683=$C$725,IF($Z$684=$C$726,IF($Z$685=AB$693,IF($Z$686=$F729,O729,0),0),0),0)</f>
        <v>0</v>
      </c>
      <c r="AC729" s="1492"/>
      <c r="AD729" s="1492">
        <f>IF($Z$683=$C$725,IF($Z$684=$C$726,IF($Z$685=AD$693,IF($Z$686=$F729,Q729,0),0),0),0)</f>
        <v>0</v>
      </c>
      <c r="AE729" s="1492"/>
      <c r="AF729" s="1492">
        <f>IF($Z$683=$C$725,IF($Z$684=$C$726,IF($Z$685=AF$693,IF($Z$686=$F729,S729,0),0),0),0)</f>
        <v>0</v>
      </c>
      <c r="AG729" s="1492"/>
      <c r="AH729" s="1492">
        <f>IF($Z$683=$C$725,IF($Z$684=$C$726,IF($Z$685=AH$693,IF($Z$686=$F729,U729,0),0),0),0)</f>
        <v>0</v>
      </c>
      <c r="AI729" s="1492"/>
      <c r="AQ729" s="1492">
        <f>IF($AQ$683=$C$725,IF($AQ$684=$C$726,IF($AQ$685=AQ$693,IF($AQ$686=$F729,M729,0),0),0),0)</f>
        <v>0</v>
      </c>
      <c r="AR729" s="1492"/>
      <c r="AS729" s="1492">
        <f>IF($AQ$683=$C$725,IF($AQ$684=$C$726,IF($AQ$685=AS$693,IF($AQ$686=$F729,O729,0),0),0),0)</f>
        <v>0</v>
      </c>
      <c r="AT729" s="1492"/>
      <c r="AU729" s="1492">
        <f>IF($AQ$683=$C$725,IF($AQ$684=$C$726,IF($AQ$685=AU$693,IF($AQ$686=$F729,Q729,0),0),0),0)</f>
        <v>0</v>
      </c>
      <c r="AV729" s="1492"/>
      <c r="AW729" s="1492">
        <f>IF($AQ$683=$C$725,IF($AQ$684=$C$726,IF($AQ$685=AW$693,IF($AQ$686=$F729,S729,0),0),0),0)</f>
        <v>0</v>
      </c>
      <c r="AX729" s="1492"/>
      <c r="AY729" s="1492">
        <f>IF($AQ$683=$C$725,IF($AQ$684=$C$726,IF($AQ$685=AY$693,IF($AQ$686=$F729,U729,0),0),0),0)</f>
        <v>0</v>
      </c>
      <c r="AZ729" s="1492"/>
      <c r="BL729" s="28"/>
    </row>
    <row r="730" spans="3:64" s="398" customFormat="1" hidden="1" outlineLevel="1">
      <c r="C730" s="707" t="s">
        <v>827</v>
      </c>
      <c r="F730" s="708" t="str">
        <f>F713</f>
        <v>Davos</v>
      </c>
      <c r="M730" s="1519">
        <v>0.23100000000000001</v>
      </c>
      <c r="N730" s="1519"/>
      <c r="O730" s="1519">
        <v>0.33250000000000002</v>
      </c>
      <c r="P730" s="1519"/>
      <c r="Q730" s="1520">
        <v>0.45750000000000002</v>
      </c>
      <c r="R730" s="1520"/>
      <c r="S730" s="1519">
        <v>0.59899999999999998</v>
      </c>
      <c r="T730" s="1519"/>
      <c r="U730" s="1519">
        <v>0.74</v>
      </c>
      <c r="V730" s="1519"/>
      <c r="Z730" s="1492">
        <f>IF($Z$683=$C$725,IF($Z$684=$C$726,IF($Z$685=Z$693,IF($Z$686=$F730,M730,0),0),0),0)</f>
        <v>0</v>
      </c>
      <c r="AA730" s="1492"/>
      <c r="AB730" s="1492">
        <f>IF($Z$683=$C$725,IF($Z$684=$C$726,IF($Z$685=AB$693,IF($Z$686=$F730,O730,0),0),0),0)</f>
        <v>0</v>
      </c>
      <c r="AC730" s="1492"/>
      <c r="AD730" s="1492">
        <f>IF($Z$683=$C$725,IF($Z$684=$C$726,IF($Z$685=AD$693,IF($Z$686=$F730,Q730,0),0),0),0)</f>
        <v>0</v>
      </c>
      <c r="AE730" s="1492"/>
      <c r="AF730" s="1492">
        <f>IF($Z$683=$C$725,IF($Z$684=$C$726,IF($Z$685=AF$693,IF($Z$686=$F730,S730,0),0),0),0)</f>
        <v>0</v>
      </c>
      <c r="AG730" s="1492"/>
      <c r="AH730" s="1492">
        <f>IF($Z$683=$C$725,IF($Z$684=$C$726,IF($Z$685=AH$693,IF($Z$686=$F730,U730,0),0),0),0)</f>
        <v>0</v>
      </c>
      <c r="AI730" s="1492"/>
      <c r="AQ730" s="1492">
        <f>IF($AQ$683=$C$725,IF($AQ$684=$C$726,IF($AQ$685=AQ$693,IF($AQ$686=$F730,M730,0),0),0),0)</f>
        <v>0</v>
      </c>
      <c r="AR730" s="1492"/>
      <c r="AS730" s="1492">
        <f>IF($AQ$683=$C$725,IF($AQ$684=$C$726,IF($AQ$685=AS$693,IF($AQ$686=$F730,O730,0),0),0),0)</f>
        <v>0</v>
      </c>
      <c r="AT730" s="1492"/>
      <c r="AU730" s="1492">
        <f>IF($AQ$683=$C$725,IF($AQ$684=$C$726,IF($AQ$685=AU$693,IF($AQ$686=$F730,Q730,0),0),0),0)</f>
        <v>0</v>
      </c>
      <c r="AV730" s="1492"/>
      <c r="AW730" s="1492">
        <f>IF($AQ$683=$C$725,IF($AQ$684=$C$726,IF($AQ$685=AW$693,IF($AQ$686=$F730,S730,0),0),0),0)</f>
        <v>0</v>
      </c>
      <c r="AX730" s="1492"/>
      <c r="AY730" s="1492">
        <f>IF($AQ$683=$C$725,IF($AQ$684=$C$726,IF($AQ$685=AY$693,IF($AQ$686=$F730,U730,0),0),0),0)</f>
        <v>0</v>
      </c>
      <c r="AZ730" s="1492"/>
      <c r="BL730" s="28"/>
    </row>
    <row r="731" spans="3:64" s="398" customFormat="1" hidden="1" outlineLevel="1">
      <c r="C731" s="703"/>
      <c r="F731" s="703"/>
      <c r="BL731" s="28"/>
    </row>
    <row r="732" spans="3:64" s="398" customFormat="1" hidden="1" outlineLevel="1">
      <c r="C732" s="703" t="str">
        <f>C723</f>
        <v>C: Anlage mit 5'000 Vollbetriebsstunden pro Jahr</v>
      </c>
      <c r="F732" s="703"/>
      <c r="BL732" s="28"/>
    </row>
    <row r="733" spans="3:64" s="398" customFormat="1" hidden="1" outlineLevel="1">
      <c r="C733" s="717" t="str">
        <f>S$446</f>
        <v>Hybrid</v>
      </c>
      <c r="M733" s="1501" t="s">
        <v>828</v>
      </c>
      <c r="N733" s="1501"/>
      <c r="O733" s="1501"/>
      <c r="P733" s="1501"/>
      <c r="Q733" s="1501"/>
      <c r="R733" s="1501"/>
      <c r="S733" s="1501"/>
      <c r="T733" s="1501"/>
      <c r="U733" s="1501"/>
      <c r="V733" s="1501"/>
      <c r="Z733" s="1501" t="s">
        <v>828</v>
      </c>
      <c r="AA733" s="1501"/>
      <c r="AB733" s="1501"/>
      <c r="AC733" s="1501"/>
      <c r="AD733" s="1501"/>
      <c r="AE733" s="1501"/>
      <c r="AF733" s="1501"/>
      <c r="AG733" s="1501"/>
      <c r="AH733" s="1501"/>
      <c r="AI733" s="1501"/>
      <c r="AQ733" s="1501" t="s">
        <v>828</v>
      </c>
      <c r="AR733" s="1501"/>
      <c r="AS733" s="1501"/>
      <c r="AT733" s="1501"/>
      <c r="AU733" s="1501"/>
      <c r="AV733" s="1501"/>
      <c r="AW733" s="1501"/>
      <c r="AX733" s="1501"/>
      <c r="AY733" s="1501"/>
      <c r="AZ733" s="1501"/>
      <c r="BL733" s="28"/>
    </row>
    <row r="734" spans="3:64" s="398" customFormat="1" hidden="1" outlineLevel="1">
      <c r="C734" s="703"/>
      <c r="F734" s="703"/>
      <c r="M734" s="1501">
        <v>6</v>
      </c>
      <c r="N734" s="1501"/>
      <c r="O734" s="1501">
        <v>10</v>
      </c>
      <c r="P734" s="1501"/>
      <c r="Q734" s="1501">
        <v>14</v>
      </c>
      <c r="R734" s="1501"/>
      <c r="S734" s="1501">
        <v>18</v>
      </c>
      <c r="T734" s="1501"/>
      <c r="U734" s="1501">
        <v>22</v>
      </c>
      <c r="V734" s="1501"/>
      <c r="Z734" s="1501">
        <v>6</v>
      </c>
      <c r="AA734" s="1501"/>
      <c r="AB734" s="1501">
        <v>10</v>
      </c>
      <c r="AC734" s="1501"/>
      <c r="AD734" s="1501">
        <v>14</v>
      </c>
      <c r="AE734" s="1501"/>
      <c r="AF734" s="1501">
        <v>18</v>
      </c>
      <c r="AG734" s="1501"/>
      <c r="AH734" s="1501">
        <v>22</v>
      </c>
      <c r="AI734" s="1501"/>
      <c r="AJ734" s="1680">
        <f>SUM(Z735:AI737)</f>
        <v>0</v>
      </c>
      <c r="AK734" s="1681"/>
      <c r="AQ734" s="1501">
        <v>6</v>
      </c>
      <c r="AR734" s="1501"/>
      <c r="AS734" s="1501">
        <v>10</v>
      </c>
      <c r="AT734" s="1501"/>
      <c r="AU734" s="1501">
        <v>14</v>
      </c>
      <c r="AV734" s="1501"/>
      <c r="AW734" s="1501">
        <v>18</v>
      </c>
      <c r="AX734" s="1501"/>
      <c r="AY734" s="1501">
        <v>22</v>
      </c>
      <c r="AZ734" s="1501"/>
      <c r="BA734" s="1680">
        <f>SUM(AQ735:AZ737)</f>
        <v>0</v>
      </c>
      <c r="BB734" s="1681"/>
      <c r="BL734" s="28"/>
    </row>
    <row r="735" spans="3:64" s="398" customFormat="1" hidden="1" outlineLevel="1">
      <c r="C735" s="705" t="s">
        <v>825</v>
      </c>
      <c r="F735" s="706" t="str">
        <f>F728</f>
        <v>Zürich</v>
      </c>
      <c r="M735" s="1519">
        <v>0.12100000000000001</v>
      </c>
      <c r="N735" s="1519"/>
      <c r="O735" s="1519">
        <v>0.21900000000000003</v>
      </c>
      <c r="P735" s="1519"/>
      <c r="Q735" s="1519">
        <v>0.34750000000000003</v>
      </c>
      <c r="R735" s="1519"/>
      <c r="S735" s="1519">
        <v>0.5645</v>
      </c>
      <c r="T735" s="1519"/>
      <c r="U735" s="1519">
        <v>0.79200000000000004</v>
      </c>
      <c r="V735" s="1519"/>
      <c r="Z735" s="1492">
        <f>IF($Z$683=$C$732,IF($Z$684=$C$733,IF($Z$685=Z$693,IF($Z$686=$F735,M735,0),0),0),0)</f>
        <v>0</v>
      </c>
      <c r="AA735" s="1492"/>
      <c r="AB735" s="1492">
        <f>IF($Z$683=$C$732,IF($Z$684=$C$733,IF($Z$685=AB$693,IF($Z$686=$F735,O735,0),0),0),0)</f>
        <v>0</v>
      </c>
      <c r="AC735" s="1492"/>
      <c r="AD735" s="1492">
        <f>IF($Z$683=$C$732,IF($Z$684=$C$733,IF($Z$685=AD$693,IF($Z$686=$F735,Q735,0),0),0),0)</f>
        <v>0</v>
      </c>
      <c r="AE735" s="1492"/>
      <c r="AF735" s="1492">
        <f>IF($Z$683=$C$732,IF($Z$684=$C$733,IF($Z$685=AF$693,IF($Z$686=$F735,S735,0),0),0),0)</f>
        <v>0</v>
      </c>
      <c r="AG735" s="1492"/>
      <c r="AH735" s="1492">
        <f>IF($Z$683=$C$732,IF($Z$684=$C$733,IF($Z$685=AH$693,IF($Z$686=$F735,U735,0),0),0),0)</f>
        <v>0</v>
      </c>
      <c r="AI735" s="1492"/>
      <c r="AQ735" s="1492">
        <f>IF($AQ$683=$C$732,IF($AQ$684=$C$733,IF($AQ$685=AQ$693,IF($AQ$686=$F735,M735,0),0),0),0)</f>
        <v>0</v>
      </c>
      <c r="AR735" s="1492"/>
      <c r="AS735" s="1492">
        <f>IF($AQ$683=$C$732,IF($AQ$684=$C$733,IF($AQ$685=AS$693,IF($AQ$686=$F735,O735,0),0),0),0)</f>
        <v>0</v>
      </c>
      <c r="AT735" s="1492"/>
      <c r="AU735" s="1492">
        <f>IF($AQ$683=$C$732,IF($AQ$684=$C$733,IF($AQ$685=AU$693,IF($AQ$686=$F735,Q735,0),0),0),0)</f>
        <v>0</v>
      </c>
      <c r="AV735" s="1492"/>
      <c r="AW735" s="1492">
        <f>IF($AQ$683=$C$732,IF($AQ$684=$C$733,IF($AQ$685=AW$693,IF($AQ$686=$F735,S735,0),0),0),0)</f>
        <v>0</v>
      </c>
      <c r="AX735" s="1492"/>
      <c r="AY735" s="1492">
        <f>IF($AQ$683=$C$732,IF($AQ$684=$C$733,IF($AQ$685=AY$693,IF($AQ$686=$F735,U735,0),0),0),0)</f>
        <v>0</v>
      </c>
      <c r="AZ735" s="1492"/>
      <c r="BL735" s="28"/>
    </row>
    <row r="736" spans="3:64" s="398" customFormat="1" hidden="1" outlineLevel="1">
      <c r="C736" s="707" t="s">
        <v>826</v>
      </c>
      <c r="F736" s="708" t="str">
        <f>F729</f>
        <v>Lugano</v>
      </c>
      <c r="M736" s="1519">
        <v>6.6000000000000003E-2</v>
      </c>
      <c r="N736" s="1519"/>
      <c r="O736" s="1519">
        <v>0.17399999999999999</v>
      </c>
      <c r="P736" s="1519"/>
      <c r="Q736" s="1519">
        <v>0.28450000000000003</v>
      </c>
      <c r="R736" s="1519"/>
      <c r="S736" s="1519">
        <v>0.46800000000000003</v>
      </c>
      <c r="T736" s="1519"/>
      <c r="U736" s="1519">
        <v>0.67949999999999999</v>
      </c>
      <c r="V736" s="1519"/>
      <c r="Z736" s="1492">
        <f>IF($Z$683=$C$732,IF($Z$684=$C$733,IF($Z$685=Z$693,IF($Z$686=$F736,M736,0),0),0),0)</f>
        <v>0</v>
      </c>
      <c r="AA736" s="1492"/>
      <c r="AB736" s="1492">
        <f>IF($Z$683=$C$732,IF($Z$684=$C$733,IF($Z$685=AB$693,IF($Z$686=$F736,O736,0),0),0),0)</f>
        <v>0</v>
      </c>
      <c r="AC736" s="1492"/>
      <c r="AD736" s="1492">
        <f>IF($Z$683=$C$732,IF($Z$684=$C$733,IF($Z$685=AD$693,IF($Z$686=$F736,Q736,0),0),0),0)</f>
        <v>0</v>
      </c>
      <c r="AE736" s="1492"/>
      <c r="AF736" s="1492">
        <f>IF($Z$683=$C$732,IF($Z$684=$C$733,IF($Z$685=AF$693,IF($Z$686=$F736,S736,0),0),0),0)</f>
        <v>0</v>
      </c>
      <c r="AG736" s="1492"/>
      <c r="AH736" s="1492">
        <f>IF($Z$683=$C$732,IF($Z$684=$C$733,IF($Z$685=AH$693,IF($Z$686=$F736,U736,0),0),0),0)</f>
        <v>0</v>
      </c>
      <c r="AI736" s="1492"/>
      <c r="AQ736" s="1492">
        <f>IF($AQ$683=$C$732,IF($AQ$684=$C$733,IF($AQ$685=AQ$693,IF($AQ$686=$F736,M736,0),0),0),0)</f>
        <v>0</v>
      </c>
      <c r="AR736" s="1492"/>
      <c r="AS736" s="1492">
        <f>IF($AQ$683=$C$732,IF($AQ$684=$C$733,IF($AQ$685=AS$693,IF($AQ$686=$F736,O736,0),0),0),0)</f>
        <v>0</v>
      </c>
      <c r="AT736" s="1492"/>
      <c r="AU736" s="1492">
        <f>IF($AQ$683=$C$732,IF($AQ$684=$C$733,IF($AQ$685=AU$693,IF($AQ$686=$F736,Q736,0),0),0),0)</f>
        <v>0</v>
      </c>
      <c r="AV736" s="1492"/>
      <c r="AW736" s="1492">
        <f>IF($AQ$683=$C$732,IF($AQ$684=$C$733,IF($AQ$685=AW$693,IF($AQ$686=$F736,S736,0),0),0),0)</f>
        <v>0</v>
      </c>
      <c r="AX736" s="1492"/>
      <c r="AY736" s="1492">
        <f>IF($AQ$683=$C$732,IF($AQ$684=$C$733,IF($AQ$685=AY$693,IF($AQ$686=$F736,U736,0),0),0),0)</f>
        <v>0</v>
      </c>
      <c r="AZ736" s="1492"/>
      <c r="BL736" s="28"/>
    </row>
    <row r="737" spans="3:64" s="398" customFormat="1" hidden="1" outlineLevel="1">
      <c r="C737" s="707" t="s">
        <v>827</v>
      </c>
      <c r="F737" s="708" t="str">
        <f>F730</f>
        <v>Davos</v>
      </c>
      <c r="M737" s="1519">
        <v>0.252</v>
      </c>
      <c r="N737" s="1519"/>
      <c r="O737" s="1519">
        <v>0.36349999999999999</v>
      </c>
      <c r="P737" s="1519"/>
      <c r="Q737" s="1520">
        <v>0.57499999999999996</v>
      </c>
      <c r="R737" s="1520"/>
      <c r="S737" s="1519">
        <v>0.77400000000000002</v>
      </c>
      <c r="T737" s="1519"/>
      <c r="U737" s="1519">
        <v>0.83749999999999991</v>
      </c>
      <c r="V737" s="1519"/>
      <c r="Z737" s="1492">
        <f>IF($Z$683=$C$732,IF($Z$684=$C$733,IF($Z$685=Z$693,IF($Z$686=$F737,M737,0),0),0),0)</f>
        <v>0</v>
      </c>
      <c r="AA737" s="1492"/>
      <c r="AB737" s="1492">
        <f>IF($Z$683=$C$732,IF($Z$684=$C$733,IF($Z$685=AB$693,IF($Z$686=$F737,O737,0),0),0),0)</f>
        <v>0</v>
      </c>
      <c r="AC737" s="1492"/>
      <c r="AD737" s="1492">
        <f>IF($Z$683=$C$732,IF($Z$684=$C$733,IF($Z$685=AD$693,IF($Z$686=$F737,Q737,0),0),0),0)</f>
        <v>0</v>
      </c>
      <c r="AE737" s="1492"/>
      <c r="AF737" s="1492">
        <f>IF($Z$683=$C$732,IF($Z$684=$C$733,IF($Z$685=AF$693,IF($Z$686=$F737,S737,0),0),0),0)</f>
        <v>0</v>
      </c>
      <c r="AG737" s="1492"/>
      <c r="AH737" s="1492">
        <f>IF($Z$683=$C$732,IF($Z$684=$C$733,IF($Z$685=AH$693,IF($Z$686=$F737,U737,0),0),0),0)</f>
        <v>0</v>
      </c>
      <c r="AI737" s="1492"/>
      <c r="AQ737" s="1492">
        <f>IF($AQ$683=$C$732,IF($AQ$684=$C$733,IF($AQ$685=AQ$693,IF($AQ$686=$F737,M737,0),0),0),0)</f>
        <v>0</v>
      </c>
      <c r="AR737" s="1492"/>
      <c r="AS737" s="1492">
        <f>IF($AQ$683=$C$732,IF($AQ$684=$C$733,IF($AQ$685=AS$693,IF($AQ$686=$F737,O737,0),0),0),0)</f>
        <v>0</v>
      </c>
      <c r="AT737" s="1492"/>
      <c r="AU737" s="1492">
        <f>IF($AQ$683=$C$732,IF($AQ$684=$C$733,IF($AQ$685=AU$693,IF($AQ$686=$F737,Q737,0),0),0),0)</f>
        <v>0</v>
      </c>
      <c r="AV737" s="1492"/>
      <c r="AW737" s="1492">
        <f>IF($AQ$683=$C$732,IF($AQ$684=$C$733,IF($AQ$685=AW$693,IF($AQ$686=$F737,S737,0),0),0),0)</f>
        <v>0</v>
      </c>
      <c r="AX737" s="1492"/>
      <c r="AY737" s="1492">
        <f>IF($AQ$683=$C$732,IF($AQ$684=$C$733,IF($AQ$685=AY$693,IF($AQ$686=$F737,U737,0),0),0),0)</f>
        <v>0</v>
      </c>
      <c r="AZ737" s="1492"/>
      <c r="BL737" s="28"/>
    </row>
    <row r="738" spans="3:64" s="398" customFormat="1" hidden="1" outlineLevel="1">
      <c r="C738" s="703"/>
      <c r="F738" s="703"/>
      <c r="BL738" s="28"/>
    </row>
    <row r="739" spans="3:64" s="398" customFormat="1" hidden="1" outlineLevel="1">
      <c r="C739" s="703"/>
      <c r="F739" s="703"/>
      <c r="M739" s="704"/>
      <c r="O739" s="704"/>
      <c r="P739" s="227"/>
      <c r="Q739" s="704"/>
      <c r="S739" s="704"/>
      <c r="U739" s="704"/>
      <c r="BL739" s="28"/>
    </row>
    <row r="740" spans="3:64" s="398" customFormat="1" ht="15.75" hidden="1" outlineLevel="1">
      <c r="C740" s="718" t="str">
        <f>C599</f>
        <v>D: Anlage mit 7'500 Vollbetriebsstunden pro Jahr</v>
      </c>
      <c r="D740" s="719"/>
      <c r="E740" s="719"/>
      <c r="F740" s="699"/>
      <c r="G740" s="719"/>
      <c r="H740" s="719"/>
      <c r="I740" s="719"/>
      <c r="J740" s="719"/>
      <c r="K740" s="719"/>
      <c r="L740" s="719"/>
      <c r="M740" s="700"/>
      <c r="N740" s="719"/>
      <c r="O740" s="700"/>
      <c r="P740" s="720"/>
      <c r="Q740" s="700"/>
      <c r="R740" s="719"/>
      <c r="S740" s="700"/>
      <c r="T740" s="719"/>
      <c r="U740" s="721"/>
      <c r="V740" s="719"/>
      <c r="W740" s="719"/>
      <c r="X740" s="719"/>
      <c r="Y740" s="719"/>
      <c r="Z740" s="719"/>
      <c r="AA740" s="719"/>
      <c r="AB740" s="719"/>
      <c r="AC740" s="719"/>
      <c r="AD740" s="719"/>
      <c r="AE740" s="719"/>
      <c r="AF740" s="719"/>
      <c r="AG740" s="719"/>
      <c r="AH740" s="719"/>
      <c r="AI740" s="719"/>
      <c r="AJ740" s="719"/>
      <c r="AK740" s="719"/>
      <c r="AQ740" s="719"/>
      <c r="AR740" s="719"/>
      <c r="AS740" s="719"/>
      <c r="AT740" s="719"/>
      <c r="AU740" s="719"/>
      <c r="AV740" s="719"/>
      <c r="AW740" s="719"/>
      <c r="AX740" s="719"/>
      <c r="AY740" s="719"/>
      <c r="AZ740" s="719"/>
      <c r="BA740" s="719"/>
      <c r="BB740" s="719"/>
      <c r="BL740" s="28"/>
    </row>
    <row r="741" spans="3:64" s="398" customFormat="1" hidden="1" outlineLevel="1">
      <c r="C741" s="709"/>
      <c r="D741" s="64"/>
      <c r="E741" s="64"/>
      <c r="F741" s="709"/>
      <c r="G741" s="64"/>
      <c r="H741" s="64"/>
      <c r="I741" s="64"/>
      <c r="J741" s="64"/>
      <c r="K741" s="64"/>
      <c r="L741" s="64"/>
      <c r="M741" s="710"/>
      <c r="N741" s="64"/>
      <c r="O741" s="710"/>
      <c r="P741" s="61"/>
      <c r="Q741" s="710"/>
      <c r="R741" s="64"/>
      <c r="S741" s="710"/>
      <c r="T741" s="64"/>
      <c r="U741" s="710"/>
      <c r="V741" s="64"/>
      <c r="BL741" s="28"/>
    </row>
    <row r="742" spans="3:64" s="398" customFormat="1" hidden="1" outlineLevel="1">
      <c r="C742" s="709" t="str">
        <f>C740</f>
        <v>D: Anlage mit 7'500 Vollbetriebsstunden pro Jahr</v>
      </c>
      <c r="D742" s="64"/>
      <c r="E742" s="64"/>
      <c r="F742" s="709"/>
      <c r="G742" s="64"/>
      <c r="H742" s="64"/>
      <c r="I742" s="64"/>
      <c r="J742" s="64"/>
      <c r="K742" s="64"/>
      <c r="L742" s="64"/>
      <c r="M742" s="710"/>
      <c r="N742" s="64"/>
      <c r="O742" s="710"/>
      <c r="P742" s="61"/>
      <c r="Q742" s="710"/>
      <c r="R742" s="64"/>
      <c r="S742" s="710"/>
      <c r="T742" s="64"/>
      <c r="U742" s="710"/>
      <c r="V742" s="64"/>
      <c r="BL742" s="28"/>
    </row>
    <row r="743" spans="3:64" s="398" customFormat="1" hidden="1" outlineLevel="1">
      <c r="C743" s="716" t="str">
        <f>S$445</f>
        <v>Trocken</v>
      </c>
      <c r="M743" s="1502" t="s">
        <v>828</v>
      </c>
      <c r="N743" s="1502"/>
      <c r="O743" s="1502"/>
      <c r="P743" s="1502"/>
      <c r="Q743" s="1502"/>
      <c r="R743" s="1502"/>
      <c r="S743" s="1502"/>
      <c r="T743" s="1502"/>
      <c r="U743" s="1502"/>
      <c r="V743" s="1502"/>
      <c r="Z743" s="1502" t="s">
        <v>828</v>
      </c>
      <c r="AA743" s="1502"/>
      <c r="AB743" s="1502"/>
      <c r="AC743" s="1502"/>
      <c r="AD743" s="1502"/>
      <c r="AE743" s="1502"/>
      <c r="AF743" s="1502"/>
      <c r="AG743" s="1502"/>
      <c r="AH743" s="1502"/>
      <c r="AI743" s="1502"/>
      <c r="AQ743" s="1502" t="s">
        <v>828</v>
      </c>
      <c r="AR743" s="1502"/>
      <c r="AS743" s="1502"/>
      <c r="AT743" s="1502"/>
      <c r="AU743" s="1502"/>
      <c r="AV743" s="1502"/>
      <c r="AW743" s="1502"/>
      <c r="AX743" s="1502"/>
      <c r="AY743" s="1502"/>
      <c r="AZ743" s="1502"/>
      <c r="BL743" s="28"/>
    </row>
    <row r="744" spans="3:64" s="398" customFormat="1" hidden="1" outlineLevel="1">
      <c r="C744" s="703"/>
      <c r="F744" s="703"/>
      <c r="M744" s="1502">
        <v>6</v>
      </c>
      <c r="N744" s="1502"/>
      <c r="O744" s="1502">
        <v>10</v>
      </c>
      <c r="P744" s="1502"/>
      <c r="Q744" s="1502">
        <v>14</v>
      </c>
      <c r="R744" s="1502"/>
      <c r="S744" s="1502">
        <v>18</v>
      </c>
      <c r="T744" s="1502"/>
      <c r="U744" s="1502">
        <v>22</v>
      </c>
      <c r="V744" s="1502"/>
      <c r="Z744" s="1502">
        <v>6</v>
      </c>
      <c r="AA744" s="1502"/>
      <c r="AB744" s="1502">
        <v>10</v>
      </c>
      <c r="AC744" s="1502"/>
      <c r="AD744" s="1502">
        <v>14</v>
      </c>
      <c r="AE744" s="1502"/>
      <c r="AF744" s="1502">
        <v>18</v>
      </c>
      <c r="AG744" s="1502"/>
      <c r="AH744" s="1502">
        <v>22</v>
      </c>
      <c r="AI744" s="1502"/>
      <c r="AJ744" s="1680">
        <f>SUM(Z745:AI747)</f>
        <v>0</v>
      </c>
      <c r="AK744" s="1681"/>
      <c r="AQ744" s="1502">
        <v>6</v>
      </c>
      <c r="AR744" s="1502"/>
      <c r="AS744" s="1502">
        <v>10</v>
      </c>
      <c r="AT744" s="1502"/>
      <c r="AU744" s="1502">
        <v>14</v>
      </c>
      <c r="AV744" s="1502"/>
      <c r="AW744" s="1502">
        <v>18</v>
      </c>
      <c r="AX744" s="1502"/>
      <c r="AY744" s="1502">
        <v>22</v>
      </c>
      <c r="AZ744" s="1502"/>
      <c r="BA744" s="1680">
        <f>SUM(AQ745:AZ747)</f>
        <v>0</v>
      </c>
      <c r="BB744" s="1681"/>
      <c r="BL744" s="28"/>
    </row>
    <row r="745" spans="3:64" s="398" customFormat="1" hidden="1" outlineLevel="1">
      <c r="C745" s="705" t="s">
        <v>825</v>
      </c>
      <c r="F745" s="706" t="str">
        <f>F728</f>
        <v>Zürich</v>
      </c>
      <c r="M745" s="1519">
        <v>0.22</v>
      </c>
      <c r="N745" s="1519"/>
      <c r="O745" s="1519">
        <v>0.37</v>
      </c>
      <c r="P745" s="1519"/>
      <c r="Q745" s="1519">
        <v>0.54</v>
      </c>
      <c r="R745" s="1519"/>
      <c r="S745" s="1519">
        <v>0.67</v>
      </c>
      <c r="T745" s="1519"/>
      <c r="U745" s="1519">
        <v>0.81</v>
      </c>
      <c r="V745" s="1519"/>
      <c r="Z745" s="1492">
        <f>IF($Z$683=$C$742,IF($Z$684=$C$743,IF($Z$685=Z$693,IF($Z$686=$F745,M745,0),0),0),0)</f>
        <v>0</v>
      </c>
      <c r="AA745" s="1492"/>
      <c r="AB745" s="1492">
        <f>IF($Z$683=$C$742,IF($Z$684=$C$743,IF($Z$685=AB$693,IF($Z$686=$F745,O745,0),0),0),0)</f>
        <v>0</v>
      </c>
      <c r="AC745" s="1492"/>
      <c r="AD745" s="1492">
        <f>IF($Z$683=$C$742,IF($Z$684=$C$743,IF($Z$685=AD$693,IF($Z$686=$F745,Q745,0),0),0),0)</f>
        <v>0</v>
      </c>
      <c r="AE745" s="1492"/>
      <c r="AF745" s="1492">
        <f>IF($Z$683=$C$742,IF($Z$684=$C$743,IF($Z$685=AF$693,IF($Z$686=$F745,S745,0),0),0),0)</f>
        <v>0</v>
      </c>
      <c r="AG745" s="1492"/>
      <c r="AH745" s="1492">
        <f>IF($Z$683=$C$742,IF($Z$684=$C$743,IF($Z$685=AH$693,IF($Z$686=$F745,U745,0),0),0),0)</f>
        <v>0</v>
      </c>
      <c r="AI745" s="1492"/>
      <c r="AQ745" s="1492">
        <f>IF($AQ$683=$C$742,IF($AQ$684=$C$743,IF($AQ$685=AQ$693,IF($AQ$686=$F745,M745,0),0),0),0)</f>
        <v>0</v>
      </c>
      <c r="AR745" s="1492"/>
      <c r="AS745" s="1492">
        <f>IF($AQ$683=$C$742,IF($AQ$684=$C$743,IF($AQ$685=AS$693,IF($AQ$686=$F745,O745,0),0),0),0)</f>
        <v>0</v>
      </c>
      <c r="AT745" s="1492"/>
      <c r="AU745" s="1492">
        <f>IF($AQ$683=$C$742,IF($AQ$684=$C$743,IF($AQ$685=AU$693,IF($AQ$686=$F745,Q745,0),0),0),0)</f>
        <v>0</v>
      </c>
      <c r="AV745" s="1492"/>
      <c r="AW745" s="1492">
        <f>IF($AQ$683=$C$742,IF($AQ$684=$C$743,IF($AQ$685=AW$693,IF($AQ$686=$F745,S745,0),0),0),0)</f>
        <v>0</v>
      </c>
      <c r="AX745" s="1492"/>
      <c r="AY745" s="1492">
        <f>IF($AQ$683=$C$742,IF($AQ$684=$C$743,IF($AQ$685=AY$693,IF($AQ$686=$F745,U745,0),0),0),0)</f>
        <v>0</v>
      </c>
      <c r="AZ745" s="1492"/>
      <c r="BL745" s="28"/>
    </row>
    <row r="746" spans="3:64" s="398" customFormat="1" hidden="1" outlineLevel="1">
      <c r="C746" s="707" t="s">
        <v>826</v>
      </c>
      <c r="F746" s="708" t="str">
        <f>F729</f>
        <v>Lugano</v>
      </c>
      <c r="M746" s="1519">
        <v>0.08</v>
      </c>
      <c r="N746" s="1519"/>
      <c r="O746" s="1519">
        <v>0.14000000000000001</v>
      </c>
      <c r="P746" s="1519"/>
      <c r="Q746" s="1519">
        <v>0.4</v>
      </c>
      <c r="R746" s="1519"/>
      <c r="S746" s="1519">
        <v>0.55000000000000004</v>
      </c>
      <c r="T746" s="1519"/>
      <c r="U746" s="1519">
        <v>0.7</v>
      </c>
      <c r="V746" s="1519"/>
      <c r="Z746" s="1492">
        <f>IF($Z$683=$C$742,IF($Z$684=$C$743,IF($Z$685=Z$693,IF($Z$686=$F746,M746,0),0),0),0)</f>
        <v>0</v>
      </c>
      <c r="AA746" s="1492"/>
      <c r="AB746" s="1492">
        <f>IF($Z$683=$C$742,IF($Z$684=$C$743,IF($Z$685=AB$693,IF($Z$686=$F746,O746,0),0),0),0)</f>
        <v>0</v>
      </c>
      <c r="AC746" s="1492"/>
      <c r="AD746" s="1492">
        <f>IF($Z$683=$C$742,IF($Z$684=$C$743,IF($Z$685=AD$693,IF($Z$686=$F746,Q746,0),0),0),0)</f>
        <v>0</v>
      </c>
      <c r="AE746" s="1492"/>
      <c r="AF746" s="1492">
        <f>IF($Z$683=$C$742,IF($Z$684=$C$743,IF($Z$685=AF$693,IF($Z$686=$F746,S746,0),0),0),0)</f>
        <v>0</v>
      </c>
      <c r="AG746" s="1492"/>
      <c r="AH746" s="1492">
        <f>IF($Z$683=$C$742,IF($Z$684=$C$743,IF($Z$685=AH$693,IF($Z$686=$F746,U746,0),0),0),0)</f>
        <v>0</v>
      </c>
      <c r="AI746" s="1492"/>
      <c r="AQ746" s="1492">
        <f>IF($AQ$683=$C$742,IF($AQ$684=$C$743,IF($AQ$685=AQ$693,IF($AQ$686=$F746,M746,0),0),0),0)</f>
        <v>0</v>
      </c>
      <c r="AR746" s="1492"/>
      <c r="AS746" s="1492">
        <f>IF($AQ$683=$C$742,IF($AQ$684=$C$743,IF($AQ$685=AS$693,IF($AQ$686=$F746,O746,0),0),0),0)</f>
        <v>0</v>
      </c>
      <c r="AT746" s="1492"/>
      <c r="AU746" s="1492">
        <f>IF($AQ$683=$C$742,IF($AQ$684=$C$743,IF($AQ$685=AU$693,IF($AQ$686=$F746,Q746,0),0),0),0)</f>
        <v>0</v>
      </c>
      <c r="AV746" s="1492"/>
      <c r="AW746" s="1492">
        <f>IF($AQ$683=$C$742,IF($AQ$684=$C$743,IF($AQ$685=AW$693,IF($AQ$686=$F746,S746,0),0),0),0)</f>
        <v>0</v>
      </c>
      <c r="AX746" s="1492"/>
      <c r="AY746" s="1492">
        <f>IF($AQ$683=$C$742,IF($AQ$684=$C$743,IF($AQ$685=AY$693,IF($AQ$686=$F746,U746,0),0),0),0)</f>
        <v>0</v>
      </c>
      <c r="AZ746" s="1492"/>
      <c r="BL746" s="28"/>
    </row>
    <row r="747" spans="3:64" s="398" customFormat="1" hidden="1" outlineLevel="1">
      <c r="C747" s="707" t="s">
        <v>827</v>
      </c>
      <c r="F747" s="708" t="str">
        <f>F730</f>
        <v>Davos</v>
      </c>
      <c r="M747" s="1519">
        <v>0.42</v>
      </c>
      <c r="N747" s="1519"/>
      <c r="O747" s="1519">
        <v>0.57999999999999996</v>
      </c>
      <c r="P747" s="1519"/>
      <c r="Q747" s="1520">
        <v>0.75</v>
      </c>
      <c r="R747" s="1520"/>
      <c r="S747" s="1519">
        <v>0.86</v>
      </c>
      <c r="T747" s="1519"/>
      <c r="U747" s="1519">
        <v>0.92</v>
      </c>
      <c r="V747" s="1519"/>
      <c r="Z747" s="1492">
        <f>IF($Z$683=$C$742,IF($Z$684=$C$743,IF($Z$685=Z$693,IF($Z$686=$F747,M747,0),0),0),0)</f>
        <v>0</v>
      </c>
      <c r="AA747" s="1492"/>
      <c r="AB747" s="1492">
        <f>IF($Z$683=$C$742,IF($Z$684=$C$743,IF($Z$685=AB$693,IF($Z$686=$F747,O747,0),0),0),0)</f>
        <v>0</v>
      </c>
      <c r="AC747" s="1492"/>
      <c r="AD747" s="1492">
        <f>IF($Z$683=$C$742,IF($Z$684=$C$743,IF($Z$685=AD$693,IF($Z$686=$F747,Q747,0),0),0),0)</f>
        <v>0</v>
      </c>
      <c r="AE747" s="1492"/>
      <c r="AF747" s="1492">
        <f>IF($Z$683=$C$742,IF($Z$684=$C$743,IF($Z$685=AF$693,IF($Z$686=$F747,S747,0),0),0),0)</f>
        <v>0</v>
      </c>
      <c r="AG747" s="1492"/>
      <c r="AH747" s="1492">
        <f>IF($Z$683=$C$742,IF($Z$684=$C$743,IF($Z$685=AH$693,IF($Z$686=$F747,U747,0),0),0),0)</f>
        <v>0</v>
      </c>
      <c r="AI747" s="1492"/>
      <c r="AQ747" s="1492">
        <f>IF($AQ$683=$C$742,IF($AQ$684=$C$743,IF($AQ$685=AQ$693,IF($AQ$686=$F747,M747,0),0),0),0)</f>
        <v>0</v>
      </c>
      <c r="AR747" s="1492"/>
      <c r="AS747" s="1492">
        <f>IF($AQ$683=$C$742,IF($AQ$684=$C$743,IF($AQ$685=AS$693,IF($AQ$686=$F747,O747,0),0),0),0)</f>
        <v>0</v>
      </c>
      <c r="AT747" s="1492"/>
      <c r="AU747" s="1492">
        <f>IF($AQ$683=$C$742,IF($AQ$684=$C$743,IF($AQ$685=AU$693,IF($AQ$686=$F747,Q747,0),0),0),0)</f>
        <v>0</v>
      </c>
      <c r="AV747" s="1492"/>
      <c r="AW747" s="1492">
        <f>IF($AQ$683=$C$742,IF($AQ$684=$C$743,IF($AQ$685=AW$693,IF($AQ$686=$F747,S747,0),0),0),0)</f>
        <v>0</v>
      </c>
      <c r="AX747" s="1492"/>
      <c r="AY747" s="1492">
        <f>IF($AQ$683=$C$742,IF($AQ$684=$C$743,IF($AQ$685=AY$693,IF($AQ$686=$F747,U747,0),0),0),0)</f>
        <v>0</v>
      </c>
      <c r="AZ747" s="1492"/>
      <c r="BL747" s="28"/>
    </row>
    <row r="748" spans="3:64" s="398" customFormat="1" hidden="1" outlineLevel="1">
      <c r="C748" s="703"/>
      <c r="F748" s="703"/>
      <c r="BL748" s="28"/>
    </row>
    <row r="749" spans="3:64" s="398" customFormat="1" hidden="1" outlineLevel="1">
      <c r="C749" s="703" t="str">
        <f>C740</f>
        <v>D: Anlage mit 7'500 Vollbetriebsstunden pro Jahr</v>
      </c>
      <c r="F749" s="703"/>
      <c r="BL749" s="28"/>
    </row>
    <row r="750" spans="3:64" s="398" customFormat="1" hidden="1" outlineLevel="1">
      <c r="C750" s="717" t="str">
        <f>S$446</f>
        <v>Hybrid</v>
      </c>
      <c r="M750" s="1501" t="s">
        <v>828</v>
      </c>
      <c r="N750" s="1501"/>
      <c r="O750" s="1501"/>
      <c r="P750" s="1501"/>
      <c r="Q750" s="1501"/>
      <c r="R750" s="1501"/>
      <c r="S750" s="1501"/>
      <c r="T750" s="1501"/>
      <c r="U750" s="1501"/>
      <c r="V750" s="1501"/>
      <c r="Z750" s="1501" t="s">
        <v>828</v>
      </c>
      <c r="AA750" s="1501"/>
      <c r="AB750" s="1501"/>
      <c r="AC750" s="1501"/>
      <c r="AD750" s="1501"/>
      <c r="AE750" s="1501"/>
      <c r="AF750" s="1501"/>
      <c r="AG750" s="1501"/>
      <c r="AH750" s="1501"/>
      <c r="AI750" s="1501"/>
      <c r="AQ750" s="1501" t="s">
        <v>828</v>
      </c>
      <c r="AR750" s="1501"/>
      <c r="AS750" s="1501"/>
      <c r="AT750" s="1501"/>
      <c r="AU750" s="1501"/>
      <c r="AV750" s="1501"/>
      <c r="AW750" s="1501"/>
      <c r="AX750" s="1501"/>
      <c r="AY750" s="1501"/>
      <c r="AZ750" s="1501"/>
      <c r="BL750" s="28"/>
    </row>
    <row r="751" spans="3:64" s="398" customFormat="1" hidden="1" outlineLevel="1">
      <c r="C751" s="703"/>
      <c r="F751" s="703"/>
      <c r="M751" s="1501">
        <v>6</v>
      </c>
      <c r="N751" s="1501"/>
      <c r="O751" s="1501">
        <v>10</v>
      </c>
      <c r="P751" s="1501"/>
      <c r="Q751" s="1501">
        <v>14</v>
      </c>
      <c r="R751" s="1501"/>
      <c r="S751" s="1501">
        <v>18</v>
      </c>
      <c r="T751" s="1501"/>
      <c r="U751" s="1501">
        <v>22</v>
      </c>
      <c r="V751" s="1501"/>
      <c r="Z751" s="1501">
        <v>6</v>
      </c>
      <c r="AA751" s="1501"/>
      <c r="AB751" s="1501">
        <v>10</v>
      </c>
      <c r="AC751" s="1501"/>
      <c r="AD751" s="1501">
        <v>14</v>
      </c>
      <c r="AE751" s="1501"/>
      <c r="AF751" s="1501">
        <v>18</v>
      </c>
      <c r="AG751" s="1501"/>
      <c r="AH751" s="1501">
        <v>22</v>
      </c>
      <c r="AI751" s="1501"/>
      <c r="AJ751" s="1680">
        <f>SUM(Z752:AI754)</f>
        <v>0</v>
      </c>
      <c r="AK751" s="1681"/>
      <c r="AQ751" s="1501">
        <v>6</v>
      </c>
      <c r="AR751" s="1501"/>
      <c r="AS751" s="1501">
        <v>10</v>
      </c>
      <c r="AT751" s="1501"/>
      <c r="AU751" s="1501">
        <v>14</v>
      </c>
      <c r="AV751" s="1501"/>
      <c r="AW751" s="1501">
        <v>18</v>
      </c>
      <c r="AX751" s="1501"/>
      <c r="AY751" s="1501">
        <v>22</v>
      </c>
      <c r="AZ751" s="1501"/>
      <c r="BA751" s="1680">
        <f>SUM(AQ752:AZ754)</f>
        <v>0</v>
      </c>
      <c r="BB751" s="1681"/>
      <c r="BL751" s="28"/>
    </row>
    <row r="752" spans="3:64" s="398" customFormat="1" hidden="1" outlineLevel="1">
      <c r="C752" s="705" t="s">
        <v>825</v>
      </c>
      <c r="F752" s="706" t="str">
        <f>F745</f>
        <v>Zürich</v>
      </c>
      <c r="M752" s="1519">
        <v>0.22</v>
      </c>
      <c r="N752" s="1519"/>
      <c r="O752" s="1519">
        <v>0.39</v>
      </c>
      <c r="P752" s="1519"/>
      <c r="Q752" s="1519">
        <v>0.55000000000000004</v>
      </c>
      <c r="R752" s="1519"/>
      <c r="S752" s="1519">
        <v>0.74</v>
      </c>
      <c r="T752" s="1519"/>
      <c r="U752" s="1519">
        <v>0.9</v>
      </c>
      <c r="V752" s="1519"/>
      <c r="Z752" s="1492">
        <f>IF($Z$683=$C$749,IF($Z$684=$C$750,IF($Z$685=Z$693,IF($Z$686=$F752,M752,0),0),0),0)</f>
        <v>0</v>
      </c>
      <c r="AA752" s="1492"/>
      <c r="AB752" s="1492">
        <f>IF($Z$683=$C$749,IF($Z$684=$C$750,IF($Z$685=AB$693,IF($Z$686=$F752,O752,0),0),0),0)</f>
        <v>0</v>
      </c>
      <c r="AC752" s="1492"/>
      <c r="AD752" s="1492">
        <f>IF($Z$683=$C$749,IF($Z$684=$C$750,IF($Z$685=AD$693,IF($Z$686=$F752,Q752,0),0),0),0)</f>
        <v>0</v>
      </c>
      <c r="AE752" s="1492"/>
      <c r="AF752" s="1492">
        <f>IF($Z$683=$C$749,IF($Z$684=$C$750,IF($Z$685=AF$693,IF($Z$686=$F752,S752,0),0),0),0)</f>
        <v>0</v>
      </c>
      <c r="AG752" s="1492"/>
      <c r="AH752" s="1492">
        <f>IF($Z$683=$C$749,IF($Z$684=$C$750,IF($Z$685=AH$693,IF($Z$686=$F752,U752,0),0),0),0)</f>
        <v>0</v>
      </c>
      <c r="AI752" s="1492"/>
      <c r="AQ752" s="1492">
        <f>IF($AQ$683=$C$749,IF($AQ$684=$C$750,IF($AQ$685=AQ$693,IF($AQ$686=$F752,M752,0),0),0),0)</f>
        <v>0</v>
      </c>
      <c r="AR752" s="1492"/>
      <c r="AS752" s="1492">
        <f>IF($AQ$683=$C$749,IF($AQ$684=$C$750,IF($AQ$685=AS$693,IF($AQ$686=$F752,O752,0),0),0),0)</f>
        <v>0</v>
      </c>
      <c r="AT752" s="1492"/>
      <c r="AU752" s="1492">
        <f>IF($AQ$683=$C$749,IF($AQ$684=$C$750,IF($AQ$685=AU$693,IF($AQ$686=$F752,Q752,0),0),0),0)</f>
        <v>0</v>
      </c>
      <c r="AV752" s="1492"/>
      <c r="AW752" s="1492">
        <f>IF($AQ$683=$C$749,IF($AQ$684=$C$750,IF($AQ$685=AW$693,IF($AQ$686=$F752,S752,0),0),0),0)</f>
        <v>0</v>
      </c>
      <c r="AX752" s="1492"/>
      <c r="AY752" s="1492">
        <f>IF($AQ$683=$C$749,IF($AQ$684=$C$750,IF($AQ$685=AY$693,IF($AQ$686=$F752,U752,0),0),0),0)</f>
        <v>0</v>
      </c>
      <c r="AZ752" s="1492"/>
      <c r="BL752" s="28"/>
    </row>
    <row r="753" spans="2:76" s="398" customFormat="1" hidden="1" outlineLevel="1">
      <c r="C753" s="707" t="s">
        <v>826</v>
      </c>
      <c r="F753" s="708" t="str">
        <f>F746</f>
        <v>Lugano</v>
      </c>
      <c r="M753" s="1519">
        <v>0.12</v>
      </c>
      <c r="N753" s="1519"/>
      <c r="O753" s="1519">
        <v>0.3</v>
      </c>
      <c r="P753" s="1519"/>
      <c r="Q753" s="1519">
        <v>0.46</v>
      </c>
      <c r="R753" s="1519"/>
      <c r="S753" s="1519">
        <v>0.63</v>
      </c>
      <c r="T753" s="1519"/>
      <c r="U753" s="1519">
        <v>0.81</v>
      </c>
      <c r="V753" s="1519"/>
      <c r="Z753" s="1492">
        <f>IF($Z$683=$C$749,IF($Z$684=$C$750,IF($Z$685=Z$693,IF($Z$686=$F753,M753,0),0),0),0)</f>
        <v>0</v>
      </c>
      <c r="AA753" s="1492"/>
      <c r="AB753" s="1492">
        <f>IF($Z$683=$C$749,IF($Z$684=$C$750,IF($Z$685=AB$693,IF($Z$686=$F753,O753,0),0),0),0)</f>
        <v>0</v>
      </c>
      <c r="AC753" s="1492"/>
      <c r="AD753" s="1492">
        <f>IF($Z$683=$C$749,IF($Z$684=$C$750,IF($Z$685=AD$693,IF($Z$686=$F753,Q753,0),0),0),0)</f>
        <v>0</v>
      </c>
      <c r="AE753" s="1492"/>
      <c r="AF753" s="1492">
        <f>IF($Z$683=$C$749,IF($Z$684=$C$750,IF($Z$685=AF$693,IF($Z$686=$F753,S753,0),0),0),0)</f>
        <v>0</v>
      </c>
      <c r="AG753" s="1492"/>
      <c r="AH753" s="1492">
        <f>IF($Z$683=$C$749,IF($Z$684=$C$750,IF($Z$685=AH$693,IF($Z$686=$F753,U753,0),0),0),0)</f>
        <v>0</v>
      </c>
      <c r="AI753" s="1492"/>
      <c r="AQ753" s="1492">
        <f>IF($AQ$683=$C$749,IF($AQ$684=$C$750,IF($AQ$685=AQ$693,IF($AQ$686=$F753,M753,0),0),0),0)</f>
        <v>0</v>
      </c>
      <c r="AR753" s="1492"/>
      <c r="AS753" s="1492">
        <f>IF($AQ$683=$C$749,IF($AQ$684=$C$750,IF($AQ$685=AS$693,IF($AQ$686=$F753,O753,0),0),0),0)</f>
        <v>0</v>
      </c>
      <c r="AT753" s="1492"/>
      <c r="AU753" s="1492">
        <f>IF($AQ$683=$C$749,IF($AQ$684=$C$750,IF($AQ$685=AU$693,IF($AQ$686=$F753,Q753,0),0),0),0)</f>
        <v>0</v>
      </c>
      <c r="AV753" s="1492"/>
      <c r="AW753" s="1492">
        <f>IF($AQ$683=$C$749,IF($AQ$684=$C$750,IF($AQ$685=AW$693,IF($AQ$686=$F753,S753,0),0),0),0)</f>
        <v>0</v>
      </c>
      <c r="AX753" s="1492"/>
      <c r="AY753" s="1492">
        <f>IF($AQ$683=$C$749,IF($AQ$684=$C$750,IF($AQ$685=AY$693,IF($AQ$686=$F753,U753,0),0),0),0)</f>
        <v>0</v>
      </c>
      <c r="AZ753" s="1492"/>
      <c r="BL753" s="28"/>
    </row>
    <row r="754" spans="2:76" s="398" customFormat="1" hidden="1" outlineLevel="1">
      <c r="C754" s="707" t="s">
        <v>827</v>
      </c>
      <c r="F754" s="708" t="str">
        <f>F747</f>
        <v>Davos</v>
      </c>
      <c r="M754" s="1519">
        <v>0.45</v>
      </c>
      <c r="N754" s="1519"/>
      <c r="O754" s="1519">
        <v>0.62</v>
      </c>
      <c r="P754" s="1519"/>
      <c r="Q754" s="1520">
        <v>0.8</v>
      </c>
      <c r="R754" s="1520"/>
      <c r="S754" s="1519">
        <v>0.9</v>
      </c>
      <c r="T754" s="1519"/>
      <c r="U754" s="1519">
        <v>0.95</v>
      </c>
      <c r="V754" s="1519"/>
      <c r="Z754" s="1492">
        <f>IF($Z$683=$C$749,IF($Z$684=$C$750,IF($Z$685=Z$693,IF($Z$686=$F754,M754,0),0),0),0)</f>
        <v>0</v>
      </c>
      <c r="AA754" s="1492"/>
      <c r="AB754" s="1492">
        <f>IF($Z$683=$C$749,IF($Z$684=$C$750,IF($Z$685=AB$693,IF($Z$686=$F754,O754,0),0),0),0)</f>
        <v>0</v>
      </c>
      <c r="AC754" s="1492"/>
      <c r="AD754" s="1492">
        <f>IF($Z$683=$C$749,IF($Z$684=$C$750,IF($Z$685=AD$693,IF($Z$686=$F754,Q754,0),0),0),0)</f>
        <v>0</v>
      </c>
      <c r="AE754" s="1492"/>
      <c r="AF754" s="1492">
        <f>IF($Z$683=$C$749,IF($Z$684=$C$750,IF($Z$685=AF$693,IF($Z$686=$F754,S754,0),0),0),0)</f>
        <v>0</v>
      </c>
      <c r="AG754" s="1492"/>
      <c r="AH754" s="1492">
        <f>IF($Z$683=$C$749,IF($Z$684=$C$750,IF($Z$685=AH$693,IF($Z$686=$F754,U754,0),0),0),0)</f>
        <v>0</v>
      </c>
      <c r="AI754" s="1492"/>
      <c r="AQ754" s="1492">
        <f>IF($AQ$683=$C$749,IF($AQ$684=$C$750,IF($AQ$685=AQ$693,IF($AQ$686=$F754,M754,0),0),0),0)</f>
        <v>0</v>
      </c>
      <c r="AR754" s="1492"/>
      <c r="AS754" s="1492">
        <f>IF($AQ$683=$C$749,IF($AQ$684=$C$750,IF($AQ$685=AS$693,IF($AQ$686=$F754,O754,0),0),0),0)</f>
        <v>0</v>
      </c>
      <c r="AT754" s="1492"/>
      <c r="AU754" s="1492">
        <f>IF($AQ$683=$C$749,IF($AQ$684=$C$750,IF($AQ$685=AU$693,IF($AQ$686=$F754,Q754,0),0),0),0)</f>
        <v>0</v>
      </c>
      <c r="AV754" s="1492"/>
      <c r="AW754" s="1492">
        <f>IF($AQ$683=$C$749,IF($AQ$684=$C$750,IF($AQ$685=AW$693,IF($AQ$686=$F754,S754,0),0),0),0)</f>
        <v>0</v>
      </c>
      <c r="AX754" s="1492"/>
      <c r="AY754" s="1492">
        <f>IF($AQ$683=$C$749,IF($AQ$684=$C$750,IF($AQ$685=AY$693,IF($AQ$686=$F754,U754,0),0),0),0)</f>
        <v>0</v>
      </c>
      <c r="AZ754" s="1492"/>
      <c r="BL754" s="28"/>
    </row>
    <row r="755" spans="2:76" hidden="1" outlineLevel="1">
      <c r="P755" s="31"/>
      <c r="BL755" s="28"/>
    </row>
    <row r="756" spans="2:76" s="398" customFormat="1" ht="15.75" hidden="1" outlineLevel="1">
      <c r="C756" s="723" t="s">
        <v>836</v>
      </c>
      <c r="D756" s="719"/>
      <c r="E756" s="719"/>
      <c r="F756" s="699"/>
      <c r="G756" s="719"/>
      <c r="H756" s="719"/>
      <c r="I756" s="719"/>
      <c r="J756" s="719"/>
      <c r="K756" s="719"/>
      <c r="L756" s="719"/>
      <c r="M756" s="700"/>
      <c r="N756" s="719"/>
      <c r="O756" s="700"/>
      <c r="P756" s="720"/>
      <c r="Q756" s="700"/>
      <c r="R756" s="719"/>
      <c r="S756" s="700"/>
      <c r="T756" s="719"/>
      <c r="U756" s="721"/>
      <c r="V756" s="719"/>
      <c r="W756" s="719"/>
      <c r="X756" s="719"/>
      <c r="Y756" s="719"/>
      <c r="Z756" s="719"/>
      <c r="AA756" s="719"/>
      <c r="AB756" s="719"/>
      <c r="AC756" s="719"/>
      <c r="AD756" s="719"/>
      <c r="AE756" s="719"/>
      <c r="AF756" s="719"/>
      <c r="AG756" s="1682">
        <f>SUM(AJ693:AK754)</f>
        <v>0</v>
      </c>
      <c r="AH756" s="1683"/>
      <c r="AI756" s="1683"/>
      <c r="AJ756" s="1683"/>
      <c r="AK756" s="1683"/>
      <c r="AQ756" s="719"/>
      <c r="AR756" s="719"/>
      <c r="AS756" s="719"/>
      <c r="AT756" s="719"/>
      <c r="AU756" s="719"/>
      <c r="AV756" s="719"/>
      <c r="AW756" s="719"/>
      <c r="AX756" s="1682">
        <f>SUM(BA693:BB754)</f>
        <v>0</v>
      </c>
      <c r="AY756" s="1683"/>
      <c r="AZ756" s="1683"/>
      <c r="BA756" s="1683"/>
      <c r="BB756" s="1683"/>
      <c r="BL756" s="28"/>
    </row>
    <row r="757" spans="2:76" hidden="1" outlineLevel="1">
      <c r="BL757" s="28"/>
    </row>
    <row r="758" spans="2:76" hidden="1" outlineLevel="1">
      <c r="BL758" s="28"/>
    </row>
    <row r="759" spans="2:76" s="139" customFormat="1" ht="17.100000000000001" hidden="1" customHeight="1" outlineLevel="1">
      <c r="B759" s="31"/>
      <c r="C759" s="488"/>
      <c r="D759" s="138"/>
      <c r="E759" s="138"/>
      <c r="F759" s="138"/>
      <c r="S759" s="140" t="str">
        <f>Z681</f>
        <v>Variante A</v>
      </c>
      <c r="T759" s="141"/>
      <c r="U759" s="141"/>
      <c r="V759" s="141"/>
      <c r="W759" s="141"/>
      <c r="X759" s="141"/>
      <c r="Y759" s="141"/>
      <c r="Z759" s="141"/>
      <c r="AA759" s="141"/>
      <c r="AB759" s="141"/>
      <c r="AC759" s="141"/>
      <c r="AD759" s="141"/>
      <c r="AL759" s="431"/>
      <c r="AM759" s="431"/>
      <c r="AQ759" s="140" t="str">
        <f>AQ681</f>
        <v/>
      </c>
      <c r="AR759" s="140"/>
      <c r="AS759" s="141"/>
      <c r="AT759" s="141"/>
      <c r="AU759" s="141"/>
      <c r="AV759" s="141"/>
      <c r="AW759" s="141"/>
      <c r="AX759" s="141"/>
      <c r="AY759" s="141"/>
      <c r="AZ759" s="141"/>
      <c r="BA759" s="141"/>
      <c r="BB759" s="141"/>
      <c r="BC759" s="141"/>
      <c r="BD759" s="141"/>
      <c r="BE759" s="141"/>
      <c r="BF759" s="141"/>
      <c r="BG759" s="141"/>
      <c r="BH759" s="141"/>
      <c r="BI759" s="141"/>
      <c r="BJ759" s="31"/>
      <c r="BK759" s="31"/>
      <c r="BL759" s="28"/>
      <c r="BP759" s="31"/>
      <c r="BQ759" s="31"/>
      <c r="BR759" s="31"/>
      <c r="BS759" s="31"/>
      <c r="BT759" s="31"/>
      <c r="BU759" s="31"/>
      <c r="BV759" s="31"/>
      <c r="BW759" s="31"/>
      <c r="BX759" s="31"/>
    </row>
    <row r="760" spans="2:76" s="139" customFormat="1" ht="17.100000000000001" hidden="1" customHeight="1" outlineLevel="1">
      <c r="C760" s="488"/>
      <c r="D760" s="138"/>
      <c r="E760" s="138"/>
      <c r="F760" s="138"/>
      <c r="S760" s="318"/>
      <c r="T760" s="431"/>
      <c r="U760" s="431"/>
      <c r="V760" s="431"/>
      <c r="W760" s="431"/>
      <c r="X760" s="431"/>
      <c r="Y760" s="431"/>
      <c r="Z760" s="431"/>
      <c r="AA760" s="431"/>
      <c r="AB760" s="431"/>
      <c r="AC760" s="431"/>
      <c r="AD760" s="431"/>
      <c r="AL760" s="431"/>
      <c r="AM760" s="431"/>
      <c r="AQ760" s="318"/>
      <c r="AR760" s="318"/>
      <c r="AS760" s="431"/>
      <c r="AT760" s="431"/>
      <c r="AU760" s="431"/>
      <c r="AV760" s="431"/>
      <c r="AW760" s="431"/>
      <c r="AX760" s="431"/>
      <c r="AY760" s="431"/>
      <c r="AZ760" s="431"/>
      <c r="BA760" s="431"/>
      <c r="BB760" s="431"/>
      <c r="BC760" s="431"/>
      <c r="BD760" s="431"/>
      <c r="BE760" s="431"/>
      <c r="BF760" s="431"/>
      <c r="BG760" s="431"/>
      <c r="BH760" s="431"/>
      <c r="BI760" s="431"/>
      <c r="BJ760" s="31"/>
      <c r="BK760" s="31"/>
      <c r="BL760" s="28"/>
      <c r="BP760" s="31"/>
      <c r="BQ760" s="31"/>
      <c r="BR760" s="31"/>
      <c r="BS760" s="31"/>
      <c r="BT760" s="31"/>
      <c r="BU760" s="31"/>
      <c r="BV760" s="31"/>
      <c r="BW760" s="31"/>
      <c r="BX760" s="31"/>
    </row>
    <row r="761" spans="2:76" s="139" customFormat="1" ht="17.100000000000001" hidden="1" customHeight="1" outlineLevel="1">
      <c r="C761" s="488"/>
      <c r="D761" s="138"/>
      <c r="E761" s="138"/>
      <c r="F761" s="138"/>
      <c r="S761" s="431" t="s">
        <v>968</v>
      </c>
      <c r="T761" s="431"/>
      <c r="U761" s="431"/>
      <c r="V761" s="431"/>
      <c r="W761" s="431"/>
      <c r="X761" s="431"/>
      <c r="Y761" s="431"/>
      <c r="Z761" s="431" t="s">
        <v>969</v>
      </c>
      <c r="AA761" s="431"/>
      <c r="AB761" s="431"/>
      <c r="AC761" s="431"/>
      <c r="AD761" s="431"/>
      <c r="AL761" s="431"/>
      <c r="AM761" s="431"/>
      <c r="AQ761" s="318"/>
      <c r="AR761" s="318"/>
      <c r="AS761" s="431"/>
      <c r="AT761" s="431"/>
      <c r="AU761" s="431"/>
      <c r="AV761" s="431"/>
      <c r="AW761" s="431"/>
      <c r="AX761" s="431"/>
      <c r="AY761" s="431"/>
      <c r="AZ761" s="431"/>
      <c r="BA761" s="431"/>
      <c r="BB761" s="431"/>
      <c r="BC761" s="431"/>
      <c r="BD761" s="431"/>
      <c r="BE761" s="431"/>
      <c r="BF761" s="431"/>
      <c r="BG761" s="431"/>
      <c r="BH761" s="431"/>
      <c r="BI761" s="431"/>
      <c r="BJ761" s="31"/>
      <c r="BK761" s="31"/>
      <c r="BL761" s="28"/>
      <c r="BP761" s="31"/>
      <c r="BQ761" s="31"/>
      <c r="BR761" s="31"/>
      <c r="BS761" s="31"/>
      <c r="BT761" s="31"/>
      <c r="BU761" s="31"/>
      <c r="BV761" s="31"/>
      <c r="BW761" s="31"/>
      <c r="BX761" s="31"/>
    </row>
    <row r="762" spans="2:76" hidden="1" outlineLevel="1">
      <c r="C762" s="302" t="s">
        <v>907</v>
      </c>
      <c r="BL762" s="28"/>
    </row>
    <row r="763" spans="2:76" hidden="1" outlineLevel="1">
      <c r="D763" s="31" t="s">
        <v>904</v>
      </c>
      <c r="S763" s="1477">
        <f>AH318</f>
        <v>0</v>
      </c>
      <c r="T763" s="1477"/>
      <c r="U763" s="1477"/>
      <c r="V763" s="1477"/>
      <c r="W763" s="1477"/>
      <c r="X763" s="1477"/>
      <c r="Z763" s="1477">
        <f>AH387</f>
        <v>0</v>
      </c>
      <c r="AA763" s="1477"/>
      <c r="AB763" s="1477"/>
      <c r="AC763" s="1477"/>
      <c r="AD763" s="1477"/>
      <c r="AE763" s="1477"/>
      <c r="AQ763" s="1477">
        <f>BF318</f>
        <v>0</v>
      </c>
      <c r="AR763" s="1477"/>
      <c r="AS763" s="1477"/>
      <c r="AT763" s="1477"/>
      <c r="AU763" s="1477"/>
      <c r="AV763" s="1477"/>
      <c r="AX763" s="1477">
        <f>BF387</f>
        <v>0</v>
      </c>
      <c r="AY763" s="1477"/>
      <c r="AZ763" s="1477"/>
      <c r="BA763" s="1477"/>
      <c r="BB763" s="1477"/>
      <c r="BC763" s="1477"/>
      <c r="BL763" s="28"/>
    </row>
    <row r="764" spans="2:76" hidden="1" outlineLevel="1">
      <c r="D764" s="31" t="s">
        <v>836</v>
      </c>
      <c r="S764" s="1478">
        <f>AG756</f>
        <v>0</v>
      </c>
      <c r="T764" s="1479"/>
      <c r="U764" s="1479"/>
      <c r="V764" s="1479"/>
      <c r="W764" s="1479"/>
      <c r="X764" s="1479"/>
      <c r="Z764" s="1478">
        <f>AG756</f>
        <v>0</v>
      </c>
      <c r="AA764" s="1479"/>
      <c r="AB764" s="1479"/>
      <c r="AC764" s="1479"/>
      <c r="AD764" s="1479"/>
      <c r="AE764" s="1479"/>
      <c r="AQ764" s="1478">
        <f>AX756</f>
        <v>0</v>
      </c>
      <c r="AR764" s="1479"/>
      <c r="AS764" s="1479"/>
      <c r="AT764" s="1479"/>
      <c r="AU764" s="1479"/>
      <c r="AV764" s="1479"/>
      <c r="AX764" s="1478">
        <f>AX756</f>
        <v>0</v>
      </c>
      <c r="AY764" s="1479"/>
      <c r="AZ764" s="1479"/>
      <c r="BA764" s="1479"/>
      <c r="BB764" s="1479"/>
      <c r="BC764" s="1479"/>
      <c r="BL764" s="28"/>
    </row>
    <row r="765" spans="2:76" hidden="1" outlineLevel="1">
      <c r="D765" s="31" t="s">
        <v>905</v>
      </c>
      <c r="S765" s="1478">
        <f>IF(AH765="Ja",1,0)</f>
        <v>0</v>
      </c>
      <c r="T765" s="1478"/>
      <c r="U765" s="1478"/>
      <c r="V765" s="1478"/>
      <c r="W765" s="1478"/>
      <c r="X765" s="1478"/>
      <c r="Z765" s="1478">
        <f>IF(AH765="Ja",1,0)</f>
        <v>0</v>
      </c>
      <c r="AA765" s="1478"/>
      <c r="AB765" s="1478"/>
      <c r="AC765" s="1478"/>
      <c r="AD765" s="1478"/>
      <c r="AE765" s="1478"/>
      <c r="AH765" s="1487" t="str">
        <f>IF(S217=AV446,"Ja","Nein")</f>
        <v>Nein</v>
      </c>
      <c r="AI765" s="1487"/>
      <c r="AJ765" s="1487"/>
      <c r="AK765" s="1487"/>
      <c r="AQ765" s="1478">
        <f>IF(BF765="Ja",1,0)</f>
        <v>0</v>
      </c>
      <c r="AR765" s="1478"/>
      <c r="AS765" s="1478"/>
      <c r="AT765" s="1478"/>
      <c r="AU765" s="1478"/>
      <c r="AV765" s="1478"/>
      <c r="AX765" s="1478">
        <f>IF(BF765="Ja",1,0)</f>
        <v>0</v>
      </c>
      <c r="AY765" s="1478"/>
      <c r="AZ765" s="1478"/>
      <c r="BA765" s="1478"/>
      <c r="BB765" s="1478"/>
      <c r="BC765" s="1478"/>
      <c r="BF765" s="1487" t="str">
        <f>IF(AQ217=AV446,"Ja","Nein")</f>
        <v>Nein</v>
      </c>
      <c r="BG765" s="1487"/>
      <c r="BH765" s="1487"/>
      <c r="BI765" s="1487"/>
      <c r="BL765" s="28"/>
    </row>
    <row r="766" spans="2:76" hidden="1" outlineLevel="1">
      <c r="D766" s="31" t="s">
        <v>906</v>
      </c>
      <c r="S766" s="1477">
        <f>S763*S764*S765</f>
        <v>0</v>
      </c>
      <c r="T766" s="1477"/>
      <c r="U766" s="1477"/>
      <c r="V766" s="1477"/>
      <c r="W766" s="1477"/>
      <c r="X766" s="1477"/>
      <c r="Z766" s="1477">
        <f>Z763*Z764*Z765</f>
        <v>0</v>
      </c>
      <c r="AA766" s="1477"/>
      <c r="AB766" s="1477"/>
      <c r="AC766" s="1477"/>
      <c r="AD766" s="1477"/>
      <c r="AE766" s="1477"/>
      <c r="AQ766" s="1477">
        <f>AQ763*AQ764*AQ765</f>
        <v>0</v>
      </c>
      <c r="AR766" s="1477"/>
      <c r="AS766" s="1477"/>
      <c r="AT766" s="1477"/>
      <c r="AU766" s="1477"/>
      <c r="AV766" s="1477"/>
      <c r="AX766" s="1477">
        <f>AX763*AX764*AX765</f>
        <v>0</v>
      </c>
      <c r="AY766" s="1477"/>
      <c r="AZ766" s="1477"/>
      <c r="BA766" s="1477"/>
      <c r="BB766" s="1477"/>
      <c r="BC766" s="1477"/>
      <c r="BL766" s="28"/>
    </row>
    <row r="767" spans="2:76" hidden="1" outlineLevel="1">
      <c r="E767" s="31" t="s">
        <v>237</v>
      </c>
      <c r="S767" s="1477">
        <f>IF(LEN(S766)&lt;3,0,IF(LEN(S766)=3,-1,IF(LEN(S766)=4,-2,-3)))</f>
        <v>0</v>
      </c>
      <c r="T767" s="1477"/>
      <c r="U767" s="1477"/>
      <c r="V767" s="1477"/>
      <c r="W767" s="1477"/>
      <c r="X767" s="1477"/>
      <c r="Z767" s="1477">
        <f>IF(LEN(Z766)&lt;3,0,IF(LEN(Z766)=3,-1,IF(LEN(Z766)=4,-2,-3)))</f>
        <v>0</v>
      </c>
      <c r="AA767" s="1477"/>
      <c r="AB767" s="1477"/>
      <c r="AC767" s="1477"/>
      <c r="AD767" s="1477"/>
      <c r="AE767" s="1477"/>
      <c r="AQ767" s="1477">
        <f>IF(LEN(AQ766)&lt;3,0,IF(LEN(AQ766)=3,-1,IF(LEN(AQ766)=4,-2,-3)))</f>
        <v>0</v>
      </c>
      <c r="AR767" s="1477"/>
      <c r="AS767" s="1477"/>
      <c r="AT767" s="1477"/>
      <c r="AU767" s="1477"/>
      <c r="AV767" s="1477"/>
      <c r="AX767" s="1477">
        <f>IF(LEN(AX766)&lt;3,0,IF(LEN(AX766)=3,-1,IF(LEN(AX766)=4,-2,-3)))</f>
        <v>0</v>
      </c>
      <c r="AY767" s="1477"/>
      <c r="AZ767" s="1477"/>
      <c r="BA767" s="1477"/>
      <c r="BB767" s="1477"/>
      <c r="BC767" s="1477"/>
      <c r="BL767" s="28"/>
    </row>
    <row r="768" spans="2:76" hidden="1" outlineLevel="1">
      <c r="D768" s="31" t="s">
        <v>906</v>
      </c>
      <c r="S768" s="1477">
        <f>ROUND(S766,S767)</f>
        <v>0</v>
      </c>
      <c r="T768" s="1477"/>
      <c r="U768" s="1477"/>
      <c r="V768" s="1477"/>
      <c r="W768" s="1477"/>
      <c r="X768" s="1477"/>
      <c r="Z768" s="1477">
        <f>ROUND(Z766,Z767)</f>
        <v>0</v>
      </c>
      <c r="AA768" s="1477"/>
      <c r="AB768" s="1477"/>
      <c r="AC768" s="1477"/>
      <c r="AD768" s="1477"/>
      <c r="AE768" s="1477"/>
      <c r="AQ768" s="1477">
        <f>ROUND(AQ766,AQ767)</f>
        <v>0</v>
      </c>
      <c r="AR768" s="1477"/>
      <c r="AS768" s="1477"/>
      <c r="AT768" s="1477"/>
      <c r="AU768" s="1477"/>
      <c r="AV768" s="1477"/>
      <c r="AX768" s="1477">
        <f>ROUND(AX766,AX767)</f>
        <v>0</v>
      </c>
      <c r="AY768" s="1477"/>
      <c r="AZ768" s="1477"/>
      <c r="BA768" s="1477"/>
      <c r="BB768" s="1477"/>
      <c r="BC768" s="1477"/>
      <c r="BL768" s="28"/>
    </row>
    <row r="769" spans="2:76" hidden="1" outlineLevel="1">
      <c r="S769" s="1477"/>
      <c r="T769" s="1477"/>
      <c r="U769" s="1477"/>
      <c r="V769" s="1477"/>
      <c r="W769" s="1477"/>
      <c r="X769" s="1477"/>
      <c r="Z769" s="1477"/>
      <c r="AA769" s="1477"/>
      <c r="AB769" s="1477"/>
      <c r="AC769" s="1477"/>
      <c r="AD769" s="1477"/>
      <c r="AE769" s="1477"/>
      <c r="AQ769" s="1477"/>
      <c r="AR769" s="1477"/>
      <c r="AS769" s="1477"/>
      <c r="AT769" s="1477"/>
      <c r="AU769" s="1477"/>
      <c r="AV769" s="1477"/>
      <c r="AX769" s="1477"/>
      <c r="AY769" s="1477"/>
      <c r="AZ769" s="1477"/>
      <c r="BA769" s="1477"/>
      <c r="BB769" s="1477"/>
      <c r="BC769" s="1477"/>
      <c r="BL769" s="28"/>
    </row>
    <row r="770" spans="2:76" hidden="1" outlineLevel="1">
      <c r="BL770" s="28"/>
    </row>
    <row r="771" spans="2:76" hidden="1" outlineLevel="1">
      <c r="D771" s="31" t="s">
        <v>837</v>
      </c>
      <c r="S771" s="1477">
        <f>AH305</f>
        <v>0</v>
      </c>
      <c r="T771" s="1477"/>
      <c r="U771" s="1477"/>
      <c r="V771" s="1477"/>
      <c r="W771" s="1477"/>
      <c r="X771" s="1477"/>
      <c r="Z771" s="1477">
        <f>AH373</f>
        <v>0</v>
      </c>
      <c r="AA771" s="1477"/>
      <c r="AB771" s="1477"/>
      <c r="AC771" s="1477"/>
      <c r="AD771" s="1477"/>
      <c r="AE771" s="1477"/>
      <c r="AQ771" s="1477">
        <f>BF305</f>
        <v>0</v>
      </c>
      <c r="AR771" s="1477"/>
      <c r="AS771" s="1477"/>
      <c r="AT771" s="1477"/>
      <c r="AU771" s="1477"/>
      <c r="AV771" s="1477"/>
      <c r="AX771" s="1477">
        <f>BF373</f>
        <v>0</v>
      </c>
      <c r="AY771" s="1477"/>
      <c r="AZ771" s="1477"/>
      <c r="BA771" s="1477"/>
      <c r="BB771" s="1477"/>
      <c r="BC771" s="1477"/>
      <c r="BL771" s="28"/>
    </row>
    <row r="772" spans="2:76" hidden="1" outlineLevel="1">
      <c r="D772" s="31" t="s">
        <v>908</v>
      </c>
      <c r="S772" s="1477">
        <f>S771*S764*S765</f>
        <v>0</v>
      </c>
      <c r="T772" s="1477"/>
      <c r="U772" s="1477"/>
      <c r="V772" s="1477"/>
      <c r="W772" s="1477"/>
      <c r="X772" s="1477"/>
      <c r="Z772" s="1477">
        <f>Z771*Z764*Z765</f>
        <v>0</v>
      </c>
      <c r="AA772" s="1477"/>
      <c r="AB772" s="1477"/>
      <c r="AC772" s="1477"/>
      <c r="AD772" s="1477"/>
      <c r="AE772" s="1477"/>
      <c r="AQ772" s="1477">
        <f>AQ771*AQ764*AQ765</f>
        <v>0</v>
      </c>
      <c r="AR772" s="1477"/>
      <c r="AS772" s="1477"/>
      <c r="AT772" s="1477"/>
      <c r="AU772" s="1477"/>
      <c r="AV772" s="1477"/>
      <c r="AX772" s="1477">
        <f>AX771*AX764*AX765</f>
        <v>0</v>
      </c>
      <c r="AY772" s="1477"/>
      <c r="AZ772" s="1477"/>
      <c r="BA772" s="1477"/>
      <c r="BB772" s="1477"/>
      <c r="BC772" s="1477"/>
      <c r="BL772" s="28"/>
    </row>
    <row r="773" spans="2:76" hidden="1" outlineLevel="1">
      <c r="E773" s="31" t="s">
        <v>237</v>
      </c>
      <c r="S773" s="1477">
        <f>IF(LEN(S772)&lt;3,0,IF(LEN(S772)=3,-1,IF(LEN(S772)=4,-2,-3)))</f>
        <v>0</v>
      </c>
      <c r="T773" s="1477"/>
      <c r="U773" s="1477"/>
      <c r="V773" s="1477"/>
      <c r="W773" s="1477"/>
      <c r="X773" s="1477"/>
      <c r="Z773" s="1477">
        <f>IF(LEN(Z772)&lt;3,0,IF(LEN(Z772)=3,-1,IF(LEN(Z772)=4,-2,-3)))</f>
        <v>0</v>
      </c>
      <c r="AA773" s="1477"/>
      <c r="AB773" s="1477"/>
      <c r="AC773" s="1477"/>
      <c r="AD773" s="1477"/>
      <c r="AE773" s="1477"/>
      <c r="AQ773" s="1477">
        <f>IF(LEN(AQ772)&lt;3,0,IF(LEN(AQ772)=3,-1,IF(LEN(AQ772)=4,-2,-3)))</f>
        <v>0</v>
      </c>
      <c r="AR773" s="1477"/>
      <c r="AS773" s="1477"/>
      <c r="AT773" s="1477"/>
      <c r="AU773" s="1477"/>
      <c r="AV773" s="1477"/>
      <c r="AX773" s="1477">
        <f>IF(LEN(AX772)&lt;3,0,IF(LEN(AX772)=3,-1,IF(LEN(AX772)=4,-2,-3)))</f>
        <v>0</v>
      </c>
      <c r="AY773" s="1477"/>
      <c r="AZ773" s="1477"/>
      <c r="BA773" s="1477"/>
      <c r="BB773" s="1477"/>
      <c r="BC773" s="1477"/>
      <c r="BL773" s="28"/>
    </row>
    <row r="774" spans="2:76" hidden="1" outlineLevel="1">
      <c r="D774" s="31" t="s">
        <v>908</v>
      </c>
      <c r="S774" s="1477">
        <f>ROUND(S772,S773)</f>
        <v>0</v>
      </c>
      <c r="T774" s="1477"/>
      <c r="U774" s="1477"/>
      <c r="V774" s="1477"/>
      <c r="W774" s="1477"/>
      <c r="X774" s="1477"/>
      <c r="Z774" s="1477">
        <f>ROUND(Z772,Z773)</f>
        <v>0</v>
      </c>
      <c r="AA774" s="1477"/>
      <c r="AB774" s="1477"/>
      <c r="AC774" s="1477"/>
      <c r="AD774" s="1477"/>
      <c r="AE774" s="1477"/>
      <c r="AQ774" s="1477">
        <f>ROUND(AQ772,AQ773)</f>
        <v>0</v>
      </c>
      <c r="AR774" s="1477"/>
      <c r="AS774" s="1477"/>
      <c r="AT774" s="1477"/>
      <c r="AU774" s="1477"/>
      <c r="AV774" s="1477"/>
      <c r="AX774" s="1477">
        <f>ROUND(AX772,AX773)</f>
        <v>0</v>
      </c>
      <c r="AY774" s="1477"/>
      <c r="AZ774" s="1477"/>
      <c r="BA774" s="1477"/>
      <c r="BB774" s="1477"/>
      <c r="BC774" s="1477"/>
      <c r="BL774" s="28"/>
    </row>
    <row r="775" spans="2:76" hidden="1" outlineLevel="1">
      <c r="BL775" s="28"/>
    </row>
    <row r="776" spans="2:76" hidden="1" outlineLevel="1">
      <c r="BL776" s="28"/>
    </row>
    <row r="777" spans="2:76" ht="18" hidden="1" outlineLevel="1">
      <c r="C777" s="19" t="s">
        <v>918</v>
      </c>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c r="BL777" s="28"/>
    </row>
    <row r="778" spans="2:76" ht="16.5" hidden="1" outlineLevel="1">
      <c r="C778" s="5"/>
      <c r="D778" s="1"/>
      <c r="E778" s="2"/>
      <c r="BL778" s="28"/>
    </row>
    <row r="779" spans="2:76" hidden="1" outlineLevel="1">
      <c r="BL779" s="28"/>
    </row>
    <row r="780" spans="2:76" s="139" customFormat="1" ht="17.100000000000001" hidden="1" customHeight="1" outlineLevel="1">
      <c r="B780" s="137"/>
      <c r="C780" s="488"/>
      <c r="D780" s="138"/>
      <c r="E780" s="138"/>
      <c r="F780" s="138"/>
      <c r="S780" s="140" t="str">
        <f>S759</f>
        <v>Variante A</v>
      </c>
      <c r="T780" s="140"/>
      <c r="U780" s="140"/>
      <c r="V780" s="140"/>
      <c r="W780" s="140"/>
      <c r="X780" s="140"/>
      <c r="Y780" s="140"/>
      <c r="Z780" s="140"/>
      <c r="AA780" s="140"/>
      <c r="AB780" s="140"/>
      <c r="AC780" s="141"/>
      <c r="AD780" s="141"/>
      <c r="AE780" s="141"/>
      <c r="AF780" s="141"/>
      <c r="AG780" s="141"/>
      <c r="AH780" s="141"/>
      <c r="AI780" s="141"/>
      <c r="AJ780" s="141"/>
      <c r="AK780" s="141"/>
      <c r="AL780" s="431"/>
      <c r="AM780" s="431"/>
      <c r="AQ780" s="140" t="str">
        <f>AQ759</f>
        <v/>
      </c>
      <c r="AR780" s="140"/>
      <c r="AS780" s="141"/>
      <c r="AT780" s="141"/>
      <c r="AU780" s="141"/>
      <c r="AV780" s="141"/>
      <c r="AW780" s="141"/>
      <c r="AX780" s="141"/>
      <c r="AY780" s="141"/>
      <c r="AZ780" s="141"/>
      <c r="BA780" s="141"/>
      <c r="BB780" s="141"/>
      <c r="BC780" s="141"/>
      <c r="BD780" s="141"/>
      <c r="BE780" s="141"/>
      <c r="BF780" s="141"/>
      <c r="BG780" s="141"/>
      <c r="BH780" s="141"/>
      <c r="BI780" s="141"/>
      <c r="BJ780" s="31"/>
      <c r="BK780" s="31"/>
      <c r="BL780" s="28"/>
      <c r="BP780" s="31"/>
      <c r="BQ780" s="31"/>
      <c r="BR780" s="31"/>
      <c r="BS780" s="31"/>
      <c r="BT780" s="31"/>
      <c r="BU780" s="31"/>
      <c r="BV780" s="31"/>
      <c r="BW780" s="31"/>
      <c r="BX780" s="31"/>
    </row>
    <row r="781" spans="2:76" ht="15" hidden="1" outlineLevel="1">
      <c r="D781" s="851" t="s">
        <v>846</v>
      </c>
      <c r="E781" s="87"/>
      <c r="F781" s="87"/>
      <c r="G781" s="87"/>
      <c r="BL781" s="28"/>
      <c r="BM781" s="139"/>
    </row>
    <row r="782" spans="2:76" ht="12.95" hidden="1" customHeight="1" outlineLevel="1">
      <c r="B782" s="147"/>
      <c r="C782" s="31"/>
      <c r="D782" s="87"/>
      <c r="E782" s="86"/>
      <c r="F782" s="86"/>
      <c r="G782" s="86"/>
      <c r="H782" s="52"/>
      <c r="I782" s="52"/>
      <c r="J782" s="52"/>
      <c r="K782" s="52"/>
      <c r="L782" s="52"/>
      <c r="M782" s="52"/>
      <c r="N782" s="52"/>
      <c r="O782" s="52"/>
      <c r="P782" s="640"/>
      <c r="Q782" s="52"/>
      <c r="R782" s="1449" t="str">
        <f>R190</f>
        <v>Frühling</v>
      </c>
      <c r="S782" s="1449"/>
      <c r="T782" s="1449"/>
      <c r="U782" s="1449"/>
      <c r="V782" s="1449" t="str">
        <f>V190</f>
        <v>Sommer</v>
      </c>
      <c r="W782" s="1449"/>
      <c r="X782" s="1449"/>
      <c r="Y782" s="1449"/>
      <c r="Z782" s="1449" t="str">
        <f>Z190</f>
        <v>Herbst</v>
      </c>
      <c r="AA782" s="1449"/>
      <c r="AB782" s="1449"/>
      <c r="AC782" s="1449"/>
      <c r="AD782" s="1449" t="str">
        <f>AD190</f>
        <v>Winter</v>
      </c>
      <c r="AE782" s="1449"/>
      <c r="AF782" s="1449"/>
      <c r="AG782" s="1449"/>
      <c r="AH782" s="52"/>
      <c r="AI782" s="1449"/>
      <c r="AJ782" s="1449"/>
      <c r="AK782" s="1449"/>
      <c r="AL782" s="52"/>
      <c r="AM782" s="52"/>
      <c r="AN782" s="52"/>
      <c r="AO782" s="52"/>
      <c r="AP782" s="1449" t="str">
        <f>AP190</f>
        <v>Frühling</v>
      </c>
      <c r="AQ782" s="1449"/>
      <c r="AR782" s="1449"/>
      <c r="AS782" s="1449"/>
      <c r="AT782" s="1449" t="str">
        <f>AT190</f>
        <v>Sommer</v>
      </c>
      <c r="AU782" s="1449"/>
      <c r="AV782" s="1449"/>
      <c r="AW782" s="1449"/>
      <c r="AX782" s="1449" t="str">
        <f>AX190</f>
        <v>Herbst</v>
      </c>
      <c r="AY782" s="1449"/>
      <c r="AZ782" s="1449"/>
      <c r="BA782" s="1449"/>
      <c r="BB782" s="1449" t="str">
        <f>BB190</f>
        <v>Winter</v>
      </c>
      <c r="BC782" s="1449"/>
      <c r="BD782" s="1449"/>
      <c r="BE782" s="1449"/>
      <c r="BF782" s="640"/>
      <c r="BG782" s="622"/>
      <c r="BH782" s="640"/>
      <c r="BI782" s="640"/>
      <c r="BJ782" s="763"/>
      <c r="BL782" s="28"/>
      <c r="BM782" s="139"/>
      <c r="BP782" s="28"/>
      <c r="BQ782" s="28"/>
      <c r="BR782" s="28"/>
      <c r="BS782" s="28"/>
      <c r="BT782" s="28"/>
      <c r="BU782" s="28"/>
      <c r="BV782" s="28"/>
      <c r="BW782" s="28"/>
      <c r="BX782" s="28"/>
    </row>
    <row r="783" spans="2:76" ht="15.95" hidden="1" customHeight="1" outlineLevel="1">
      <c r="B783" s="147"/>
      <c r="C783" s="31"/>
      <c r="D783" s="86" t="s">
        <v>914</v>
      </c>
      <c r="E783" s="87"/>
      <c r="F783" s="86"/>
      <c r="G783" s="86"/>
      <c r="H783" s="52"/>
      <c r="I783" s="52"/>
      <c r="J783" s="52"/>
      <c r="K783" s="52"/>
      <c r="L783" s="52"/>
      <c r="M783" s="52"/>
      <c r="N783" s="52"/>
      <c r="O783" s="52"/>
      <c r="P783" s="640" t="s">
        <v>912</v>
      </c>
      <c r="Q783" s="52"/>
      <c r="R783" s="52"/>
      <c r="S783" s="1507">
        <f>S192</f>
        <v>0</v>
      </c>
      <c r="T783" s="1507"/>
      <c r="U783" s="1507"/>
      <c r="V783" s="757"/>
      <c r="W783" s="1507">
        <f>W192</f>
        <v>0</v>
      </c>
      <c r="X783" s="1507"/>
      <c r="Y783" s="1507"/>
      <c r="Z783" s="757"/>
      <c r="AA783" s="1507">
        <f>AA192</f>
        <v>0</v>
      </c>
      <c r="AB783" s="1507"/>
      <c r="AC783" s="1507"/>
      <c r="AD783" s="757"/>
      <c r="AE783" s="1507">
        <f>AE192</f>
        <v>0</v>
      </c>
      <c r="AF783" s="1507"/>
      <c r="AG783" s="1507"/>
      <c r="AH783" s="757"/>
      <c r="AI783" s="1462"/>
      <c r="AJ783" s="1462"/>
      <c r="AK783" s="1462"/>
      <c r="AL783" s="828"/>
      <c r="AM783" s="828"/>
      <c r="AN783" s="52"/>
      <c r="AO783" s="52"/>
      <c r="AP783" s="52"/>
      <c r="AQ783" s="1507">
        <f>AQ192</f>
        <v>0</v>
      </c>
      <c r="AR783" s="1507"/>
      <c r="AS783" s="1507"/>
      <c r="AT783" s="757"/>
      <c r="AU783" s="1507">
        <f>AU192</f>
        <v>0</v>
      </c>
      <c r="AV783" s="1507"/>
      <c r="AW783" s="1507"/>
      <c r="AX783" s="757"/>
      <c r="AY783" s="1507">
        <f>AY192</f>
        <v>0</v>
      </c>
      <c r="AZ783" s="1507"/>
      <c r="BA783" s="1507"/>
      <c r="BB783" s="757"/>
      <c r="BC783" s="1507">
        <f>BC192</f>
        <v>0</v>
      </c>
      <c r="BD783" s="1507"/>
      <c r="BE783" s="1507"/>
      <c r="BF783" s="640"/>
      <c r="BG783" s="622"/>
      <c r="BH783" s="640"/>
      <c r="BI783" s="640"/>
      <c r="BJ783" s="763"/>
      <c r="BL783" s="28"/>
      <c r="BM783" s="139"/>
      <c r="BP783" s="28"/>
      <c r="BQ783" s="28"/>
      <c r="BR783" s="28"/>
      <c r="BS783" s="28"/>
      <c r="BT783" s="28"/>
      <c r="BU783" s="28"/>
      <c r="BV783" s="28"/>
      <c r="BW783" s="28"/>
      <c r="BX783" s="28"/>
    </row>
    <row r="784" spans="2:76" ht="15.95" hidden="1" customHeight="1" outlineLevel="1">
      <c r="B784" s="147"/>
      <c r="C784" s="31"/>
      <c r="D784" s="87"/>
      <c r="E784" s="86" t="s">
        <v>919</v>
      </c>
      <c r="F784" s="86"/>
      <c r="G784" s="86"/>
      <c r="H784" s="52"/>
      <c r="I784" s="52"/>
      <c r="J784" s="52"/>
      <c r="K784" s="52"/>
      <c r="L784" s="52"/>
      <c r="M784" s="52"/>
      <c r="N784" s="52"/>
      <c r="O784" s="52"/>
      <c r="P784" s="640" t="s">
        <v>920</v>
      </c>
      <c r="Q784" s="52"/>
      <c r="R784" s="52"/>
      <c r="S784" s="1507">
        <f>IF(AI204&lt;20,0,AI204-10)</f>
        <v>0</v>
      </c>
      <c r="T784" s="1507"/>
      <c r="U784" s="1507"/>
      <c r="V784" s="757"/>
      <c r="W784" s="1507">
        <f>S784</f>
        <v>0</v>
      </c>
      <c r="X784" s="1507"/>
      <c r="Y784" s="1507"/>
      <c r="Z784" s="757"/>
      <c r="AA784" s="1507">
        <f>W784</f>
        <v>0</v>
      </c>
      <c r="AB784" s="1507"/>
      <c r="AC784" s="1507"/>
      <c r="AD784" s="757"/>
      <c r="AE784" s="1507">
        <f>AA784</f>
        <v>0</v>
      </c>
      <c r="AF784" s="1507"/>
      <c r="AG784" s="1507"/>
      <c r="AH784" s="757"/>
      <c r="AI784" s="1462"/>
      <c r="AJ784" s="1462"/>
      <c r="AK784" s="1462"/>
      <c r="AL784" s="832"/>
      <c r="AM784" s="832"/>
      <c r="AN784" s="52"/>
      <c r="AO784" s="52"/>
      <c r="AP784" s="52"/>
      <c r="AQ784" s="1507">
        <f>IF(BG204&lt;20,0,BG204-10)</f>
        <v>0</v>
      </c>
      <c r="AR784" s="1507"/>
      <c r="AS784" s="1507"/>
      <c r="AT784" s="757"/>
      <c r="AU784" s="1507">
        <f>AQ784</f>
        <v>0</v>
      </c>
      <c r="AV784" s="1507"/>
      <c r="AW784" s="1507"/>
      <c r="AX784" s="757"/>
      <c r="AY784" s="1507">
        <f>AU784</f>
        <v>0</v>
      </c>
      <c r="AZ784" s="1507"/>
      <c r="BA784" s="1507"/>
      <c r="BB784" s="757"/>
      <c r="BC784" s="1507">
        <f>AY784</f>
        <v>0</v>
      </c>
      <c r="BD784" s="1507"/>
      <c r="BE784" s="1507"/>
      <c r="BF784" s="640"/>
      <c r="BG784" s="622"/>
      <c r="BH784" s="640"/>
      <c r="BI784" s="640"/>
      <c r="BJ784" s="763"/>
      <c r="BL784" s="28"/>
      <c r="BM784" s="139"/>
      <c r="BP784" s="28"/>
      <c r="BQ784" s="28"/>
      <c r="BR784" s="28"/>
      <c r="BS784" s="28"/>
      <c r="BT784" s="28"/>
      <c r="BU784" s="28"/>
      <c r="BV784" s="28"/>
      <c r="BW784" s="28"/>
      <c r="BX784" s="28"/>
    </row>
    <row r="785" spans="2:76" ht="15.95" hidden="1" customHeight="1" outlineLevel="1">
      <c r="B785" s="147"/>
      <c r="C785" s="31"/>
      <c r="D785" s="87"/>
      <c r="E785" s="86" t="s">
        <v>921</v>
      </c>
      <c r="F785" s="86"/>
      <c r="G785" s="86"/>
      <c r="H785" s="52"/>
      <c r="I785" s="52"/>
      <c r="J785" s="52"/>
      <c r="K785" s="52"/>
      <c r="L785" s="52"/>
      <c r="M785" s="52"/>
      <c r="N785" s="52"/>
      <c r="O785" s="52"/>
      <c r="P785" s="640" t="s">
        <v>922</v>
      </c>
      <c r="Q785" s="52"/>
      <c r="R785" s="52"/>
      <c r="S785" s="1485">
        <v>1.163</v>
      </c>
      <c r="T785" s="1485"/>
      <c r="U785" s="1485"/>
      <c r="V785" s="757"/>
      <c r="W785" s="1485">
        <v>1.163</v>
      </c>
      <c r="X785" s="1485"/>
      <c r="Y785" s="1485"/>
      <c r="Z785" s="757"/>
      <c r="AA785" s="1485">
        <v>1.163</v>
      </c>
      <c r="AB785" s="1485"/>
      <c r="AC785" s="1485"/>
      <c r="AD785" s="757"/>
      <c r="AE785" s="1485">
        <v>1.163</v>
      </c>
      <c r="AF785" s="1485"/>
      <c r="AG785" s="1485"/>
      <c r="AH785" s="757"/>
      <c r="AI785" s="1462"/>
      <c r="AJ785" s="1462"/>
      <c r="AK785" s="1462"/>
      <c r="AL785" s="832"/>
      <c r="AM785" s="832"/>
      <c r="AN785" s="52"/>
      <c r="AO785" s="52"/>
      <c r="AP785" s="52"/>
      <c r="AQ785" s="1485">
        <v>1.163</v>
      </c>
      <c r="AR785" s="1485"/>
      <c r="AS785" s="1485"/>
      <c r="AT785" s="757"/>
      <c r="AU785" s="1485">
        <v>1.163</v>
      </c>
      <c r="AV785" s="1485"/>
      <c r="AW785" s="1485"/>
      <c r="AX785" s="757"/>
      <c r="AY785" s="1485">
        <v>1.163</v>
      </c>
      <c r="AZ785" s="1485"/>
      <c r="BA785" s="1485"/>
      <c r="BB785" s="757"/>
      <c r="BC785" s="1485">
        <v>1.163</v>
      </c>
      <c r="BD785" s="1485"/>
      <c r="BE785" s="1485"/>
      <c r="BF785" s="640"/>
      <c r="BG785" s="622"/>
      <c r="BH785" s="640"/>
      <c r="BI785" s="640"/>
      <c r="BJ785" s="763"/>
      <c r="BL785" s="28"/>
      <c r="BM785" s="139"/>
      <c r="BP785" s="28"/>
      <c r="BQ785" s="28"/>
      <c r="BR785" s="28"/>
      <c r="BS785" s="28"/>
      <c r="BT785" s="28"/>
      <c r="BU785" s="28"/>
      <c r="BV785" s="28"/>
      <c r="BW785" s="28"/>
      <c r="BX785" s="28"/>
    </row>
    <row r="786" spans="2:76" ht="15.95" hidden="1" customHeight="1" outlineLevel="1">
      <c r="B786" s="147"/>
      <c r="C786" s="31"/>
      <c r="D786" s="87"/>
      <c r="E786" s="86" t="s">
        <v>923</v>
      </c>
      <c r="F786" s="86"/>
      <c r="G786" s="86"/>
      <c r="H786" s="52"/>
      <c r="I786" s="52"/>
      <c r="J786" s="52"/>
      <c r="K786" s="52"/>
      <c r="L786" s="52"/>
      <c r="M786" s="52"/>
      <c r="N786" s="52"/>
      <c r="O786" s="52"/>
      <c r="P786" s="640" t="s">
        <v>844</v>
      </c>
      <c r="Q786" s="52"/>
      <c r="R786" s="52"/>
      <c r="S786" s="1484">
        <f>S783/1000*S784*S785</f>
        <v>0</v>
      </c>
      <c r="T786" s="1484"/>
      <c r="U786" s="1484"/>
      <c r="V786" s="757"/>
      <c r="W786" s="1484">
        <f>W783/1000*W784*W785</f>
        <v>0</v>
      </c>
      <c r="X786" s="1484"/>
      <c r="Y786" s="1484"/>
      <c r="Z786" s="757"/>
      <c r="AA786" s="1484">
        <f>AA783/1000*AA784*AA785</f>
        <v>0</v>
      </c>
      <c r="AB786" s="1484"/>
      <c r="AC786" s="1484"/>
      <c r="AD786" s="757"/>
      <c r="AE786" s="1484">
        <f>AE783/1000*AE784*AE785</f>
        <v>0</v>
      </c>
      <c r="AF786" s="1484"/>
      <c r="AG786" s="1484"/>
      <c r="AH786" s="757"/>
      <c r="AI786" s="1462"/>
      <c r="AJ786" s="1462"/>
      <c r="AK786" s="1462"/>
      <c r="AL786" s="832"/>
      <c r="AM786" s="832"/>
      <c r="AN786" s="52"/>
      <c r="AO786" s="52"/>
      <c r="AP786" s="52"/>
      <c r="AQ786" s="1484">
        <f>AQ783/1000*AQ784*AQ785</f>
        <v>0</v>
      </c>
      <c r="AR786" s="1484"/>
      <c r="AS786" s="1484"/>
      <c r="AT786" s="757"/>
      <c r="AU786" s="1484">
        <f>AU783/1000*AU784*AU785</f>
        <v>0</v>
      </c>
      <c r="AV786" s="1484"/>
      <c r="AW786" s="1484"/>
      <c r="AX786" s="757"/>
      <c r="AY786" s="1484">
        <f>AY783/1000*AY784*AY785</f>
        <v>0</v>
      </c>
      <c r="AZ786" s="1484"/>
      <c r="BA786" s="1484"/>
      <c r="BB786" s="757"/>
      <c r="BC786" s="1484">
        <f>BC783/1000*BC784*BC785</f>
        <v>0</v>
      </c>
      <c r="BD786" s="1484"/>
      <c r="BE786" s="1484"/>
      <c r="BF786" s="640"/>
      <c r="BG786" s="622"/>
      <c r="BH786" s="640"/>
      <c r="BI786" s="640"/>
      <c r="BJ786" s="763"/>
      <c r="BL786" s="28"/>
      <c r="BM786" s="139"/>
      <c r="BP786" s="28"/>
      <c r="BQ786" s="28"/>
      <c r="BR786" s="28"/>
      <c r="BS786" s="28"/>
      <c r="BT786" s="28"/>
      <c r="BU786" s="28"/>
      <c r="BV786" s="28"/>
      <c r="BW786" s="28"/>
      <c r="BX786" s="28"/>
    </row>
    <row r="787" spans="2:76" ht="15.95" hidden="1" customHeight="1" outlineLevel="1">
      <c r="B787" s="147"/>
      <c r="C787" s="31"/>
      <c r="D787" s="87"/>
      <c r="E787" s="86" t="s">
        <v>924</v>
      </c>
      <c r="F787" s="86"/>
      <c r="G787" s="86"/>
      <c r="H787" s="52"/>
      <c r="I787" s="52"/>
      <c r="J787" s="52"/>
      <c r="K787" s="52"/>
      <c r="L787" s="52"/>
      <c r="M787" s="52"/>
      <c r="N787" s="52"/>
      <c r="O787" s="52"/>
      <c r="P787" s="640" t="s">
        <v>199</v>
      </c>
      <c r="Q787" s="52"/>
      <c r="R787" s="52"/>
      <c r="S787" s="1507">
        <f>S786*365/4</f>
        <v>0</v>
      </c>
      <c r="T787" s="1507"/>
      <c r="U787" s="1507"/>
      <c r="V787" s="757"/>
      <c r="W787" s="1507">
        <f>W786*365/4</f>
        <v>0</v>
      </c>
      <c r="X787" s="1507"/>
      <c r="Y787" s="1507"/>
      <c r="Z787" s="757"/>
      <c r="AA787" s="1507">
        <f>AA786*365/4</f>
        <v>0</v>
      </c>
      <c r="AB787" s="1507"/>
      <c r="AC787" s="1507"/>
      <c r="AD787" s="757"/>
      <c r="AE787" s="1507">
        <f>AE786*365/4</f>
        <v>0</v>
      </c>
      <c r="AF787" s="1507"/>
      <c r="AG787" s="1507"/>
      <c r="AH787" s="757"/>
      <c r="AI787" s="1462"/>
      <c r="AJ787" s="1462"/>
      <c r="AK787" s="1462"/>
      <c r="AL787" s="832"/>
      <c r="AM787" s="832"/>
      <c r="AN787" s="52"/>
      <c r="AO787" s="52"/>
      <c r="AP787" s="52"/>
      <c r="AQ787" s="1507">
        <f>AQ786*365/4</f>
        <v>0</v>
      </c>
      <c r="AR787" s="1507"/>
      <c r="AS787" s="1507"/>
      <c r="AT787" s="757"/>
      <c r="AU787" s="1507">
        <f>AU786*365/4</f>
        <v>0</v>
      </c>
      <c r="AV787" s="1507"/>
      <c r="AW787" s="1507"/>
      <c r="AX787" s="757"/>
      <c r="AY787" s="1507">
        <f>AY786*365/4</f>
        <v>0</v>
      </c>
      <c r="AZ787" s="1507"/>
      <c r="BA787" s="1507"/>
      <c r="BB787" s="757"/>
      <c r="BC787" s="1507">
        <f>BC786*365/4</f>
        <v>0</v>
      </c>
      <c r="BD787" s="1507"/>
      <c r="BE787" s="1507"/>
      <c r="BF787" s="640"/>
      <c r="BG787" s="622"/>
      <c r="BH787" s="640"/>
      <c r="BI787" s="640"/>
      <c r="BJ787" s="763"/>
      <c r="BL787" s="28"/>
      <c r="BM787" s="139"/>
      <c r="BP787" s="28"/>
      <c r="BQ787" s="28"/>
      <c r="BR787" s="28"/>
      <c r="BS787" s="28"/>
      <c r="BT787" s="28"/>
      <c r="BU787" s="28"/>
      <c r="BV787" s="28"/>
      <c r="BW787" s="28"/>
      <c r="BX787" s="28"/>
    </row>
    <row r="788" spans="2:76" s="752" customFormat="1" ht="15.95" hidden="1" customHeight="1" outlineLevel="2">
      <c r="B788" s="751"/>
      <c r="E788" s="753"/>
      <c r="F788" s="753" t="s">
        <v>237</v>
      </c>
      <c r="G788" s="754"/>
      <c r="H788" s="754"/>
      <c r="I788" s="754"/>
      <c r="J788" s="754"/>
      <c r="K788" s="754"/>
      <c r="L788" s="754"/>
      <c r="M788" s="754"/>
      <c r="N788" s="754"/>
      <c r="O788" s="754"/>
      <c r="P788" s="755"/>
      <c r="Q788" s="754">
        <f>IF(SUM(S787:AG787)&gt;10000,-2,-1)</f>
        <v>-1</v>
      </c>
      <c r="R788" s="845"/>
      <c r="S788" s="1470">
        <f>IF(S787&gt;100000,-4,IF(S787&gt;10000,-3,IF(S787&gt;1000,-2,$Q788)))</f>
        <v>-1</v>
      </c>
      <c r="T788" s="1470"/>
      <c r="U788" s="1470"/>
      <c r="V788" s="845"/>
      <c r="W788" s="1470">
        <f>IF(W787&gt;100000,-4,IF(W787&gt;10000,-3,IF(W787&gt;1000,-2,$Q788)))</f>
        <v>-1</v>
      </c>
      <c r="X788" s="1470"/>
      <c r="Y788" s="1470"/>
      <c r="Z788" s="845"/>
      <c r="AA788" s="1470">
        <f>IF(AA787&gt;100000,-4,IF(AA787&gt;10000,-3,IF(AA787&gt;1000,-2,$Q788)))</f>
        <v>-1</v>
      </c>
      <c r="AB788" s="1470"/>
      <c r="AC788" s="1470"/>
      <c r="AD788" s="845"/>
      <c r="AE788" s="1470">
        <f>IF(AE787&gt;100000,-4,IF(AE787&gt;10000,-3,IF(AE787&gt;1000,-2,$Q788)))</f>
        <v>-1</v>
      </c>
      <c r="AF788" s="1470"/>
      <c r="AG788" s="1470"/>
      <c r="AH788" s="754"/>
      <c r="AI788" s="1469"/>
      <c r="AJ788" s="1470"/>
      <c r="AK788" s="1470"/>
      <c r="AL788" s="837"/>
      <c r="AM788" s="837"/>
      <c r="AN788" s="754"/>
      <c r="AO788" s="754"/>
      <c r="AP788" s="845"/>
      <c r="AQ788" s="1470">
        <f>IF(AQ787&gt;100000,-4,IF(AQ787&gt;10000,-3,IF(AQ787&gt;1000,-2,$Q788)))</f>
        <v>-1</v>
      </c>
      <c r="AR788" s="1470"/>
      <c r="AS788" s="1470"/>
      <c r="AT788" s="845"/>
      <c r="AU788" s="1470">
        <f>IF(AU787&gt;100000,-4,IF(AU787&gt;10000,-3,IF(AU787&gt;1000,-2,$Q788)))</f>
        <v>-1</v>
      </c>
      <c r="AV788" s="1470"/>
      <c r="AW788" s="1470"/>
      <c r="AX788" s="845"/>
      <c r="AY788" s="1470">
        <f>IF(AY787&gt;100000,-4,IF(AY787&gt;10000,-3,IF(AY787&gt;1000,-2,$Q788)))</f>
        <v>-1</v>
      </c>
      <c r="AZ788" s="1470"/>
      <c r="BA788" s="1470"/>
      <c r="BB788" s="845"/>
      <c r="BC788" s="1470">
        <f>IF(BC787&gt;100000,-4,IF(BC787&gt;10000,-3,IF(BC787&gt;1000,-2,$Q788)))</f>
        <v>-1</v>
      </c>
      <c r="BD788" s="1470"/>
      <c r="BE788" s="1470"/>
      <c r="BF788" s="640"/>
      <c r="BG788" s="622"/>
      <c r="BH788" s="640"/>
      <c r="BI788" s="640"/>
      <c r="BJ788" s="763"/>
      <c r="BL788" s="28"/>
      <c r="BM788" s="139"/>
      <c r="BP788" s="756"/>
      <c r="BQ788" s="756"/>
      <c r="BR788" s="756"/>
      <c r="BS788" s="756"/>
      <c r="BT788" s="756"/>
      <c r="BU788" s="756"/>
      <c r="BV788" s="756"/>
      <c r="BW788" s="756"/>
      <c r="BX788" s="756"/>
    </row>
    <row r="789" spans="2:76" ht="15.95" hidden="1" customHeight="1" outlineLevel="1">
      <c r="B789" s="147"/>
      <c r="C789" s="31"/>
      <c r="D789" s="87"/>
      <c r="E789" s="86" t="s">
        <v>924</v>
      </c>
      <c r="F789" s="86"/>
      <c r="G789" s="86"/>
      <c r="H789" s="52"/>
      <c r="I789" s="52"/>
      <c r="J789" s="52"/>
      <c r="K789" s="52"/>
      <c r="L789" s="52"/>
      <c r="M789" s="52"/>
      <c r="N789" s="52"/>
      <c r="O789" s="52"/>
      <c r="P789" s="640" t="s">
        <v>199</v>
      </c>
      <c r="Q789" s="52"/>
      <c r="R789" s="52"/>
      <c r="S789" s="1507">
        <f>ROUND(S787,S788)</f>
        <v>0</v>
      </c>
      <c r="T789" s="1507"/>
      <c r="U789" s="1507"/>
      <c r="V789" s="757"/>
      <c r="W789" s="1507">
        <f>ROUND(W787,W788)</f>
        <v>0</v>
      </c>
      <c r="X789" s="1507"/>
      <c r="Y789" s="1507"/>
      <c r="Z789" s="757"/>
      <c r="AA789" s="1507">
        <f>ROUND(AA787,AA788)</f>
        <v>0</v>
      </c>
      <c r="AB789" s="1507"/>
      <c r="AC789" s="1507"/>
      <c r="AD789" s="757"/>
      <c r="AE789" s="1507">
        <f>ROUND(AE787,AE788)</f>
        <v>0</v>
      </c>
      <c r="AF789" s="1507"/>
      <c r="AG789" s="1507"/>
      <c r="AH789" s="757"/>
      <c r="AI789" s="1462"/>
      <c r="AJ789" s="1462"/>
      <c r="AK789" s="1462"/>
      <c r="AL789" s="838"/>
      <c r="AM789" s="838"/>
      <c r="AN789" s="52"/>
      <c r="AO789" s="52"/>
      <c r="AP789" s="52"/>
      <c r="AQ789" s="1507">
        <f>ROUND(AQ787,AQ788)</f>
        <v>0</v>
      </c>
      <c r="AR789" s="1507"/>
      <c r="AS789" s="1507"/>
      <c r="AT789" s="757"/>
      <c r="AU789" s="1507">
        <f>ROUND(AU787,AU788)</f>
        <v>0</v>
      </c>
      <c r="AV789" s="1507"/>
      <c r="AW789" s="1507"/>
      <c r="AX789" s="757"/>
      <c r="AY789" s="1507">
        <f>ROUND(AY787,AY788)</f>
        <v>0</v>
      </c>
      <c r="AZ789" s="1507"/>
      <c r="BA789" s="1507"/>
      <c r="BB789" s="757"/>
      <c r="BC789" s="1507">
        <f>ROUND(BC787,BC788)</f>
        <v>0</v>
      </c>
      <c r="BD789" s="1507"/>
      <c r="BE789" s="1507"/>
      <c r="BF789" s="640"/>
      <c r="BG789" s="622"/>
      <c r="BH789" s="640"/>
      <c r="BI789" s="640"/>
      <c r="BJ789" s="763"/>
      <c r="BL789" s="28"/>
      <c r="BM789" s="139"/>
      <c r="BP789" s="28"/>
      <c r="BQ789" s="28"/>
      <c r="BR789" s="28"/>
      <c r="BS789" s="28"/>
      <c r="BT789" s="28"/>
      <c r="BU789" s="28"/>
      <c r="BV789" s="28"/>
      <c r="BW789" s="28"/>
      <c r="BX789" s="28"/>
    </row>
    <row r="790" spans="2:76" s="28" customFormat="1" ht="12.95" hidden="1" customHeight="1" outlineLevel="1">
      <c r="B790" s="117"/>
      <c r="C790" s="830"/>
      <c r="D790" s="220"/>
      <c r="E790" s="170"/>
      <c r="F790" s="170"/>
      <c r="G790" s="170"/>
      <c r="H790" s="98"/>
      <c r="I790" s="98"/>
      <c r="J790" s="98"/>
      <c r="K790" s="98"/>
      <c r="L790" s="98"/>
      <c r="M790" s="98"/>
      <c r="N790" s="98"/>
      <c r="O790" s="98"/>
      <c r="P790" s="122"/>
      <c r="Q790" s="98"/>
      <c r="R790" s="98"/>
      <c r="S790" s="98"/>
      <c r="T790" s="98"/>
      <c r="U790" s="98"/>
      <c r="V790" s="98"/>
      <c r="W790" s="98"/>
      <c r="X790" s="98"/>
      <c r="Y790" s="98"/>
      <c r="Z790" s="98"/>
      <c r="AA790" s="98"/>
      <c r="AB790" s="98"/>
      <c r="AC790" s="98"/>
      <c r="AD790" s="98"/>
      <c r="AE790" s="98"/>
      <c r="AF790" s="98"/>
      <c r="AG790" s="98"/>
      <c r="AH790" s="98"/>
      <c r="AI790" s="98"/>
      <c r="AJ790" s="98"/>
      <c r="AK790" s="98"/>
      <c r="AL790" s="98"/>
      <c r="AM790" s="98"/>
      <c r="AN790" s="98"/>
      <c r="AO790" s="98"/>
      <c r="AP790" s="98"/>
      <c r="AQ790" s="98"/>
      <c r="AR790" s="98"/>
      <c r="AS790" s="98"/>
      <c r="AT790" s="98"/>
      <c r="AU790" s="98"/>
      <c r="AV790" s="98"/>
      <c r="AW790" s="98"/>
      <c r="AX790" s="98"/>
      <c r="AY790" s="98"/>
      <c r="AZ790" s="98"/>
      <c r="BA790" s="98"/>
      <c r="BB790" s="98"/>
      <c r="BC790" s="98"/>
      <c r="BD790" s="98"/>
      <c r="BE790" s="98"/>
      <c r="BF790" s="640"/>
      <c r="BG790" s="622"/>
      <c r="BH790" s="640"/>
      <c r="BI790" s="640"/>
      <c r="BJ790" s="763"/>
      <c r="BM790" s="139"/>
    </row>
    <row r="791" spans="2:76" ht="15.95" hidden="1" customHeight="1" outlineLevel="1">
      <c r="B791" s="147"/>
      <c r="C791" s="31"/>
      <c r="D791" s="86" t="s">
        <v>916</v>
      </c>
      <c r="E791" s="87"/>
      <c r="F791" s="86"/>
      <c r="G791" s="86"/>
      <c r="H791" s="52"/>
      <c r="I791" s="52"/>
      <c r="J791" s="52"/>
      <c r="K791" s="52"/>
      <c r="L791" s="52"/>
      <c r="M791" s="52"/>
      <c r="N791" s="52"/>
      <c r="O791" s="52"/>
      <c r="P791" s="640" t="s">
        <v>844</v>
      </c>
      <c r="Q791" s="52"/>
      <c r="R791" s="52"/>
      <c r="S791" s="1507">
        <f>S194</f>
        <v>0</v>
      </c>
      <c r="T791" s="1507"/>
      <c r="U791" s="1507"/>
      <c r="V791" s="757"/>
      <c r="W791" s="1507">
        <f>W194</f>
        <v>0</v>
      </c>
      <c r="X791" s="1507"/>
      <c r="Y791" s="1507"/>
      <c r="Z791" s="757"/>
      <c r="AA791" s="1507">
        <f>AA194</f>
        <v>0</v>
      </c>
      <c r="AB791" s="1507"/>
      <c r="AC791" s="1507"/>
      <c r="AD791" s="757"/>
      <c r="AE791" s="1507">
        <f>AE194</f>
        <v>0</v>
      </c>
      <c r="AF791" s="1507"/>
      <c r="AG791" s="1507"/>
      <c r="AH791" s="757"/>
      <c r="AI791" s="1462"/>
      <c r="AJ791" s="1462"/>
      <c r="AK791" s="1462"/>
      <c r="AL791" s="828"/>
      <c r="AM791" s="828"/>
      <c r="AN791" s="52"/>
      <c r="AO791" s="52"/>
      <c r="AP791" s="52"/>
      <c r="AQ791" s="1507">
        <f>AQ194</f>
        <v>0</v>
      </c>
      <c r="AR791" s="1507"/>
      <c r="AS791" s="1507"/>
      <c r="AT791" s="757"/>
      <c r="AU791" s="1507">
        <f>AU194</f>
        <v>0</v>
      </c>
      <c r="AV791" s="1507"/>
      <c r="AW791" s="1507"/>
      <c r="AX791" s="757"/>
      <c r="AY791" s="1507">
        <f>AY194</f>
        <v>0</v>
      </c>
      <c r="AZ791" s="1507"/>
      <c r="BA791" s="1507"/>
      <c r="BB791" s="757"/>
      <c r="BC791" s="1507">
        <f>BC194</f>
        <v>0</v>
      </c>
      <c r="BD791" s="1507"/>
      <c r="BE791" s="1507"/>
      <c r="BF791" s="640"/>
      <c r="BG791" s="622"/>
      <c r="BH791" s="640"/>
      <c r="BI791" s="640"/>
      <c r="BJ791" s="763"/>
      <c r="BL791" s="28"/>
      <c r="BM791" s="139"/>
      <c r="BP791" s="28"/>
      <c r="BQ791" s="28"/>
      <c r="BR791" s="28"/>
      <c r="BS791" s="28"/>
      <c r="BT791" s="28"/>
      <c r="BU791" s="28"/>
      <c r="BV791" s="28"/>
      <c r="BW791" s="28"/>
      <c r="BX791" s="28"/>
    </row>
    <row r="792" spans="2:76" ht="15.95" hidden="1" customHeight="1" outlineLevel="1">
      <c r="B792" s="147"/>
      <c r="C792" s="31"/>
      <c r="D792" s="87"/>
      <c r="E792" s="86" t="s">
        <v>925</v>
      </c>
      <c r="F792" s="86"/>
      <c r="G792" s="86"/>
      <c r="H792" s="52"/>
      <c r="I792" s="52"/>
      <c r="J792" s="52"/>
      <c r="K792" s="52"/>
      <c r="L792" s="52"/>
      <c r="M792" s="52"/>
      <c r="N792" s="52"/>
      <c r="O792" s="52"/>
      <c r="P792" s="640" t="s">
        <v>199</v>
      </c>
      <c r="Q792" s="52"/>
      <c r="R792" s="52"/>
      <c r="S792" s="1507">
        <f>S791*365/4</f>
        <v>0</v>
      </c>
      <c r="T792" s="1507"/>
      <c r="U792" s="1507"/>
      <c r="V792" s="757"/>
      <c r="W792" s="1507">
        <f>W791*365/4</f>
        <v>0</v>
      </c>
      <c r="X792" s="1507"/>
      <c r="Y792" s="1507"/>
      <c r="Z792" s="757"/>
      <c r="AA792" s="1507">
        <f>AA791*365/4</f>
        <v>0</v>
      </c>
      <c r="AB792" s="1507"/>
      <c r="AC792" s="1507"/>
      <c r="AD792" s="757"/>
      <c r="AE792" s="1507">
        <f>AE791*365/4</f>
        <v>0</v>
      </c>
      <c r="AF792" s="1507"/>
      <c r="AG792" s="1507"/>
      <c r="AH792" s="757"/>
      <c r="AI792" s="1462"/>
      <c r="AJ792" s="1462"/>
      <c r="AK792" s="1462"/>
      <c r="AL792" s="832"/>
      <c r="AM792" s="832"/>
      <c r="AN792" s="52"/>
      <c r="AO792" s="52"/>
      <c r="AP792" s="52"/>
      <c r="AQ792" s="1507">
        <f>AQ791*365/4</f>
        <v>0</v>
      </c>
      <c r="AR792" s="1507"/>
      <c r="AS792" s="1507"/>
      <c r="AT792" s="757"/>
      <c r="AU792" s="1507">
        <f>AU791*365/4</f>
        <v>0</v>
      </c>
      <c r="AV792" s="1507"/>
      <c r="AW792" s="1507"/>
      <c r="AX792" s="757"/>
      <c r="AY792" s="1507">
        <f>AY791*365/4</f>
        <v>0</v>
      </c>
      <c r="AZ792" s="1507"/>
      <c r="BA792" s="1507"/>
      <c r="BB792" s="757"/>
      <c r="BC792" s="1507">
        <f>BC791*365/4</f>
        <v>0</v>
      </c>
      <c r="BD792" s="1507"/>
      <c r="BE792" s="1507"/>
      <c r="BF792" s="640"/>
      <c r="BG792" s="622"/>
      <c r="BH792" s="640"/>
      <c r="BI792" s="640"/>
      <c r="BJ792" s="763"/>
      <c r="BL792" s="28"/>
      <c r="BM792" s="139"/>
      <c r="BP792" s="28"/>
      <c r="BQ792" s="28"/>
      <c r="BR792" s="28"/>
      <c r="BS792" s="28"/>
      <c r="BT792" s="28"/>
      <c r="BU792" s="28"/>
      <c r="BV792" s="28"/>
      <c r="BW792" s="28"/>
      <c r="BX792" s="28"/>
    </row>
    <row r="793" spans="2:76" s="752" customFormat="1" ht="15.95" hidden="1" customHeight="1" outlineLevel="2">
      <c r="B793" s="751"/>
      <c r="E793" s="753"/>
      <c r="F793" s="753" t="s">
        <v>237</v>
      </c>
      <c r="G793" s="754"/>
      <c r="H793" s="754"/>
      <c r="I793" s="754"/>
      <c r="J793" s="754"/>
      <c r="K793" s="754"/>
      <c r="L793" s="754"/>
      <c r="M793" s="754"/>
      <c r="N793" s="754"/>
      <c r="O793" s="754"/>
      <c r="P793" s="755"/>
      <c r="Q793" s="754">
        <f>IF(SUM(S792:AG792)&gt;10000,-2,-1)</f>
        <v>-1</v>
      </c>
      <c r="R793" s="845"/>
      <c r="S793" s="1470">
        <f>IF(S792&gt;100000,-4,IF(S792&gt;10000,-3,IF(S792&gt;1000,-2,$Q793)))</f>
        <v>-1</v>
      </c>
      <c r="T793" s="1470"/>
      <c r="U793" s="1470"/>
      <c r="V793" s="845"/>
      <c r="W793" s="1470">
        <f>IF(W792&gt;100000,-4,IF(W792&gt;10000,-3,IF(W792&gt;1000,-2,$Q793)))</f>
        <v>-1</v>
      </c>
      <c r="X793" s="1470"/>
      <c r="Y793" s="1470"/>
      <c r="Z793" s="845"/>
      <c r="AA793" s="1470">
        <f>IF(AA792&gt;100000,-4,IF(AA792&gt;10000,-3,IF(AA792&gt;1000,-2,$Q793)))</f>
        <v>-1</v>
      </c>
      <c r="AB793" s="1470"/>
      <c r="AC793" s="1470"/>
      <c r="AD793" s="845"/>
      <c r="AE793" s="1470">
        <f>IF(AE792&gt;100000,-4,IF(AE792&gt;10000,-3,IF(AE792&gt;1000,-2,$Q793)))</f>
        <v>-1</v>
      </c>
      <c r="AF793" s="1470"/>
      <c r="AG793" s="1470"/>
      <c r="AH793" s="754"/>
      <c r="AI793" s="1469"/>
      <c r="AJ793" s="1470"/>
      <c r="AK793" s="1470"/>
      <c r="AL793" s="837"/>
      <c r="AM793" s="837"/>
      <c r="AN793" s="754"/>
      <c r="AO793" s="754"/>
      <c r="AP793" s="845"/>
      <c r="AQ793" s="1470">
        <f>IF(AQ792&gt;100000,-4,IF(AQ792&gt;10000,-3,IF(AQ792&gt;1000,-2,$Q793)))</f>
        <v>-1</v>
      </c>
      <c r="AR793" s="1470"/>
      <c r="AS793" s="1470"/>
      <c r="AT793" s="845"/>
      <c r="AU793" s="1470">
        <f>IF(AU792&gt;100000,-4,IF(AU792&gt;10000,-3,IF(AU792&gt;1000,-2,$Q793)))</f>
        <v>-1</v>
      </c>
      <c r="AV793" s="1470"/>
      <c r="AW793" s="1470"/>
      <c r="AX793" s="845"/>
      <c r="AY793" s="1470">
        <f>IF(AY792&gt;100000,-4,IF(AY792&gt;10000,-3,IF(AY792&gt;1000,-2,$Q793)))</f>
        <v>-1</v>
      </c>
      <c r="AZ793" s="1470"/>
      <c r="BA793" s="1470"/>
      <c r="BB793" s="845"/>
      <c r="BC793" s="1470">
        <f>IF(BC792&gt;100000,-4,IF(BC792&gt;10000,-3,IF(BC792&gt;1000,-2,$Q793)))</f>
        <v>-1</v>
      </c>
      <c r="BD793" s="1470"/>
      <c r="BE793" s="1470"/>
      <c r="BF793" s="640"/>
      <c r="BG793" s="622"/>
      <c r="BH793" s="640"/>
      <c r="BI793" s="640"/>
      <c r="BJ793" s="763"/>
      <c r="BL793" s="28"/>
      <c r="BM793" s="139"/>
      <c r="BP793" s="756"/>
      <c r="BQ793" s="756"/>
      <c r="BR793" s="756"/>
      <c r="BS793" s="756"/>
      <c r="BT793" s="756"/>
      <c r="BU793" s="756"/>
      <c r="BV793" s="756"/>
      <c r="BW793" s="756"/>
      <c r="BX793" s="756"/>
    </row>
    <row r="794" spans="2:76" ht="15.95" hidden="1" customHeight="1" outlineLevel="1">
      <c r="B794" s="147"/>
      <c r="C794" s="31"/>
      <c r="D794" s="87"/>
      <c r="E794" s="86" t="s">
        <v>925</v>
      </c>
      <c r="F794" s="86"/>
      <c r="G794" s="86"/>
      <c r="H794" s="52"/>
      <c r="I794" s="52"/>
      <c r="J794" s="52"/>
      <c r="K794" s="52"/>
      <c r="L794" s="52"/>
      <c r="M794" s="52"/>
      <c r="N794" s="52"/>
      <c r="O794" s="52"/>
      <c r="P794" s="640" t="s">
        <v>199</v>
      </c>
      <c r="Q794" s="52"/>
      <c r="R794" s="52"/>
      <c r="S794" s="1507">
        <f>ROUND(S792,S793)</f>
        <v>0</v>
      </c>
      <c r="T794" s="1507"/>
      <c r="U794" s="1507"/>
      <c r="V794" s="757"/>
      <c r="W794" s="1507">
        <f>ROUND(W792,W793)</f>
        <v>0</v>
      </c>
      <c r="X794" s="1507"/>
      <c r="Y794" s="1507"/>
      <c r="Z794" s="757"/>
      <c r="AA794" s="1507">
        <f>ROUND(AA792,AA793)</f>
        <v>0</v>
      </c>
      <c r="AB794" s="1507"/>
      <c r="AC794" s="1507"/>
      <c r="AD794" s="757"/>
      <c r="AE794" s="1507">
        <f>ROUND(AE792,AE793)</f>
        <v>0</v>
      </c>
      <c r="AF794" s="1507"/>
      <c r="AG794" s="1507"/>
      <c r="AH794" s="757"/>
      <c r="AI794" s="1462"/>
      <c r="AJ794" s="1462"/>
      <c r="AK794" s="1462"/>
      <c r="AL794" s="838"/>
      <c r="AM794" s="838"/>
      <c r="AN794" s="52"/>
      <c r="AO794" s="52"/>
      <c r="AP794" s="52"/>
      <c r="AQ794" s="1507">
        <f>ROUND(AQ792,AQ793)</f>
        <v>0</v>
      </c>
      <c r="AR794" s="1507"/>
      <c r="AS794" s="1507"/>
      <c r="AT794" s="757"/>
      <c r="AU794" s="1507">
        <f>ROUND(AU792,AU793)</f>
        <v>0</v>
      </c>
      <c r="AV794" s="1507"/>
      <c r="AW794" s="1507"/>
      <c r="AX794" s="757"/>
      <c r="AY794" s="1507">
        <f>ROUND(AY792,AY793)</f>
        <v>0</v>
      </c>
      <c r="AZ794" s="1507"/>
      <c r="BA794" s="1507"/>
      <c r="BB794" s="757"/>
      <c r="BC794" s="1507">
        <f>ROUND(BC792,BC793)</f>
        <v>0</v>
      </c>
      <c r="BD794" s="1507"/>
      <c r="BE794" s="1507"/>
      <c r="BF794" s="640"/>
      <c r="BG794" s="622"/>
      <c r="BH794" s="640"/>
      <c r="BI794" s="640"/>
      <c r="BJ794" s="763"/>
      <c r="BL794" s="28"/>
      <c r="BM794" s="139"/>
      <c r="BP794" s="28"/>
      <c r="BQ794" s="28"/>
      <c r="BR794" s="28"/>
      <c r="BS794" s="28"/>
      <c r="BT794" s="28"/>
      <c r="BU794" s="28"/>
      <c r="BV794" s="28"/>
      <c r="BW794" s="28"/>
      <c r="BX794" s="28"/>
    </row>
    <row r="795" spans="2:76" s="28" customFormat="1" ht="15" hidden="1" customHeight="1" outlineLevel="1">
      <c r="B795" s="117"/>
      <c r="C795" s="842"/>
      <c r="E795" s="98"/>
      <c r="F795" s="98"/>
      <c r="G795" s="98"/>
      <c r="H795" s="98"/>
      <c r="I795" s="98"/>
      <c r="J795" s="98"/>
      <c r="K795" s="98"/>
      <c r="L795" s="98"/>
      <c r="M795" s="98"/>
      <c r="N795" s="98"/>
      <c r="O795" s="98"/>
      <c r="P795" s="122"/>
      <c r="Q795" s="98"/>
      <c r="R795" s="98"/>
      <c r="S795" s="98"/>
      <c r="T795" s="98"/>
      <c r="U795" s="98"/>
      <c r="V795" s="98"/>
      <c r="X795" s="840"/>
      <c r="Y795" s="840"/>
      <c r="Z795" s="98"/>
      <c r="AA795" s="98"/>
      <c r="AB795" s="98"/>
      <c r="AD795" s="98"/>
      <c r="AE795" s="98"/>
      <c r="AF795" s="98"/>
      <c r="AG795" s="98"/>
      <c r="AH795" s="98"/>
      <c r="AI795" s="98"/>
      <c r="AJ795" s="98"/>
      <c r="AK795" s="98"/>
      <c r="AL795" s="98"/>
      <c r="AM795" s="98"/>
      <c r="AN795" s="98"/>
      <c r="AO795" s="98"/>
      <c r="AP795" s="98"/>
      <c r="AQ795" s="98"/>
      <c r="AR795" s="98"/>
      <c r="AS795" s="98"/>
      <c r="AT795" s="98"/>
      <c r="AU795" s="98"/>
      <c r="AV795" s="98"/>
      <c r="AW795" s="98"/>
      <c r="AX795" s="98"/>
      <c r="AY795" s="98"/>
      <c r="AZ795" s="98"/>
      <c r="BA795" s="98"/>
      <c r="BB795" s="98"/>
      <c r="BC795" s="98"/>
      <c r="BD795" s="98"/>
      <c r="BE795" s="98"/>
      <c r="BF795" s="640"/>
      <c r="BG795" s="622"/>
      <c r="BH795" s="640"/>
      <c r="BI795" s="640"/>
      <c r="BJ795" s="763"/>
      <c r="BM795" s="139"/>
    </row>
    <row r="796" spans="2:76" s="28" customFormat="1" ht="15" hidden="1" customHeight="1" outlineLevel="1">
      <c r="B796" s="117"/>
      <c r="C796" s="842"/>
      <c r="D796" s="220"/>
      <c r="E796" s="170"/>
      <c r="F796" s="170"/>
      <c r="G796" s="170"/>
      <c r="H796" s="170"/>
      <c r="I796" s="170"/>
      <c r="J796" s="170"/>
      <c r="K796" s="170"/>
      <c r="L796" s="98"/>
      <c r="M796" s="98"/>
      <c r="N796" s="98"/>
      <c r="O796" s="98"/>
      <c r="P796" s="122"/>
      <c r="Q796" s="98"/>
      <c r="R796" s="98"/>
      <c r="S796" s="98"/>
      <c r="T796" s="98"/>
      <c r="U796" s="98"/>
      <c r="V796" s="98"/>
      <c r="Z796" s="98"/>
      <c r="AC796" s="840" t="s">
        <v>915</v>
      </c>
      <c r="AF796" s="98"/>
      <c r="AH796" s="98"/>
      <c r="AI796" s="98"/>
      <c r="AJ796" s="98"/>
      <c r="AK796" s="841" t="s">
        <v>926</v>
      </c>
      <c r="AL796" s="98"/>
      <c r="AM796" s="98"/>
      <c r="AN796" s="98"/>
      <c r="AO796" s="98"/>
      <c r="AP796" s="98"/>
      <c r="AQ796" s="98"/>
      <c r="AR796" s="98"/>
      <c r="AS796" s="98"/>
      <c r="AT796" s="98"/>
      <c r="AX796" s="98"/>
      <c r="BA796" s="902" t="s">
        <v>915</v>
      </c>
      <c r="BD796" s="98"/>
      <c r="BF796" s="98"/>
      <c r="BG796" s="98"/>
      <c r="BH796" s="98"/>
      <c r="BI796" s="897" t="s">
        <v>926</v>
      </c>
      <c r="BJ796" s="763"/>
      <c r="BM796" s="139"/>
    </row>
    <row r="797" spans="2:76" ht="15.95" hidden="1" customHeight="1" outlineLevel="1">
      <c r="B797" s="147"/>
      <c r="C797" s="31"/>
      <c r="D797" s="86"/>
      <c r="E797" s="1509">
        <f>'1 System specification'!U96</f>
        <v>0</v>
      </c>
      <c r="F797" s="1509"/>
      <c r="G797" s="1509"/>
      <c r="H797" s="1509"/>
      <c r="I797" s="1509"/>
      <c r="J797" s="1509"/>
      <c r="K797" s="1509"/>
      <c r="L797" s="52"/>
      <c r="M797" s="52"/>
      <c r="N797" s="52"/>
      <c r="O797" s="52"/>
      <c r="P797" s="31"/>
      <c r="Q797" s="52"/>
      <c r="R797" s="52"/>
      <c r="V797" s="844"/>
      <c r="Y797" s="67" t="s">
        <v>917</v>
      </c>
      <c r="AA797" s="1483" t="s">
        <v>913</v>
      </c>
      <c r="AB797" s="1483"/>
      <c r="AC797" s="1483"/>
      <c r="AD797" s="844"/>
      <c r="AE797" s="844"/>
      <c r="AF797" s="844"/>
      <c r="AH797" s="757"/>
      <c r="AI797" s="847"/>
      <c r="AJ797" s="847"/>
      <c r="AK797" s="840" t="s">
        <v>22</v>
      </c>
      <c r="AL797" s="828"/>
      <c r="AM797" s="828"/>
      <c r="AN797" s="52"/>
      <c r="AO797" s="52"/>
      <c r="AP797" s="52"/>
      <c r="AQ797" s="910"/>
      <c r="AR797" s="910"/>
      <c r="AS797" s="910"/>
      <c r="AT797" s="52"/>
      <c r="AW797" s="67" t="s">
        <v>917</v>
      </c>
      <c r="AY797" s="1483" t="s">
        <v>913</v>
      </c>
      <c r="AZ797" s="1483"/>
      <c r="BA797" s="1483"/>
      <c r="BB797" s="844"/>
      <c r="BC797" s="844"/>
      <c r="BD797" s="844"/>
      <c r="BF797" s="757"/>
      <c r="BG797" s="847"/>
      <c r="BH797" s="847"/>
      <c r="BI797" s="902" t="s">
        <v>22</v>
      </c>
      <c r="BJ797" s="763"/>
      <c r="BL797" s="28"/>
      <c r="BM797" s="139"/>
      <c r="BP797" s="28"/>
      <c r="BQ797" s="28"/>
      <c r="BR797" s="28"/>
      <c r="BS797" s="28"/>
      <c r="BT797" s="28"/>
      <c r="BU797" s="28"/>
      <c r="BV797" s="28"/>
      <c r="BW797" s="28"/>
      <c r="BX797" s="28"/>
    </row>
    <row r="798" spans="2:76" ht="5.0999999999999996" hidden="1" customHeight="1" outlineLevel="1">
      <c r="B798" s="147"/>
      <c r="C798" s="31"/>
      <c r="D798" s="87"/>
      <c r="E798" s="86"/>
      <c r="F798" s="86"/>
      <c r="G798" s="86"/>
      <c r="H798" s="86"/>
      <c r="I798" s="86"/>
      <c r="J798" s="86"/>
      <c r="K798" s="86"/>
      <c r="L798" s="52"/>
      <c r="M798" s="52"/>
      <c r="N798" s="52"/>
      <c r="O798" s="52"/>
      <c r="P798" s="640"/>
      <c r="Q798" s="52"/>
      <c r="R798" s="52"/>
      <c r="S798" s="831"/>
      <c r="T798" s="831"/>
      <c r="U798" s="831"/>
      <c r="V798" s="757"/>
      <c r="W798" s="831"/>
      <c r="X798" s="831"/>
      <c r="Y798" s="831"/>
      <c r="Z798" s="757"/>
      <c r="AA798" s="831"/>
      <c r="AB798" s="831"/>
      <c r="AC798" s="831"/>
      <c r="AD798" s="757"/>
      <c r="AE798" s="831"/>
      <c r="AF798" s="831"/>
      <c r="AG798" s="831"/>
      <c r="AH798" s="757"/>
      <c r="AI798" s="839"/>
      <c r="AJ798" s="839"/>
      <c r="AK798" s="839"/>
      <c r="AL798" s="828"/>
      <c r="AM798" s="828"/>
      <c r="AN798" s="52"/>
      <c r="AO798" s="52"/>
      <c r="AP798" s="52"/>
      <c r="AQ798" s="902"/>
      <c r="AR798" s="902"/>
      <c r="AS798" s="902"/>
      <c r="AT798" s="757"/>
      <c r="AU798" s="902"/>
      <c r="AV798" s="902"/>
      <c r="AW798" s="902"/>
      <c r="AX798" s="757"/>
      <c r="AY798" s="902"/>
      <c r="AZ798" s="902"/>
      <c r="BA798" s="902"/>
      <c r="BB798" s="757"/>
      <c r="BC798" s="902"/>
      <c r="BD798" s="902"/>
      <c r="BE798" s="902"/>
      <c r="BF798" s="640"/>
      <c r="BG798" s="622"/>
      <c r="BH798" s="640"/>
      <c r="BI798" s="640"/>
      <c r="BJ798" s="763"/>
      <c r="BL798" s="28"/>
      <c r="BM798" s="139"/>
      <c r="BP798" s="28"/>
      <c r="BQ798" s="28"/>
      <c r="BR798" s="28"/>
      <c r="BS798" s="28"/>
      <c r="BT798" s="28"/>
      <c r="BU798" s="28"/>
      <c r="BV798" s="28"/>
      <c r="BW798" s="28"/>
      <c r="BX798" s="28"/>
    </row>
    <row r="799" spans="2:76" s="752" customFormat="1" ht="15.95" hidden="1" customHeight="1" outlineLevel="1">
      <c r="B799" s="751"/>
      <c r="D799" s="849"/>
      <c r="E799" s="848" t="str">
        <f>'1 System specification'!D101</f>
        <v>Supermarkt</v>
      </c>
      <c r="F799" s="850"/>
      <c r="G799" s="850"/>
      <c r="H799" s="850"/>
      <c r="I799" s="850"/>
      <c r="J799" s="850"/>
      <c r="K799" s="850"/>
      <c r="L799" s="754"/>
      <c r="M799" s="754"/>
      <c r="N799" s="754"/>
      <c r="O799" s="754"/>
      <c r="P799" s="61" t="s">
        <v>917</v>
      </c>
      <c r="Q799" s="754"/>
      <c r="R799" s="843"/>
      <c r="S799" s="1508">
        <v>45</v>
      </c>
      <c r="T799" s="1508"/>
      <c r="U799" s="1508"/>
      <c r="V799" s="843"/>
      <c r="W799" s="1507">
        <f t="shared" ref="W799:W804" si="67">IF(E799=E$797,S799,0)</f>
        <v>0</v>
      </c>
      <c r="X799" s="1507"/>
      <c r="Y799" s="1507"/>
      <c r="Z799" s="843"/>
      <c r="AA799" s="843"/>
      <c r="AB799" s="843"/>
      <c r="AC799" s="843"/>
      <c r="AD799" s="843"/>
      <c r="AE799" s="843"/>
      <c r="AF799" s="843"/>
      <c r="AG799" s="843"/>
      <c r="AH799" s="754"/>
      <c r="AI799" s="845"/>
      <c r="AJ799" s="846"/>
      <c r="AK799" s="846"/>
      <c r="AL799" s="833"/>
      <c r="AM799" s="833"/>
      <c r="AN799" s="754"/>
      <c r="AO799" s="754"/>
      <c r="AP799" s="843"/>
      <c r="AQ799" s="843"/>
      <c r="AR799" s="843"/>
      <c r="AS799" s="843"/>
      <c r="AT799" s="843"/>
      <c r="AU799" s="1507">
        <f>IF(E$797=E799,S799,0)</f>
        <v>0</v>
      </c>
      <c r="AV799" s="1507"/>
      <c r="AW799" s="1507"/>
      <c r="AX799" s="843"/>
      <c r="AY799" s="843"/>
      <c r="AZ799" s="843"/>
      <c r="BA799" s="843"/>
      <c r="BB799" s="843"/>
      <c r="BC799" s="843"/>
      <c r="BD799" s="843"/>
      <c r="BE799" s="843"/>
      <c r="BF799" s="754"/>
      <c r="BG799" s="845"/>
      <c r="BH799" s="846"/>
      <c r="BI799" s="846"/>
      <c r="BJ799" s="763"/>
      <c r="BL799" s="28"/>
      <c r="BM799" s="139"/>
      <c r="BP799" s="756"/>
      <c r="BQ799" s="756"/>
      <c r="BR799" s="756"/>
      <c r="BS799" s="756"/>
      <c r="BT799" s="756"/>
      <c r="BU799" s="756"/>
      <c r="BV799" s="756"/>
      <c r="BW799" s="756"/>
      <c r="BX799" s="756"/>
    </row>
    <row r="800" spans="2:76" s="752" customFormat="1" ht="15.95" hidden="1" customHeight="1" outlineLevel="1">
      <c r="B800" s="751"/>
      <c r="E800" s="848" t="str">
        <f>'1 System specification'!D102</f>
        <v>Industrie</v>
      </c>
      <c r="F800" s="754"/>
      <c r="G800" s="754"/>
      <c r="H800" s="754"/>
      <c r="I800" s="754"/>
      <c r="J800" s="754"/>
      <c r="K800" s="754"/>
      <c r="L800" s="754"/>
      <c r="M800" s="754"/>
      <c r="N800" s="754"/>
      <c r="O800" s="754"/>
      <c r="P800" s="61" t="s">
        <v>917</v>
      </c>
      <c r="Q800" s="754"/>
      <c r="R800" s="843"/>
      <c r="S800" s="1508">
        <v>50</v>
      </c>
      <c r="T800" s="1508"/>
      <c r="U800" s="1508"/>
      <c r="V800" s="843"/>
      <c r="W800" s="1507">
        <f t="shared" si="67"/>
        <v>0</v>
      </c>
      <c r="X800" s="1507"/>
      <c r="Y800" s="1507"/>
      <c r="Z800" s="843"/>
      <c r="AA800" s="843"/>
      <c r="AB800" s="843"/>
      <c r="AC800" s="843"/>
      <c r="AD800" s="843"/>
      <c r="AE800" s="843"/>
      <c r="AF800" s="843"/>
      <c r="AG800" s="843"/>
      <c r="AH800" s="754"/>
      <c r="AI800" s="845"/>
      <c r="AJ800" s="846"/>
      <c r="AK800" s="846"/>
      <c r="AL800" s="833"/>
      <c r="AM800" s="833"/>
      <c r="AN800" s="754"/>
      <c r="AO800" s="754"/>
      <c r="AP800" s="843"/>
      <c r="AQ800" s="843"/>
      <c r="AR800" s="843"/>
      <c r="AS800" s="843"/>
      <c r="AT800" s="843"/>
      <c r="AU800" s="1507">
        <f t="shared" ref="AU800:AU804" si="68">IF(E$797=E800,S800,0)</f>
        <v>0</v>
      </c>
      <c r="AV800" s="1507"/>
      <c r="AW800" s="1507"/>
      <c r="AX800" s="843"/>
      <c r="AY800" s="843"/>
      <c r="AZ800" s="843"/>
      <c r="BA800" s="843"/>
      <c r="BB800" s="843"/>
      <c r="BC800" s="843"/>
      <c r="BD800" s="843"/>
      <c r="BE800" s="843"/>
      <c r="BF800" s="754"/>
      <c r="BG800" s="845"/>
      <c r="BH800" s="846"/>
      <c r="BI800" s="846"/>
      <c r="BJ800" s="763"/>
      <c r="BL800" s="28"/>
      <c r="BM800" s="139"/>
      <c r="BP800" s="756"/>
      <c r="BQ800" s="756"/>
      <c r="BR800" s="756"/>
      <c r="BS800" s="756"/>
      <c r="BT800" s="756"/>
      <c r="BU800" s="756"/>
      <c r="BV800" s="756"/>
      <c r="BW800" s="756"/>
      <c r="BX800" s="756"/>
    </row>
    <row r="801" spans="2:76" s="752" customFormat="1" ht="15.95" hidden="1" customHeight="1" outlineLevel="1">
      <c r="B801" s="751"/>
      <c r="E801" s="848" t="str">
        <f>'1 System specification'!D103</f>
        <v>Gewerbe</v>
      </c>
      <c r="F801" s="754"/>
      <c r="G801" s="754"/>
      <c r="H801" s="754"/>
      <c r="I801" s="754"/>
      <c r="J801" s="754"/>
      <c r="K801" s="754"/>
      <c r="L801" s="754"/>
      <c r="M801" s="754"/>
      <c r="N801" s="754"/>
      <c r="O801" s="754"/>
      <c r="P801" s="61" t="s">
        <v>917</v>
      </c>
      <c r="Q801" s="754"/>
      <c r="R801" s="834"/>
      <c r="S801" s="1508">
        <v>50</v>
      </c>
      <c r="T801" s="1508"/>
      <c r="U801" s="1508"/>
      <c r="V801" s="834"/>
      <c r="W801" s="1507">
        <f t="shared" si="67"/>
        <v>0</v>
      </c>
      <c r="X801" s="1507"/>
      <c r="Y801" s="1507"/>
      <c r="Z801" s="834"/>
      <c r="AA801" s="834"/>
      <c r="AB801" s="834"/>
      <c r="AC801" s="834"/>
      <c r="AD801" s="834"/>
      <c r="AE801" s="834"/>
      <c r="AF801" s="834"/>
      <c r="AG801" s="834"/>
      <c r="AH801" s="754"/>
      <c r="AI801" s="836"/>
      <c r="AJ801" s="837"/>
      <c r="AK801" s="837"/>
      <c r="AL801" s="833"/>
      <c r="AM801" s="833"/>
      <c r="AN801" s="754"/>
      <c r="AO801" s="754"/>
      <c r="AP801" s="898"/>
      <c r="AQ801" s="898"/>
      <c r="AR801" s="898"/>
      <c r="AS801" s="898"/>
      <c r="AT801" s="898"/>
      <c r="AU801" s="1507">
        <f t="shared" si="68"/>
        <v>0</v>
      </c>
      <c r="AV801" s="1507"/>
      <c r="AW801" s="1507"/>
      <c r="AX801" s="898"/>
      <c r="AY801" s="898"/>
      <c r="AZ801" s="898"/>
      <c r="BA801" s="898"/>
      <c r="BB801" s="898"/>
      <c r="BC801" s="898"/>
      <c r="BD801" s="898"/>
      <c r="BE801" s="898"/>
      <c r="BF801" s="754"/>
      <c r="BG801" s="899"/>
      <c r="BH801" s="900"/>
      <c r="BI801" s="900"/>
      <c r="BJ801" s="763"/>
      <c r="BL801" s="28"/>
      <c r="BM801" s="139"/>
      <c r="BP801" s="756"/>
      <c r="BQ801" s="756"/>
      <c r="BR801" s="756"/>
      <c r="BS801" s="756"/>
      <c r="BT801" s="756"/>
      <c r="BU801" s="756"/>
      <c r="BV801" s="756"/>
      <c r="BW801" s="756"/>
      <c r="BX801" s="756"/>
    </row>
    <row r="802" spans="2:76" s="752" customFormat="1" ht="15.95" hidden="1" customHeight="1" outlineLevel="1">
      <c r="B802" s="751"/>
      <c r="E802" s="848" t="str">
        <f>'1 System specification'!D104</f>
        <v>Klima-Kälte Direktverdampfung (VRV-, VRF-Systeme)</v>
      </c>
      <c r="F802" s="754"/>
      <c r="G802" s="754"/>
      <c r="H802" s="754"/>
      <c r="I802" s="754"/>
      <c r="J802" s="754"/>
      <c r="K802" s="754"/>
      <c r="L802" s="754"/>
      <c r="M802" s="754"/>
      <c r="N802" s="754"/>
      <c r="O802" s="754"/>
      <c r="P802" s="61" t="s">
        <v>917</v>
      </c>
      <c r="Q802" s="754"/>
      <c r="R802" s="834"/>
      <c r="S802" s="1508">
        <v>45</v>
      </c>
      <c r="T802" s="1508"/>
      <c r="U802" s="1508"/>
      <c r="V802" s="834"/>
      <c r="W802" s="1507">
        <f t="shared" si="67"/>
        <v>0</v>
      </c>
      <c r="X802" s="1507"/>
      <c r="Y802" s="1507"/>
      <c r="Z802" s="834"/>
      <c r="AA802" s="834"/>
      <c r="AB802" s="834"/>
      <c r="AC802" s="834"/>
      <c r="AD802" s="834"/>
      <c r="AE802" s="834"/>
      <c r="AF802" s="834"/>
      <c r="AG802" s="834"/>
      <c r="AH802" s="754"/>
      <c r="AI802" s="836"/>
      <c r="AJ802" s="837"/>
      <c r="AK802" s="837"/>
      <c r="AL802" s="833"/>
      <c r="AM802" s="833"/>
      <c r="AN802" s="754"/>
      <c r="AO802" s="754"/>
      <c r="AP802" s="898"/>
      <c r="AQ802" s="898"/>
      <c r="AR802" s="898"/>
      <c r="AS802" s="898"/>
      <c r="AT802" s="898"/>
      <c r="AU802" s="1507">
        <f t="shared" si="68"/>
        <v>0</v>
      </c>
      <c r="AV802" s="1507"/>
      <c r="AW802" s="1507"/>
      <c r="AX802" s="898"/>
      <c r="AY802" s="898"/>
      <c r="AZ802" s="898"/>
      <c r="BA802" s="898"/>
      <c r="BB802" s="898"/>
      <c r="BC802" s="898"/>
      <c r="BD802" s="898"/>
      <c r="BE802" s="898"/>
      <c r="BF802" s="754"/>
      <c r="BG802" s="899"/>
      <c r="BH802" s="900"/>
      <c r="BI802" s="900"/>
      <c r="BJ802" s="763"/>
      <c r="BL802" s="28"/>
      <c r="BM802" s="139"/>
      <c r="BP802" s="756"/>
      <c r="BQ802" s="756"/>
      <c r="BR802" s="756"/>
      <c r="BS802" s="756"/>
      <c r="BT802" s="756"/>
      <c r="BU802" s="756"/>
      <c r="BV802" s="756"/>
      <c r="BW802" s="756"/>
      <c r="BX802" s="756"/>
    </row>
    <row r="803" spans="2:76" s="752" customFormat="1" ht="15.95" hidden="1" customHeight="1" outlineLevel="1">
      <c r="B803" s="751"/>
      <c r="E803" s="848" t="str">
        <f>'1 System specification'!D105</f>
        <v>Klima-Kälte (wassergekühlte Kaltwassersätze)</v>
      </c>
      <c r="F803" s="754"/>
      <c r="G803" s="754"/>
      <c r="H803" s="754"/>
      <c r="I803" s="754"/>
      <c r="J803" s="754"/>
      <c r="K803" s="754"/>
      <c r="L803" s="754"/>
      <c r="M803" s="754"/>
      <c r="N803" s="754"/>
      <c r="O803" s="754"/>
      <c r="P803" s="61" t="s">
        <v>917</v>
      </c>
      <c r="Q803" s="754"/>
      <c r="R803" s="843"/>
      <c r="S803" s="1508">
        <v>45</v>
      </c>
      <c r="T803" s="1508"/>
      <c r="U803" s="1508"/>
      <c r="V803" s="843"/>
      <c r="W803" s="1507">
        <f t="shared" si="67"/>
        <v>0</v>
      </c>
      <c r="X803" s="1507"/>
      <c r="Y803" s="1507"/>
      <c r="Z803" s="843"/>
      <c r="AA803" s="843"/>
      <c r="AB803" s="843"/>
      <c r="AC803" s="843"/>
      <c r="AD803" s="843"/>
      <c r="AE803" s="843"/>
      <c r="AF803" s="843"/>
      <c r="AG803" s="843"/>
      <c r="AH803" s="754"/>
      <c r="AI803" s="845"/>
      <c r="AJ803" s="846"/>
      <c r="AK803" s="846"/>
      <c r="AL803" s="833"/>
      <c r="AM803" s="833"/>
      <c r="AN803" s="754"/>
      <c r="AO803" s="754"/>
      <c r="AP803" s="843"/>
      <c r="AQ803" s="843"/>
      <c r="AR803" s="843"/>
      <c r="AS803" s="843"/>
      <c r="AT803" s="843"/>
      <c r="AU803" s="1507">
        <f t="shared" si="68"/>
        <v>0</v>
      </c>
      <c r="AV803" s="1507"/>
      <c r="AW803" s="1507"/>
      <c r="AX803" s="843"/>
      <c r="AY803" s="843"/>
      <c r="AZ803" s="843"/>
      <c r="BA803" s="843"/>
      <c r="BB803" s="843"/>
      <c r="BC803" s="843"/>
      <c r="BD803" s="843"/>
      <c r="BE803" s="843"/>
      <c r="BF803" s="754"/>
      <c r="BG803" s="845"/>
      <c r="BH803" s="846"/>
      <c r="BI803" s="846"/>
      <c r="BJ803" s="763"/>
      <c r="BL803" s="28"/>
      <c r="BM803" s="139"/>
      <c r="BP803" s="756"/>
      <c r="BQ803" s="756"/>
      <c r="BR803" s="756"/>
      <c r="BS803" s="756"/>
      <c r="BT803" s="756"/>
      <c r="BU803" s="756"/>
      <c r="BV803" s="756"/>
      <c r="BW803" s="756"/>
      <c r="BX803" s="756"/>
    </row>
    <row r="804" spans="2:76" s="752" customFormat="1" ht="15.95" hidden="1" customHeight="1" outlineLevel="1">
      <c r="B804" s="751"/>
      <c r="E804" s="848" t="str">
        <f>'1 System specification'!D106</f>
        <v>Klima-Kälte (luftgekühlte Kaltwassersätze)</v>
      </c>
      <c r="F804" s="754"/>
      <c r="G804" s="754"/>
      <c r="H804" s="754"/>
      <c r="I804" s="754"/>
      <c r="J804" s="754"/>
      <c r="K804" s="754"/>
      <c r="L804" s="754"/>
      <c r="M804" s="754"/>
      <c r="N804" s="754"/>
      <c r="O804" s="754"/>
      <c r="P804" s="61" t="s">
        <v>917</v>
      </c>
      <c r="Q804" s="754"/>
      <c r="R804" s="843"/>
      <c r="S804" s="1508">
        <v>45</v>
      </c>
      <c r="T804" s="1508"/>
      <c r="U804" s="1508"/>
      <c r="V804" s="843"/>
      <c r="W804" s="1506">
        <f t="shared" si="67"/>
        <v>0</v>
      </c>
      <c r="X804" s="1506"/>
      <c r="Y804" s="1506"/>
      <c r="Z804" s="843"/>
      <c r="AA804" s="843"/>
      <c r="AB804" s="843"/>
      <c r="AC804" s="843"/>
      <c r="AD804" s="843"/>
      <c r="AE804" s="843"/>
      <c r="AF804" s="843"/>
      <c r="AG804" s="843"/>
      <c r="AH804" s="754"/>
      <c r="AI804" s="845"/>
      <c r="AJ804" s="846"/>
      <c r="AK804" s="846"/>
      <c r="AL804" s="833"/>
      <c r="AM804" s="833"/>
      <c r="AN804" s="754"/>
      <c r="AO804" s="754"/>
      <c r="AP804" s="843"/>
      <c r="AQ804" s="843"/>
      <c r="AR804" s="843"/>
      <c r="AS804" s="843"/>
      <c r="AT804" s="843"/>
      <c r="AU804" s="1506">
        <f t="shared" si="68"/>
        <v>0</v>
      </c>
      <c r="AV804" s="1506"/>
      <c r="AW804" s="1506"/>
      <c r="AX804" s="843"/>
      <c r="AY804" s="843"/>
      <c r="AZ804" s="843"/>
      <c r="BA804" s="843"/>
      <c r="BB804" s="843"/>
      <c r="BC804" s="843"/>
      <c r="BD804" s="843"/>
      <c r="BE804" s="843"/>
      <c r="BF804" s="754"/>
      <c r="BG804" s="845"/>
      <c r="BH804" s="846"/>
      <c r="BI804" s="846"/>
      <c r="BJ804" s="763"/>
      <c r="BL804" s="28"/>
      <c r="BM804" s="139"/>
      <c r="BP804" s="756"/>
      <c r="BQ804" s="756"/>
      <c r="BR804" s="756"/>
      <c r="BS804" s="756"/>
      <c r="BT804" s="756"/>
      <c r="BU804" s="756"/>
      <c r="BV804" s="756"/>
      <c r="BW804" s="756"/>
      <c r="BX804" s="756"/>
    </row>
    <row r="805" spans="2:76" s="752" customFormat="1" ht="15.95" hidden="1" customHeight="1" outlineLevel="1">
      <c r="B805" s="751"/>
      <c r="E805" s="848"/>
      <c r="F805" s="848" t="s">
        <v>930</v>
      </c>
      <c r="G805" s="754"/>
      <c r="H805" s="754"/>
      <c r="I805" s="754"/>
      <c r="J805" s="754"/>
      <c r="K805" s="754"/>
      <c r="L805" s="754"/>
      <c r="M805" s="754"/>
      <c r="N805" s="754"/>
      <c r="O805" s="754"/>
      <c r="P805" s="61"/>
      <c r="Q805" s="754"/>
      <c r="R805" s="843"/>
      <c r="S805" s="840"/>
      <c r="T805" s="840"/>
      <c r="U805" s="840"/>
      <c r="V805" s="843"/>
      <c r="W805" s="1507">
        <f>SUM(W799:Y804)</f>
        <v>0</v>
      </c>
      <c r="X805" s="1507"/>
      <c r="Y805" s="1507"/>
      <c r="Z805" s="843"/>
      <c r="AA805" s="844"/>
      <c r="AB805" s="844"/>
      <c r="AC805" s="844"/>
      <c r="AD805" s="843"/>
      <c r="AH805" s="754"/>
      <c r="AI805" s="844"/>
      <c r="AJ805" s="844"/>
      <c r="AK805" s="844"/>
      <c r="AL805" s="837"/>
      <c r="AM805" s="837"/>
      <c r="AN805" s="754"/>
      <c r="AO805" s="754"/>
      <c r="AP805" s="898"/>
      <c r="AQ805" s="898"/>
      <c r="AR805" s="898"/>
      <c r="AS805" s="898"/>
      <c r="AT805" s="898"/>
      <c r="AU805" s="1507">
        <f>SUM(AU799:AW804)</f>
        <v>0</v>
      </c>
      <c r="AV805" s="1507"/>
      <c r="AW805" s="1507"/>
      <c r="AX805" s="898"/>
      <c r="AY805" s="898"/>
      <c r="AZ805" s="898"/>
      <c r="BA805" s="898"/>
      <c r="BB805" s="898"/>
      <c r="BC805" s="898"/>
      <c r="BD805" s="898"/>
      <c r="BE805" s="898"/>
      <c r="BF805" s="754"/>
      <c r="BG805" s="899"/>
      <c r="BH805" s="900"/>
      <c r="BI805" s="900"/>
      <c r="BJ805" s="763"/>
      <c r="BL805" s="28"/>
      <c r="BM805" s="139"/>
      <c r="BP805" s="756"/>
      <c r="BQ805" s="756"/>
      <c r="BR805" s="756"/>
      <c r="BS805" s="756"/>
      <c r="BT805" s="756"/>
      <c r="BU805" s="756"/>
      <c r="BV805" s="756"/>
      <c r="BW805" s="756"/>
      <c r="BX805" s="756"/>
    </row>
    <row r="806" spans="2:76" s="752" customFormat="1" ht="15.95" hidden="1" customHeight="1" outlineLevel="1">
      <c r="B806" s="751"/>
      <c r="E806" s="848"/>
      <c r="F806" s="848" t="s">
        <v>931</v>
      </c>
      <c r="G806" s="754"/>
      <c r="H806" s="754"/>
      <c r="I806" s="754"/>
      <c r="J806" s="754"/>
      <c r="K806" s="754"/>
      <c r="L806" s="754"/>
      <c r="M806" s="754"/>
      <c r="N806" s="754"/>
      <c r="O806" s="754"/>
      <c r="P806" s="61"/>
      <c r="Q806" s="754"/>
      <c r="R806" s="843"/>
      <c r="S806" s="840"/>
      <c r="T806" s="840"/>
      <c r="U806" s="840"/>
      <c r="V806" s="843"/>
      <c r="W806" s="1506">
        <f>AI200</f>
        <v>0</v>
      </c>
      <c r="X806" s="1506"/>
      <c r="Y806" s="1506"/>
      <c r="Z806" s="843"/>
      <c r="AA806" s="844"/>
      <c r="AB806" s="844"/>
      <c r="AC806" s="844"/>
      <c r="AD806" s="843"/>
      <c r="AH806" s="754"/>
      <c r="AI806" s="844"/>
      <c r="AJ806" s="844"/>
      <c r="AK806" s="844"/>
      <c r="AL806" s="837"/>
      <c r="AM806" s="837"/>
      <c r="AN806" s="754"/>
      <c r="AO806" s="754"/>
      <c r="AP806" s="898"/>
      <c r="AQ806" s="898"/>
      <c r="AR806" s="898"/>
      <c r="AS806" s="898"/>
      <c r="AT806" s="898"/>
      <c r="AU806" s="1506">
        <f>BG200</f>
        <v>0</v>
      </c>
      <c r="AV806" s="1506"/>
      <c r="AW806" s="1506"/>
      <c r="AX806" s="898"/>
      <c r="AY806" s="898"/>
      <c r="AZ806" s="898"/>
      <c r="BA806" s="898"/>
      <c r="BB806" s="898"/>
      <c r="BC806" s="898"/>
      <c r="BD806" s="898"/>
      <c r="BE806" s="898"/>
      <c r="BF806" s="754"/>
      <c r="BG806" s="899"/>
      <c r="BH806" s="900"/>
      <c r="BI806" s="900"/>
      <c r="BJ806" s="763"/>
      <c r="BL806" s="28"/>
      <c r="BM806" s="139"/>
      <c r="BP806" s="756"/>
      <c r="BQ806" s="756"/>
      <c r="BR806" s="756"/>
      <c r="BS806" s="756"/>
      <c r="BT806" s="756"/>
      <c r="BU806" s="756"/>
      <c r="BV806" s="756"/>
      <c r="BW806" s="756"/>
      <c r="BX806" s="756"/>
    </row>
    <row r="807" spans="2:76" s="752" customFormat="1" ht="15.95" hidden="1" customHeight="1" outlineLevel="1">
      <c r="B807" s="751"/>
      <c r="E807" s="848"/>
      <c r="F807" s="848" t="s">
        <v>89</v>
      </c>
      <c r="G807" s="754"/>
      <c r="H807" s="754"/>
      <c r="I807" s="754"/>
      <c r="J807" s="754"/>
      <c r="K807" s="754"/>
      <c r="L807" s="754"/>
      <c r="M807" s="754"/>
      <c r="N807" s="754"/>
      <c r="O807" s="754"/>
      <c r="P807" s="61"/>
      <c r="Q807" s="754"/>
      <c r="R807" s="843"/>
      <c r="S807" s="840"/>
      <c r="T807" s="840"/>
      <c r="U807" s="840"/>
      <c r="V807" s="843"/>
      <c r="W807" s="1507">
        <f>IF(W806&gt;0,W806,W805)</f>
        <v>0</v>
      </c>
      <c r="X807" s="1507"/>
      <c r="Y807" s="1507"/>
      <c r="Z807" s="843"/>
      <c r="AA807" s="1507">
        <f>AI196</f>
        <v>0</v>
      </c>
      <c r="AB807" s="1507"/>
      <c r="AC807" s="1507"/>
      <c r="AD807" s="843"/>
      <c r="AH807" s="754"/>
      <c r="AI807" s="1507">
        <f>W807*AA807</f>
        <v>0</v>
      </c>
      <c r="AJ807" s="1507"/>
      <c r="AK807" s="1507"/>
      <c r="AL807" s="837"/>
      <c r="AM807" s="837"/>
      <c r="AN807" s="754"/>
      <c r="AO807" s="754"/>
      <c r="AP807" s="898"/>
      <c r="AQ807" s="898"/>
      <c r="AR807" s="898"/>
      <c r="AS807" s="898"/>
      <c r="AT807" s="898"/>
      <c r="AU807" s="1507">
        <f>IF(AU806&gt;0,AU806,AU805)</f>
        <v>0</v>
      </c>
      <c r="AV807" s="1507"/>
      <c r="AW807" s="1507"/>
      <c r="AX807" s="843"/>
      <c r="AY807" s="1507">
        <f>BG196</f>
        <v>0</v>
      </c>
      <c r="AZ807" s="1507"/>
      <c r="BA807" s="1507"/>
      <c r="BB807" s="843"/>
      <c r="BF807" s="754"/>
      <c r="BG807" s="1507">
        <f>AU807*AY807</f>
        <v>0</v>
      </c>
      <c r="BH807" s="1507"/>
      <c r="BI807" s="1507"/>
      <c r="BJ807" s="763"/>
      <c r="BL807" s="28"/>
      <c r="BM807" s="139"/>
      <c r="BP807" s="756"/>
      <c r="BQ807" s="756"/>
      <c r="BR807" s="756"/>
      <c r="BS807" s="756"/>
      <c r="BT807" s="756"/>
      <c r="BU807" s="756"/>
      <c r="BV807" s="756"/>
      <c r="BW807" s="756"/>
      <c r="BX807" s="756"/>
    </row>
    <row r="808" spans="2:76" s="752" customFormat="1" ht="15.95" hidden="1" customHeight="1" outlineLevel="1">
      <c r="B808" s="751"/>
      <c r="E808" s="848"/>
      <c r="F808" s="754"/>
      <c r="G808" s="754"/>
      <c r="H808" s="754"/>
      <c r="I808" s="754"/>
      <c r="J808" s="754"/>
      <c r="K808" s="754"/>
      <c r="L808" s="754"/>
      <c r="M808" s="754"/>
      <c r="N808" s="754"/>
      <c r="O808" s="754"/>
      <c r="P808" s="61"/>
      <c r="Q808" s="754"/>
      <c r="R808" s="843"/>
      <c r="S808" s="840"/>
      <c r="T808" s="840"/>
      <c r="U808" s="840"/>
      <c r="V808" s="843"/>
      <c r="W808" s="840"/>
      <c r="X808" s="840"/>
      <c r="Y808" s="840"/>
      <c r="Z808" s="843"/>
      <c r="AA808" s="840"/>
      <c r="AB808" s="840"/>
      <c r="AC808" s="840"/>
      <c r="AD808" s="843"/>
      <c r="AE808" s="840"/>
      <c r="AF808" s="840"/>
      <c r="AG808" s="840"/>
      <c r="AH808" s="754"/>
      <c r="AI808" s="836"/>
      <c r="AJ808" s="837"/>
      <c r="AK808" s="837"/>
      <c r="AL808" s="837"/>
      <c r="AM808" s="837"/>
      <c r="AN808" s="754"/>
      <c r="AO808" s="754"/>
      <c r="AP808" s="835"/>
      <c r="AQ808" s="835"/>
      <c r="AR808" s="835"/>
      <c r="AS808" s="835"/>
      <c r="AT808" s="835"/>
      <c r="AU808" s="835"/>
      <c r="AV808" s="835"/>
      <c r="AW808" s="835"/>
      <c r="AX808" s="835"/>
      <c r="AY808" s="835"/>
      <c r="AZ808" s="835"/>
      <c r="BA808" s="835"/>
      <c r="BB808" s="835"/>
      <c r="BC808" s="835"/>
      <c r="BD808" s="835"/>
      <c r="BE808" s="835"/>
      <c r="BF808" s="754"/>
      <c r="BG808" s="836"/>
      <c r="BH808" s="837"/>
      <c r="BI808" s="837"/>
      <c r="BJ808" s="763"/>
      <c r="BL808" s="28"/>
      <c r="BM808" s="139"/>
      <c r="BP808" s="756"/>
      <c r="BQ808" s="756"/>
      <c r="BR808" s="756"/>
      <c r="BS808" s="756"/>
      <c r="BT808" s="756"/>
      <c r="BU808" s="756"/>
      <c r="BV808" s="756"/>
      <c r="BW808" s="756"/>
      <c r="BX808" s="756"/>
    </row>
    <row r="809" spans="2:76" s="752" customFormat="1" ht="15.95" hidden="1" customHeight="1" outlineLevel="1">
      <c r="B809" s="751"/>
      <c r="E809" s="848" t="s">
        <v>927</v>
      </c>
      <c r="F809" s="754"/>
      <c r="G809" s="754"/>
      <c r="H809" s="754"/>
      <c r="I809" s="754"/>
      <c r="J809" s="754"/>
      <c r="K809" s="754"/>
      <c r="L809" s="754"/>
      <c r="M809" s="754"/>
      <c r="N809" s="754"/>
      <c r="O809" s="754"/>
      <c r="P809" s="61"/>
      <c r="Q809" s="754"/>
      <c r="R809" s="1449" t="str">
        <f>R782</f>
        <v>Frühling</v>
      </c>
      <c r="S809" s="1449"/>
      <c r="T809" s="1449"/>
      <c r="U809" s="1449"/>
      <c r="V809" s="1449" t="str">
        <f t="shared" ref="V809" si="69">V782</f>
        <v>Sommer</v>
      </c>
      <c r="W809" s="1449"/>
      <c r="X809" s="1449"/>
      <c r="Y809" s="1449"/>
      <c r="Z809" s="1449" t="str">
        <f t="shared" ref="Z809" si="70">Z782</f>
        <v>Herbst</v>
      </c>
      <c r="AA809" s="1449"/>
      <c r="AB809" s="1449"/>
      <c r="AC809" s="1449"/>
      <c r="AD809" s="1449" t="str">
        <f t="shared" ref="AD809" si="71">AD782</f>
        <v>Winter</v>
      </c>
      <c r="AE809" s="1449"/>
      <c r="AF809" s="1449"/>
      <c r="AG809" s="1449"/>
      <c r="AH809" s="754"/>
      <c r="AI809" s="836"/>
      <c r="AJ809" s="837"/>
      <c r="AK809" s="837"/>
      <c r="AL809" s="837"/>
      <c r="AM809" s="837"/>
      <c r="AN809" s="754"/>
      <c r="AO809" s="754"/>
      <c r="AP809" s="835"/>
      <c r="AQ809" s="835"/>
      <c r="AR809" s="835"/>
      <c r="AS809" s="835"/>
      <c r="AT809" s="835"/>
      <c r="AU809" s="835"/>
      <c r="AV809" s="835"/>
      <c r="AW809" s="835"/>
      <c r="AX809" s="835"/>
      <c r="AY809" s="835"/>
      <c r="AZ809" s="835"/>
      <c r="BA809" s="835"/>
      <c r="BB809" s="835"/>
      <c r="BC809" s="835"/>
      <c r="BD809" s="835"/>
      <c r="BE809" s="835"/>
      <c r="BF809" s="754"/>
      <c r="BG809" s="836"/>
      <c r="BH809" s="837"/>
      <c r="BI809" s="837"/>
      <c r="BJ809" s="763"/>
      <c r="BL809" s="28"/>
      <c r="BM809" s="139"/>
      <c r="BP809" s="756"/>
      <c r="BQ809" s="756"/>
      <c r="BR809" s="756"/>
      <c r="BS809" s="756"/>
      <c r="BT809" s="756"/>
      <c r="BU809" s="756"/>
      <c r="BV809" s="756"/>
      <c r="BW809" s="756"/>
      <c r="BX809" s="756"/>
    </row>
    <row r="810" spans="2:76" s="752" customFormat="1" ht="15.95" hidden="1" customHeight="1" outlineLevel="1">
      <c r="B810" s="751"/>
      <c r="E810" s="848"/>
      <c r="F810" t="s">
        <v>176</v>
      </c>
      <c r="G810" s="754"/>
      <c r="H810" s="754"/>
      <c r="I810" s="754"/>
      <c r="J810" s="1508">
        <v>602</v>
      </c>
      <c r="K810" s="1508"/>
      <c r="L810" s="1508"/>
      <c r="M810" s="1494">
        <f t="shared" ref="M810:M821" si="72">J810/J$822</f>
        <v>0.18187311178247734</v>
      </c>
      <c r="N810" s="1494"/>
      <c r="O810" s="754"/>
      <c r="P810" s="61"/>
      <c r="Q810" s="754"/>
      <c r="R810" s="1495"/>
      <c r="S810" s="1495"/>
      <c r="T810" s="1496"/>
      <c r="U810" s="1496"/>
      <c r="V810" s="1495"/>
      <c r="W810" s="1495"/>
      <c r="X810" s="1496"/>
      <c r="Y810" s="1496"/>
      <c r="Z810" s="1495"/>
      <c r="AA810" s="1495"/>
      <c r="AB810" s="1496"/>
      <c r="AC810" s="1496"/>
      <c r="AD810" s="1495">
        <f>J810</f>
        <v>602</v>
      </c>
      <c r="AE810" s="1495"/>
      <c r="AF810" s="1496"/>
      <c r="AG810" s="1496"/>
      <c r="AH810" s="754"/>
      <c r="AI810" s="836"/>
      <c r="AJ810" s="837"/>
      <c r="AK810" s="837"/>
      <c r="AL810" s="837"/>
      <c r="AM810" s="837"/>
      <c r="AN810" s="754"/>
      <c r="AO810" s="754"/>
      <c r="AP810" s="835"/>
      <c r="AQ810" s="835"/>
      <c r="AR810" s="835"/>
      <c r="AS810" s="835"/>
      <c r="AT810" s="835"/>
      <c r="AU810" s="835"/>
      <c r="AV810" s="835"/>
      <c r="AW810" s="835"/>
      <c r="AX810" s="835"/>
      <c r="AY810" s="835"/>
      <c r="AZ810" s="835"/>
      <c r="BA810" s="835"/>
      <c r="BB810" s="835"/>
      <c r="BC810" s="835"/>
      <c r="BD810" s="835"/>
      <c r="BE810" s="835"/>
      <c r="BF810" s="754"/>
      <c r="BG810" s="836"/>
      <c r="BH810" s="837"/>
      <c r="BI810" s="837"/>
      <c r="BJ810" s="763"/>
      <c r="BL810" s="28"/>
      <c r="BM810" s="139"/>
      <c r="BP810" s="756"/>
      <c r="BQ810" s="756"/>
      <c r="BR810" s="756"/>
      <c r="BS810" s="756"/>
      <c r="BT810" s="756"/>
      <c r="BU810" s="756"/>
      <c r="BV810" s="756"/>
      <c r="BW810" s="756"/>
      <c r="BX810" s="756"/>
    </row>
    <row r="811" spans="2:76" s="752" customFormat="1" ht="15.95" hidden="1" customHeight="1" outlineLevel="1">
      <c r="B811" s="751"/>
      <c r="E811" s="848"/>
      <c r="F811" t="s">
        <v>177</v>
      </c>
      <c r="G811" s="754"/>
      <c r="H811" s="754"/>
      <c r="I811" s="754"/>
      <c r="J811" s="1508">
        <v>512</v>
      </c>
      <c r="K811" s="1508"/>
      <c r="L811" s="1508"/>
      <c r="M811" s="1494">
        <f t="shared" si="72"/>
        <v>0.15468277945619335</v>
      </c>
      <c r="N811" s="1494"/>
      <c r="O811" s="754"/>
      <c r="P811" s="61"/>
      <c r="Q811" s="754"/>
      <c r="R811" s="1495"/>
      <c r="S811" s="1495"/>
      <c r="T811" s="1496"/>
      <c r="U811" s="1496"/>
      <c r="V811" s="1495"/>
      <c r="W811" s="1495"/>
      <c r="X811" s="1496"/>
      <c r="Y811" s="1496"/>
      <c r="Z811" s="1495"/>
      <c r="AA811" s="1495"/>
      <c r="AB811" s="1496"/>
      <c r="AC811" s="1496"/>
      <c r="AD811" s="1495">
        <f>J811</f>
        <v>512</v>
      </c>
      <c r="AE811" s="1495"/>
      <c r="AF811" s="1496"/>
      <c r="AG811" s="1496"/>
      <c r="AH811" s="754"/>
      <c r="AI811" s="836"/>
      <c r="AJ811" s="837"/>
      <c r="AK811" s="837"/>
      <c r="AL811" s="837"/>
      <c r="AM811" s="837"/>
      <c r="AN811" s="754"/>
      <c r="AO811" s="754"/>
      <c r="AP811" s="835"/>
      <c r="AQ811" s="835"/>
      <c r="AR811" s="835"/>
      <c r="AS811" s="835"/>
      <c r="AT811" s="835"/>
      <c r="AU811" s="835"/>
      <c r="AV811" s="835"/>
      <c r="AW811" s="835"/>
      <c r="AX811" s="835"/>
      <c r="AY811" s="835"/>
      <c r="AZ811" s="835"/>
      <c r="BA811" s="835"/>
      <c r="BB811" s="835"/>
      <c r="BC811" s="835"/>
      <c r="BD811" s="835"/>
      <c r="BE811" s="835"/>
      <c r="BF811" s="754"/>
      <c r="BG811" s="836"/>
      <c r="BH811" s="837"/>
      <c r="BI811" s="837"/>
      <c r="BJ811" s="763"/>
      <c r="BL811" s="28"/>
      <c r="BM811" s="139"/>
      <c r="BP811" s="756"/>
      <c r="BQ811" s="756"/>
      <c r="BR811" s="756"/>
      <c r="BS811" s="756"/>
      <c r="BT811" s="756"/>
      <c r="BU811" s="756"/>
      <c r="BV811" s="756"/>
      <c r="BW811" s="756"/>
      <c r="BX811" s="756"/>
    </row>
    <row r="812" spans="2:76" s="752" customFormat="1" ht="15.95" hidden="1" customHeight="1" outlineLevel="1">
      <c r="B812" s="751"/>
      <c r="E812" s="848"/>
      <c r="F812" t="s">
        <v>166</v>
      </c>
      <c r="G812" s="754"/>
      <c r="H812" s="754"/>
      <c r="I812" s="754"/>
      <c r="J812" s="1508">
        <v>438</v>
      </c>
      <c r="K812" s="1508"/>
      <c r="L812" s="1508"/>
      <c r="M812" s="1494">
        <f t="shared" si="72"/>
        <v>0.13232628398791541</v>
      </c>
      <c r="N812" s="1494"/>
      <c r="O812" s="754"/>
      <c r="P812" s="61"/>
      <c r="Q812" s="754"/>
      <c r="R812" s="1495">
        <f>J812</f>
        <v>438</v>
      </c>
      <c r="S812" s="1495"/>
      <c r="T812" s="1496"/>
      <c r="U812" s="1496"/>
      <c r="V812" s="1495"/>
      <c r="W812" s="1495"/>
      <c r="X812" s="1496"/>
      <c r="Y812" s="1496"/>
      <c r="Z812" s="1495"/>
      <c r="AA812" s="1495"/>
      <c r="AB812" s="1496"/>
      <c r="AC812" s="1496"/>
      <c r="AD812" s="1493"/>
      <c r="AE812" s="1493"/>
      <c r="AF812" s="1496"/>
      <c r="AG812" s="1496"/>
      <c r="AH812" s="754"/>
      <c r="AI812" s="836"/>
      <c r="AJ812" s="837"/>
      <c r="AK812" s="837"/>
      <c r="AL812" s="837"/>
      <c r="AM812" s="837"/>
      <c r="AN812" s="754"/>
      <c r="AO812" s="754"/>
      <c r="AP812" s="835"/>
      <c r="AQ812" s="835"/>
      <c r="AR812" s="835"/>
      <c r="AS812" s="835"/>
      <c r="AT812" s="835"/>
      <c r="AU812" s="835"/>
      <c r="AV812" s="835"/>
      <c r="AW812" s="835"/>
      <c r="AX812" s="835"/>
      <c r="AY812" s="835"/>
      <c r="AZ812" s="835"/>
      <c r="BA812" s="835"/>
      <c r="BB812" s="835"/>
      <c r="BC812" s="835"/>
      <c r="BD812" s="835"/>
      <c r="BE812" s="835"/>
      <c r="BF812" s="754"/>
      <c r="BG812" s="836"/>
      <c r="BH812" s="837"/>
      <c r="BI812" s="837"/>
      <c r="BJ812" s="763"/>
      <c r="BL812" s="28"/>
      <c r="BM812" s="139"/>
      <c r="BP812" s="756"/>
      <c r="BQ812" s="756"/>
      <c r="BR812" s="756"/>
      <c r="BS812" s="756"/>
      <c r="BT812" s="756"/>
      <c r="BU812" s="756"/>
      <c r="BV812" s="756"/>
      <c r="BW812" s="756"/>
      <c r="BX812" s="756"/>
    </row>
    <row r="813" spans="2:76" s="752" customFormat="1" ht="15.95" hidden="1" customHeight="1" outlineLevel="1">
      <c r="B813" s="751"/>
      <c r="E813" s="848"/>
      <c r="F813" t="s">
        <v>167</v>
      </c>
      <c r="G813" s="754"/>
      <c r="H813" s="754"/>
      <c r="I813" s="754"/>
      <c r="J813" s="1508">
        <v>261</v>
      </c>
      <c r="K813" s="1508"/>
      <c r="L813" s="1508"/>
      <c r="M813" s="1494">
        <f t="shared" si="72"/>
        <v>7.8851963746223566E-2</v>
      </c>
      <c r="N813" s="1494"/>
      <c r="O813" s="754"/>
      <c r="P813" s="61"/>
      <c r="Q813" s="754"/>
      <c r="R813" s="1495">
        <f t="shared" ref="R813:R814" si="73">J813</f>
        <v>261</v>
      </c>
      <c r="S813" s="1495"/>
      <c r="T813" s="1496"/>
      <c r="U813" s="1496"/>
      <c r="V813" s="1495"/>
      <c r="W813" s="1495"/>
      <c r="X813" s="1496"/>
      <c r="Y813" s="1496"/>
      <c r="Z813" s="1495"/>
      <c r="AA813" s="1495"/>
      <c r="AB813" s="1496"/>
      <c r="AC813" s="1496"/>
      <c r="AD813" s="1493"/>
      <c r="AE813" s="1493"/>
      <c r="AF813" s="1496"/>
      <c r="AG813" s="1496"/>
      <c r="AH813" s="754"/>
      <c r="AI813" s="836"/>
      <c r="AJ813" s="837"/>
      <c r="AK813" s="837"/>
      <c r="AL813" s="837"/>
      <c r="AM813" s="837"/>
      <c r="AN813" s="754"/>
      <c r="AO813" s="754"/>
      <c r="AP813" s="835"/>
      <c r="AQ813" s="835"/>
      <c r="AR813" s="835"/>
      <c r="AS813" s="835"/>
      <c r="AT813" s="835"/>
      <c r="AU813" s="835"/>
      <c r="AV813" s="835"/>
      <c r="AW813" s="835"/>
      <c r="AX813" s="835"/>
      <c r="AY813" s="835"/>
      <c r="AZ813" s="835"/>
      <c r="BA813" s="835"/>
      <c r="BB813" s="835"/>
      <c r="BC813" s="835"/>
      <c r="BD813" s="835"/>
      <c r="BE813" s="835"/>
      <c r="BF813" s="754"/>
      <c r="BG813" s="836"/>
      <c r="BH813" s="837"/>
      <c r="BI813" s="837"/>
      <c r="BJ813" s="763"/>
      <c r="BL813" s="28"/>
      <c r="BM813" s="139"/>
      <c r="BP813" s="756"/>
      <c r="BQ813" s="756"/>
      <c r="BR813" s="756"/>
      <c r="BS813" s="756"/>
      <c r="BT813" s="756"/>
      <c r="BU813" s="756"/>
      <c r="BV813" s="756"/>
      <c r="BW813" s="756"/>
      <c r="BX813" s="756"/>
    </row>
    <row r="814" spans="2:76" s="752" customFormat="1" ht="15.95" hidden="1" customHeight="1" outlineLevel="1">
      <c r="B814" s="751"/>
      <c r="E814" s="848"/>
      <c r="F814" t="s">
        <v>168</v>
      </c>
      <c r="G814" s="754"/>
      <c r="H814" s="754"/>
      <c r="I814" s="754"/>
      <c r="J814" s="1508">
        <v>105</v>
      </c>
      <c r="K814" s="1508"/>
      <c r="L814" s="1508"/>
      <c r="M814" s="1494">
        <f t="shared" si="72"/>
        <v>3.1722054380664652E-2</v>
      </c>
      <c r="N814" s="1494"/>
      <c r="O814" s="754"/>
      <c r="P814" s="61"/>
      <c r="Q814" s="754"/>
      <c r="R814" s="1495">
        <f t="shared" si="73"/>
        <v>105</v>
      </c>
      <c r="S814" s="1495"/>
      <c r="T814" s="1496"/>
      <c r="U814" s="1496"/>
      <c r="V814" s="1495"/>
      <c r="W814" s="1495"/>
      <c r="X814" s="1496"/>
      <c r="Y814" s="1496"/>
      <c r="Z814" s="1495"/>
      <c r="AA814" s="1495"/>
      <c r="AB814" s="1496"/>
      <c r="AC814" s="1496"/>
      <c r="AD814" s="1493"/>
      <c r="AE814" s="1493"/>
      <c r="AF814" s="1496"/>
      <c r="AG814" s="1496"/>
      <c r="AH814" s="754"/>
      <c r="AI814" s="836"/>
      <c r="AJ814" s="837"/>
      <c r="AK814" s="837"/>
      <c r="AL814" s="837"/>
      <c r="AM814" s="837"/>
      <c r="AN814" s="754"/>
      <c r="AO814" s="754"/>
      <c r="AP814" s="835"/>
      <c r="AQ814" s="835"/>
      <c r="AR814" s="835"/>
      <c r="AS814" s="835"/>
      <c r="AT814" s="835"/>
      <c r="AU814" s="835"/>
      <c r="AV814" s="835"/>
      <c r="AW814" s="835"/>
      <c r="AX814" s="835"/>
      <c r="AY814" s="835"/>
      <c r="AZ814" s="835"/>
      <c r="BA814" s="835"/>
      <c r="BB814" s="835"/>
      <c r="BC814" s="835"/>
      <c r="BD814" s="835"/>
      <c r="BE814" s="835"/>
      <c r="BF814" s="754"/>
      <c r="BG814" s="836"/>
      <c r="BH814" s="837"/>
      <c r="BI814" s="837"/>
      <c r="BJ814" s="763"/>
      <c r="BL814" s="28"/>
      <c r="BM814" s="139"/>
      <c r="BP814" s="756"/>
      <c r="BQ814" s="756"/>
      <c r="BR814" s="756"/>
      <c r="BS814" s="756"/>
      <c r="BT814" s="756"/>
      <c r="BU814" s="756"/>
      <c r="BV814" s="756"/>
      <c r="BW814" s="756"/>
      <c r="BX814" s="756"/>
    </row>
    <row r="815" spans="2:76" s="752" customFormat="1" ht="15.95" hidden="1" customHeight="1" outlineLevel="1">
      <c r="B815" s="751"/>
      <c r="E815" s="848"/>
      <c r="F815" t="s">
        <v>169</v>
      </c>
      <c r="G815" s="754"/>
      <c r="H815" s="754"/>
      <c r="I815" s="754"/>
      <c r="J815" s="1508">
        <v>30</v>
      </c>
      <c r="K815" s="1508"/>
      <c r="L815" s="1508"/>
      <c r="M815" s="1494">
        <f t="shared" si="72"/>
        <v>9.0634441087613302E-3</v>
      </c>
      <c r="N815" s="1494"/>
      <c r="O815" s="754"/>
      <c r="P815" s="61"/>
      <c r="Q815" s="754"/>
      <c r="R815" s="1495"/>
      <c r="S815" s="1495"/>
      <c r="T815" s="1496"/>
      <c r="U815" s="1496"/>
      <c r="V815" s="1495">
        <f>J815</f>
        <v>30</v>
      </c>
      <c r="W815" s="1495"/>
      <c r="X815" s="1496"/>
      <c r="Y815" s="1496"/>
      <c r="Z815" s="1495"/>
      <c r="AA815" s="1495"/>
      <c r="AB815" s="1496"/>
      <c r="AC815" s="1496"/>
      <c r="AD815" s="1493"/>
      <c r="AE815" s="1493"/>
      <c r="AF815" s="1496"/>
      <c r="AG815" s="1496"/>
      <c r="AH815" s="754"/>
      <c r="AI815" s="836"/>
      <c r="AJ815" s="837"/>
      <c r="AK815" s="837"/>
      <c r="AL815" s="837"/>
      <c r="AM815" s="837"/>
      <c r="AN815" s="754"/>
      <c r="AO815" s="754"/>
      <c r="AP815" s="835"/>
      <c r="AQ815" s="835"/>
      <c r="AR815" s="835"/>
      <c r="AS815" s="835"/>
      <c r="AT815" s="835"/>
      <c r="AU815" s="835"/>
      <c r="AV815" s="835"/>
      <c r="AW815" s="835"/>
      <c r="AX815" s="835"/>
      <c r="AY815" s="835"/>
      <c r="AZ815" s="835"/>
      <c r="BA815" s="835"/>
      <c r="BB815" s="835"/>
      <c r="BC815" s="835"/>
      <c r="BD815" s="835"/>
      <c r="BE815" s="835"/>
      <c r="BF815" s="754"/>
      <c r="BG815" s="836"/>
      <c r="BH815" s="837"/>
      <c r="BI815" s="837"/>
      <c r="BJ815" s="763"/>
      <c r="BL815" s="28"/>
      <c r="BM815" s="139"/>
      <c r="BP815" s="756"/>
      <c r="BQ815" s="756"/>
      <c r="BR815" s="756"/>
      <c r="BS815" s="756"/>
      <c r="BT815" s="756"/>
      <c r="BU815" s="756"/>
      <c r="BV815" s="756"/>
      <c r="BW815" s="756"/>
      <c r="BX815" s="756"/>
    </row>
    <row r="816" spans="2:76" s="752" customFormat="1" ht="15.95" hidden="1" customHeight="1" outlineLevel="1">
      <c r="B816" s="751"/>
      <c r="E816" s="848"/>
      <c r="F816" t="s">
        <v>170</v>
      </c>
      <c r="G816" s="754"/>
      <c r="H816" s="754"/>
      <c r="I816" s="754"/>
      <c r="J816" s="1508">
        <v>3</v>
      </c>
      <c r="K816" s="1508"/>
      <c r="L816" s="1508"/>
      <c r="M816" s="1494">
        <f t="shared" si="72"/>
        <v>9.0634441087613293E-4</v>
      </c>
      <c r="N816" s="1494"/>
      <c r="O816" s="754"/>
      <c r="P816" s="61"/>
      <c r="Q816" s="754"/>
      <c r="R816" s="1495"/>
      <c r="S816" s="1495"/>
      <c r="T816" s="1496"/>
      <c r="U816" s="1496"/>
      <c r="V816" s="1495">
        <f t="shared" ref="V816:V817" si="74">J816</f>
        <v>3</v>
      </c>
      <c r="W816" s="1495"/>
      <c r="X816" s="1496"/>
      <c r="Y816" s="1496"/>
      <c r="Z816" s="1495"/>
      <c r="AA816" s="1495"/>
      <c r="AB816" s="1496"/>
      <c r="AC816" s="1496"/>
      <c r="AD816" s="1493"/>
      <c r="AE816" s="1493"/>
      <c r="AF816" s="1496"/>
      <c r="AG816" s="1496"/>
      <c r="AH816" s="754"/>
      <c r="AI816" s="836"/>
      <c r="AJ816" s="837"/>
      <c r="AK816" s="837"/>
      <c r="AL816" s="837"/>
      <c r="AM816" s="837"/>
      <c r="AN816" s="754"/>
      <c r="AO816" s="754"/>
      <c r="AP816" s="835"/>
      <c r="AQ816" s="835"/>
      <c r="AR816" s="835"/>
      <c r="AS816" s="835"/>
      <c r="AT816" s="835"/>
      <c r="AU816" s="835"/>
      <c r="AV816" s="835"/>
      <c r="AW816" s="835"/>
      <c r="AX816" s="835"/>
      <c r="AY816" s="835"/>
      <c r="AZ816" s="835"/>
      <c r="BA816" s="835"/>
      <c r="BB816" s="835"/>
      <c r="BC816" s="835"/>
      <c r="BD816" s="835"/>
      <c r="BE816" s="835"/>
      <c r="BF816" s="754"/>
      <c r="BG816" s="836"/>
      <c r="BH816" s="837"/>
      <c r="BI816" s="837"/>
      <c r="BJ816" s="763"/>
      <c r="BL816" s="28"/>
      <c r="BM816" s="139"/>
      <c r="BP816" s="756"/>
      <c r="BQ816" s="756"/>
      <c r="BR816" s="756"/>
      <c r="BS816" s="756"/>
      <c r="BT816" s="756"/>
      <c r="BU816" s="756"/>
      <c r="BV816" s="756"/>
      <c r="BW816" s="756"/>
      <c r="BX816" s="756"/>
    </row>
    <row r="817" spans="2:76" s="752" customFormat="1" ht="15.95" hidden="1" customHeight="1" outlineLevel="1">
      <c r="B817" s="751"/>
      <c r="E817" s="848"/>
      <c r="F817" t="s">
        <v>928</v>
      </c>
      <c r="G817" s="754"/>
      <c r="H817" s="754"/>
      <c r="I817" s="754"/>
      <c r="J817" s="1508">
        <v>7</v>
      </c>
      <c r="K817" s="1508"/>
      <c r="L817" s="1508"/>
      <c r="M817" s="1494">
        <f t="shared" si="72"/>
        <v>2.1148036253776435E-3</v>
      </c>
      <c r="N817" s="1494"/>
      <c r="O817" s="754"/>
      <c r="P817" s="61"/>
      <c r="Q817" s="754"/>
      <c r="R817" s="1495"/>
      <c r="S817" s="1495"/>
      <c r="T817" s="1496"/>
      <c r="U817" s="1496"/>
      <c r="V817" s="1495">
        <f t="shared" si="74"/>
        <v>7</v>
      </c>
      <c r="W817" s="1495"/>
      <c r="X817" s="1496"/>
      <c r="Y817" s="1496"/>
      <c r="Z817" s="1495"/>
      <c r="AA817" s="1495"/>
      <c r="AB817" s="1496"/>
      <c r="AC817" s="1496"/>
      <c r="AD817" s="1493"/>
      <c r="AE817" s="1493"/>
      <c r="AF817" s="1496"/>
      <c r="AG817" s="1496"/>
      <c r="AH817" s="754"/>
      <c r="AI817" s="836"/>
      <c r="AJ817" s="837"/>
      <c r="AK817" s="837"/>
      <c r="AL817" s="837"/>
      <c r="AM817" s="837"/>
      <c r="AN817" s="754"/>
      <c r="AO817" s="754"/>
      <c r="AP817" s="835"/>
      <c r="AQ817" s="835"/>
      <c r="AR817" s="835"/>
      <c r="AS817" s="835"/>
      <c r="AT817" s="835"/>
      <c r="AU817" s="835"/>
      <c r="AV817" s="835"/>
      <c r="AW817" s="835"/>
      <c r="AX817" s="835"/>
      <c r="AY817" s="835"/>
      <c r="AZ817" s="835"/>
      <c r="BA817" s="835"/>
      <c r="BB817" s="835"/>
      <c r="BC817" s="835"/>
      <c r="BD817" s="835"/>
      <c r="BE817" s="835"/>
      <c r="BF817" s="754"/>
      <c r="BG817" s="836"/>
      <c r="BH817" s="837"/>
      <c r="BI817" s="837"/>
      <c r="BJ817" s="763"/>
      <c r="BL817" s="28"/>
      <c r="BM817" s="139"/>
      <c r="BP817" s="756"/>
      <c r="BQ817" s="756"/>
      <c r="BR817" s="756"/>
      <c r="BS817" s="756"/>
      <c r="BT817" s="756"/>
      <c r="BU817" s="756"/>
      <c r="BV817" s="756"/>
      <c r="BW817" s="756"/>
      <c r="BX817" s="756"/>
    </row>
    <row r="818" spans="2:76" s="752" customFormat="1" ht="15.95" hidden="1" customHeight="1" outlineLevel="1">
      <c r="B818" s="751"/>
      <c r="E818" s="848"/>
      <c r="F818" t="s">
        <v>172</v>
      </c>
      <c r="G818" s="754"/>
      <c r="H818" s="754"/>
      <c r="I818" s="754"/>
      <c r="J818" s="1508">
        <v>85</v>
      </c>
      <c r="K818" s="1508"/>
      <c r="L818" s="1508"/>
      <c r="M818" s="1494">
        <f t="shared" si="72"/>
        <v>2.5679758308157101E-2</v>
      </c>
      <c r="N818" s="1494"/>
      <c r="O818" s="754"/>
      <c r="P818" s="61"/>
      <c r="Q818" s="754"/>
      <c r="R818" s="1495"/>
      <c r="S818" s="1495"/>
      <c r="T818" s="1496"/>
      <c r="U818" s="1496"/>
      <c r="V818" s="1495"/>
      <c r="W818" s="1495"/>
      <c r="X818" s="1496"/>
      <c r="Y818" s="1496"/>
      <c r="Z818" s="1495">
        <f>J818</f>
        <v>85</v>
      </c>
      <c r="AA818" s="1495"/>
      <c r="AB818" s="1496"/>
      <c r="AC818" s="1496"/>
      <c r="AD818" s="1493"/>
      <c r="AE818" s="1493"/>
      <c r="AF818" s="1496"/>
      <c r="AG818" s="1496"/>
      <c r="AH818" s="754"/>
      <c r="AI818" s="836"/>
      <c r="AJ818" s="837"/>
      <c r="AK818" s="837"/>
      <c r="AL818" s="837"/>
      <c r="AM818" s="837"/>
      <c r="AN818" s="754"/>
      <c r="AO818" s="754"/>
      <c r="AP818" s="835"/>
      <c r="AQ818" s="835"/>
      <c r="AR818" s="835"/>
      <c r="AS818" s="835"/>
      <c r="AT818" s="835"/>
      <c r="AU818" s="835"/>
      <c r="AV818" s="835"/>
      <c r="AW818" s="835"/>
      <c r="AX818" s="835"/>
      <c r="AY818" s="835"/>
      <c r="AZ818" s="835"/>
      <c r="BA818" s="835"/>
      <c r="BB818" s="835"/>
      <c r="BC818" s="835"/>
      <c r="BD818" s="835"/>
      <c r="BE818" s="835"/>
      <c r="BF818" s="754"/>
      <c r="BG818" s="836"/>
      <c r="BH818" s="837"/>
      <c r="BI818" s="837"/>
      <c r="BJ818" s="763"/>
      <c r="BL818" s="28"/>
      <c r="BM818" s="139"/>
      <c r="BP818" s="756"/>
      <c r="BQ818" s="756"/>
      <c r="BR818" s="756"/>
      <c r="BS818" s="756"/>
      <c r="BT818" s="756"/>
      <c r="BU818" s="756"/>
      <c r="BV818" s="756"/>
      <c r="BW818" s="756"/>
      <c r="BX818" s="756"/>
    </row>
    <row r="819" spans="2:76" s="752" customFormat="1" ht="15.95" hidden="1" customHeight="1" outlineLevel="1">
      <c r="B819" s="751"/>
      <c r="E819" s="848"/>
      <c r="F819" t="s">
        <v>173</v>
      </c>
      <c r="G819" s="754"/>
      <c r="H819" s="754"/>
      <c r="I819" s="754"/>
      <c r="J819" s="1508">
        <v>230</v>
      </c>
      <c r="K819" s="1508"/>
      <c r="L819" s="1508"/>
      <c r="M819" s="1494">
        <f t="shared" si="72"/>
        <v>6.9486404833836862E-2</v>
      </c>
      <c r="N819" s="1494"/>
      <c r="O819" s="754"/>
      <c r="P819" s="61"/>
      <c r="Q819" s="754"/>
      <c r="R819" s="1495"/>
      <c r="S819" s="1495"/>
      <c r="T819" s="1496"/>
      <c r="U819" s="1496"/>
      <c r="V819" s="1495"/>
      <c r="W819" s="1495"/>
      <c r="X819" s="1496"/>
      <c r="Y819" s="1496"/>
      <c r="Z819" s="1495">
        <f t="shared" ref="Z819:Z820" si="75">J819</f>
        <v>230</v>
      </c>
      <c r="AA819" s="1495"/>
      <c r="AB819" s="1496"/>
      <c r="AC819" s="1496"/>
      <c r="AD819" s="1493"/>
      <c r="AE819" s="1493"/>
      <c r="AF819" s="1496"/>
      <c r="AG819" s="1496"/>
      <c r="AH819" s="754"/>
      <c r="AI819" s="836"/>
      <c r="AJ819" s="837"/>
      <c r="AK819" s="837"/>
      <c r="AL819" s="837"/>
      <c r="AM819" s="837"/>
      <c r="AN819" s="754"/>
      <c r="AO819" s="754"/>
      <c r="AP819" s="835"/>
      <c r="AQ819" s="835"/>
      <c r="AR819" s="835"/>
      <c r="AS819" s="835"/>
      <c r="AT819" s="835"/>
      <c r="AU819" s="835"/>
      <c r="AV819" s="835"/>
      <c r="AW819" s="835"/>
      <c r="AX819" s="835"/>
      <c r="AY819" s="835"/>
      <c r="AZ819" s="835"/>
      <c r="BA819" s="835"/>
      <c r="BB819" s="835"/>
      <c r="BC819" s="835"/>
      <c r="BD819" s="835"/>
      <c r="BE819" s="835"/>
      <c r="BF819" s="754"/>
      <c r="BG819" s="836"/>
      <c r="BH819" s="837"/>
      <c r="BI819" s="837"/>
      <c r="BJ819" s="763"/>
      <c r="BL819" s="28"/>
      <c r="BM819" s="139"/>
      <c r="BP819" s="756"/>
      <c r="BQ819" s="756"/>
      <c r="BR819" s="756"/>
      <c r="BS819" s="756"/>
      <c r="BT819" s="756"/>
      <c r="BU819" s="756"/>
      <c r="BV819" s="756"/>
      <c r="BW819" s="756"/>
      <c r="BX819" s="756"/>
    </row>
    <row r="820" spans="2:76" s="752" customFormat="1" ht="15.95" hidden="1" customHeight="1" outlineLevel="1">
      <c r="B820" s="751"/>
      <c r="E820" s="848"/>
      <c r="F820" t="s">
        <v>174</v>
      </c>
      <c r="G820" s="754"/>
      <c r="H820" s="754"/>
      <c r="I820" s="754"/>
      <c r="J820" s="1508">
        <v>446</v>
      </c>
      <c r="K820" s="1508"/>
      <c r="L820" s="1508"/>
      <c r="M820" s="1494">
        <f t="shared" si="72"/>
        <v>0.13474320241691842</v>
      </c>
      <c r="N820" s="1494"/>
      <c r="O820" s="754"/>
      <c r="P820" s="61"/>
      <c r="Q820" s="754"/>
      <c r="R820" s="1495"/>
      <c r="S820" s="1495"/>
      <c r="T820" s="1496"/>
      <c r="U820" s="1496"/>
      <c r="V820" s="1495"/>
      <c r="W820" s="1495"/>
      <c r="X820" s="1496"/>
      <c r="Y820" s="1496"/>
      <c r="Z820" s="1495">
        <f t="shared" si="75"/>
        <v>446</v>
      </c>
      <c r="AA820" s="1495"/>
      <c r="AB820" s="1496"/>
      <c r="AC820" s="1496"/>
      <c r="AD820" s="1493"/>
      <c r="AE820" s="1493"/>
      <c r="AF820" s="1496"/>
      <c r="AG820" s="1496"/>
      <c r="AH820" s="754"/>
      <c r="AI820" s="836"/>
      <c r="AJ820" s="837"/>
      <c r="AK820" s="837"/>
      <c r="AL820" s="837"/>
      <c r="AM820" s="837"/>
      <c r="AN820" s="754"/>
      <c r="AO820" s="754"/>
      <c r="AP820" s="835"/>
      <c r="AQ820" s="835"/>
      <c r="AR820" s="835"/>
      <c r="AS820" s="835"/>
      <c r="AT820" s="835"/>
      <c r="AU820" s="835"/>
      <c r="AV820" s="835"/>
      <c r="AW820" s="835"/>
      <c r="AX820" s="835"/>
      <c r="AY820" s="835"/>
      <c r="AZ820" s="835"/>
      <c r="BA820" s="835"/>
      <c r="BB820" s="835"/>
      <c r="BC820" s="835"/>
      <c r="BD820" s="835"/>
      <c r="BE820" s="835"/>
      <c r="BF820" s="754"/>
      <c r="BG820" s="836"/>
      <c r="BH820" s="837"/>
      <c r="BI820" s="837"/>
      <c r="BJ820" s="763"/>
      <c r="BL820" s="28"/>
      <c r="BM820" s="139"/>
      <c r="BP820" s="756"/>
      <c r="BQ820" s="756"/>
      <c r="BR820" s="756"/>
      <c r="BS820" s="756"/>
      <c r="BT820" s="756"/>
      <c r="BU820" s="756"/>
      <c r="BV820" s="756"/>
      <c r="BW820" s="756"/>
      <c r="BX820" s="756"/>
    </row>
    <row r="821" spans="2:76" s="752" customFormat="1" ht="15.95" hidden="1" customHeight="1" outlineLevel="1">
      <c r="B821" s="751"/>
      <c r="E821" s="848"/>
      <c r="F821" t="s">
        <v>175</v>
      </c>
      <c r="G821" s="754"/>
      <c r="H821" s="754"/>
      <c r="I821" s="754"/>
      <c r="J821" s="1508">
        <v>591</v>
      </c>
      <c r="K821" s="1508"/>
      <c r="L821" s="1508"/>
      <c r="M821" s="1494">
        <f t="shared" si="72"/>
        <v>0.17854984894259818</v>
      </c>
      <c r="N821" s="1494"/>
      <c r="O821" s="754"/>
      <c r="P821" s="61"/>
      <c r="Q821" s="754"/>
      <c r="R821" s="1495"/>
      <c r="S821" s="1495"/>
      <c r="T821" s="1496"/>
      <c r="U821" s="1496"/>
      <c r="V821" s="1495"/>
      <c r="W821" s="1495"/>
      <c r="X821" s="1496"/>
      <c r="Y821" s="1496"/>
      <c r="Z821" s="1495"/>
      <c r="AA821" s="1495"/>
      <c r="AB821" s="1496"/>
      <c r="AC821" s="1496"/>
      <c r="AD821" s="1495">
        <f>J821</f>
        <v>591</v>
      </c>
      <c r="AE821" s="1495"/>
      <c r="AF821" s="1496"/>
      <c r="AG821" s="1496"/>
      <c r="AH821" s="754"/>
      <c r="AI821" s="836"/>
      <c r="AJ821" s="837"/>
      <c r="AK821" s="837"/>
      <c r="AL821" s="837"/>
      <c r="AM821" s="837"/>
      <c r="AN821" s="754"/>
      <c r="AO821" s="754"/>
      <c r="AP821" s="835"/>
      <c r="AQ821" s="835"/>
      <c r="AR821" s="835"/>
      <c r="AS821" s="835"/>
      <c r="AT821" s="835"/>
      <c r="AU821" s="835"/>
      <c r="AV821" s="835"/>
      <c r="AW821" s="835"/>
      <c r="AX821" s="835"/>
      <c r="AY821" s="835"/>
      <c r="AZ821" s="835"/>
      <c r="BA821" s="835"/>
      <c r="BB821" s="835"/>
      <c r="BC821" s="835"/>
      <c r="BD821" s="835"/>
      <c r="BE821" s="835"/>
      <c r="BF821" s="754"/>
      <c r="BG821" s="836"/>
      <c r="BH821" s="837"/>
      <c r="BI821" s="837"/>
      <c r="BJ821" s="763"/>
      <c r="BL821" s="28"/>
      <c r="BM821" s="139"/>
      <c r="BP821" s="756"/>
      <c r="BQ821" s="756"/>
      <c r="BR821" s="756"/>
      <c r="BS821" s="756"/>
      <c r="BT821" s="756"/>
      <c r="BU821" s="756"/>
      <c r="BV821" s="756"/>
      <c r="BW821" s="756"/>
      <c r="BX821" s="756"/>
    </row>
    <row r="822" spans="2:76" s="752" customFormat="1" ht="15.95" hidden="1" customHeight="1" outlineLevel="1">
      <c r="B822" s="751"/>
      <c r="E822" s="848"/>
      <c r="F822" t="s">
        <v>124</v>
      </c>
      <c r="G822" s="754"/>
      <c r="H822" s="754"/>
      <c r="I822" s="754"/>
      <c r="J822" s="1690">
        <f>SUM(J810:L821)</f>
        <v>3310</v>
      </c>
      <c r="K822" s="1690"/>
      <c r="L822" s="1690"/>
      <c r="M822" s="1494">
        <f>J822/J$822</f>
        <v>1</v>
      </c>
      <c r="N822" s="1494"/>
      <c r="O822" s="754"/>
      <c r="P822" s="61"/>
      <c r="Q822" s="754"/>
      <c r="R822" s="1495">
        <f>SUM(R810:S821)</f>
        <v>804</v>
      </c>
      <c r="S822" s="1495"/>
      <c r="T822" s="1494">
        <f>R822/J822</f>
        <v>0.24290030211480362</v>
      </c>
      <c r="U822" s="1494"/>
      <c r="V822" s="1495">
        <f>SUM(V810:W821)</f>
        <v>40</v>
      </c>
      <c r="W822" s="1495"/>
      <c r="X822" s="1494">
        <f>V822/J822</f>
        <v>1.2084592145015106E-2</v>
      </c>
      <c r="Y822" s="1494"/>
      <c r="Z822" s="1495">
        <f>SUM(Z810:AA821)</f>
        <v>761</v>
      </c>
      <c r="AA822" s="1495"/>
      <c r="AB822" s="1494">
        <f>Z822/J822</f>
        <v>0.22990936555891239</v>
      </c>
      <c r="AC822" s="1494"/>
      <c r="AD822" s="1495">
        <f>SUM(AD810:AE821)</f>
        <v>1705</v>
      </c>
      <c r="AE822" s="1495"/>
      <c r="AF822" s="1494">
        <f>AD822/J822</f>
        <v>0.51510574018126887</v>
      </c>
      <c r="AG822" s="1494"/>
      <c r="AH822" s="754"/>
      <c r="AI822" s="836"/>
      <c r="AJ822" s="837"/>
      <c r="AK822" s="837"/>
      <c r="AL822" s="837"/>
      <c r="AM822" s="837"/>
      <c r="AN822" s="754"/>
      <c r="AO822" s="754"/>
      <c r="AP822" s="1495">
        <f>R822</f>
        <v>804</v>
      </c>
      <c r="AQ822" s="1495"/>
      <c r="AR822" s="1494">
        <f>T822</f>
        <v>0.24290030211480362</v>
      </c>
      <c r="AS822" s="1494"/>
      <c r="AT822" s="1495">
        <f>V822</f>
        <v>40</v>
      </c>
      <c r="AU822" s="1495"/>
      <c r="AV822" s="1494">
        <f>X822</f>
        <v>1.2084592145015106E-2</v>
      </c>
      <c r="AW822" s="1494"/>
      <c r="AX822" s="1495">
        <f>Z822</f>
        <v>761</v>
      </c>
      <c r="AY822" s="1495"/>
      <c r="AZ822" s="1494">
        <f>AB822</f>
        <v>0.22990936555891239</v>
      </c>
      <c r="BA822" s="1494"/>
      <c r="BB822" s="1495">
        <f>AD822</f>
        <v>1705</v>
      </c>
      <c r="BC822" s="1495"/>
      <c r="BD822" s="1494">
        <f>AF822</f>
        <v>0.51510574018126887</v>
      </c>
      <c r="BE822" s="1494"/>
      <c r="BF822" s="754"/>
      <c r="BG822" s="836"/>
      <c r="BH822" s="837"/>
      <c r="BI822" s="837"/>
      <c r="BJ822" s="763"/>
      <c r="BL822" s="28"/>
      <c r="BM822" s="139"/>
      <c r="BP822" s="756"/>
      <c r="BQ822" s="756"/>
      <c r="BR822" s="756"/>
      <c r="BS822" s="756"/>
      <c r="BT822" s="756"/>
      <c r="BU822" s="756"/>
      <c r="BV822" s="756"/>
      <c r="BW822" s="756"/>
      <c r="BX822" s="756"/>
    </row>
    <row r="823" spans="2:76" s="752" customFormat="1" ht="15.95" hidden="1" customHeight="1" outlineLevel="1">
      <c r="B823" s="751"/>
      <c r="E823" s="848"/>
      <c r="F823" s="754"/>
      <c r="G823" s="754"/>
      <c r="H823" s="754"/>
      <c r="I823" s="754"/>
      <c r="J823" s="754"/>
      <c r="K823" s="754"/>
      <c r="L823" s="754"/>
      <c r="M823" s="754"/>
      <c r="N823" s="754"/>
      <c r="O823" s="754"/>
      <c r="P823" s="61"/>
      <c r="Q823" s="754"/>
      <c r="R823" s="843"/>
      <c r="S823" s="840"/>
      <c r="T823" s="840"/>
      <c r="U823" s="840"/>
      <c r="V823" s="843"/>
      <c r="W823" s="840"/>
      <c r="X823" s="840"/>
      <c r="Y823" s="840"/>
      <c r="Z823" s="843"/>
      <c r="AA823" s="840"/>
      <c r="AB823" s="840"/>
      <c r="AC823" s="840"/>
      <c r="AD823" s="843"/>
      <c r="AE823" s="840"/>
      <c r="AF823" s="840"/>
      <c r="AG823" s="840"/>
      <c r="AH823" s="754"/>
      <c r="AI823" s="836"/>
      <c r="AJ823" s="837"/>
      <c r="AK823" s="837"/>
      <c r="AL823" s="837"/>
      <c r="AM823" s="837"/>
      <c r="AN823" s="754"/>
      <c r="AO823" s="754"/>
      <c r="AP823" s="835"/>
      <c r="AQ823" s="835"/>
      <c r="AR823" s="835"/>
      <c r="AS823" s="835"/>
      <c r="AT823" s="835"/>
      <c r="AU823" s="835"/>
      <c r="AV823" s="835"/>
      <c r="AW823" s="835"/>
      <c r="AX823" s="835"/>
      <c r="AY823" s="835"/>
      <c r="AZ823" s="835"/>
      <c r="BA823" s="835"/>
      <c r="BB823" s="835"/>
      <c r="BC823" s="835"/>
      <c r="BD823" s="835"/>
      <c r="BE823" s="835"/>
      <c r="BF823" s="754"/>
      <c r="BG823" s="836"/>
      <c r="BH823" s="837"/>
      <c r="BI823" s="837"/>
      <c r="BJ823" s="763"/>
      <c r="BL823" s="28"/>
      <c r="BM823" s="139"/>
      <c r="BP823" s="756"/>
      <c r="BQ823" s="756"/>
      <c r="BR823" s="756"/>
      <c r="BS823" s="756"/>
      <c r="BT823" s="756"/>
      <c r="BU823" s="756"/>
      <c r="BV823" s="756"/>
      <c r="BW823" s="756"/>
      <c r="BX823" s="756"/>
    </row>
    <row r="824" spans="2:76" s="752" customFormat="1" ht="15.95" hidden="1" customHeight="1" outlineLevel="1">
      <c r="B824" s="751"/>
      <c r="E824" s="848" t="s">
        <v>926</v>
      </c>
      <c r="F824" s="754"/>
      <c r="G824" s="754"/>
      <c r="H824" s="754"/>
      <c r="I824" s="754"/>
      <c r="J824" s="754"/>
      <c r="K824" s="754"/>
      <c r="L824" s="754"/>
      <c r="M824" s="754"/>
      <c r="N824" s="754"/>
      <c r="O824" s="61" t="s">
        <v>199</v>
      </c>
      <c r="P824" s="61"/>
      <c r="Q824" s="754"/>
      <c r="R824" s="1486">
        <f>AI807*T822</f>
        <v>0</v>
      </c>
      <c r="S824" s="1486"/>
      <c r="T824" s="1486"/>
      <c r="U824" s="1486"/>
      <c r="V824" s="1486">
        <f>AI807*X822</f>
        <v>0</v>
      </c>
      <c r="W824" s="1486"/>
      <c r="X824" s="1486"/>
      <c r="Y824" s="1486"/>
      <c r="Z824" s="1486">
        <f>AI807*AB822</f>
        <v>0</v>
      </c>
      <c r="AA824" s="1486"/>
      <c r="AB824" s="1486"/>
      <c r="AC824" s="1486"/>
      <c r="AD824" s="1486">
        <f>AI807*AF822</f>
        <v>0</v>
      </c>
      <c r="AE824" s="1486"/>
      <c r="AF824" s="1486"/>
      <c r="AG824" s="1486"/>
      <c r="AH824" s="1451">
        <f>SUM(R824:AG824)</f>
        <v>0</v>
      </c>
      <c r="AI824" s="1451"/>
      <c r="AJ824" s="1451"/>
      <c r="AK824" s="1451"/>
      <c r="AL824" s="837"/>
      <c r="AM824" s="837"/>
      <c r="AN824" s="754"/>
      <c r="AO824" s="754"/>
      <c r="AP824" s="1486">
        <f>BG807*AR822</f>
        <v>0</v>
      </c>
      <c r="AQ824" s="1486"/>
      <c r="AR824" s="1486"/>
      <c r="AS824" s="1486"/>
      <c r="AT824" s="1486">
        <f>BG807*AV822</f>
        <v>0</v>
      </c>
      <c r="AU824" s="1486"/>
      <c r="AV824" s="1486"/>
      <c r="AW824" s="1486"/>
      <c r="AX824" s="1486">
        <f>BG807*AZ822</f>
        <v>0</v>
      </c>
      <c r="AY824" s="1486"/>
      <c r="AZ824" s="1486"/>
      <c r="BA824" s="1486"/>
      <c r="BB824" s="1486">
        <f>BG807*BD822</f>
        <v>0</v>
      </c>
      <c r="BC824" s="1486"/>
      <c r="BD824" s="1486"/>
      <c r="BE824" s="1486"/>
      <c r="BF824" s="1451">
        <f>SUM(AP824:BE824)</f>
        <v>0</v>
      </c>
      <c r="BG824" s="1451"/>
      <c r="BH824" s="1451"/>
      <c r="BI824" s="1451"/>
      <c r="BJ824" s="763"/>
      <c r="BL824" s="28"/>
      <c r="BM824" s="139"/>
      <c r="BP824" s="756"/>
      <c r="BQ824" s="756"/>
      <c r="BR824" s="756"/>
      <c r="BS824" s="756"/>
      <c r="BT824" s="756"/>
      <c r="BU824" s="756"/>
      <c r="BV824" s="756"/>
      <c r="BW824" s="756"/>
      <c r="BX824" s="756"/>
    </row>
    <row r="825" spans="2:76" s="752" customFormat="1" ht="15.95" hidden="1" customHeight="1" outlineLevel="2">
      <c r="B825" s="751"/>
      <c r="E825" s="850"/>
      <c r="F825" s="850" t="s">
        <v>237</v>
      </c>
      <c r="G825" s="754"/>
      <c r="H825" s="754"/>
      <c r="I825" s="754"/>
      <c r="J825" s="754"/>
      <c r="K825" s="754"/>
      <c r="L825" s="754"/>
      <c r="M825" s="754"/>
      <c r="N825" s="754"/>
      <c r="O825" s="754"/>
      <c r="P825" s="755"/>
      <c r="Q825" s="754">
        <f>IF(AH824&gt;10000,-2,-1)</f>
        <v>-1</v>
      </c>
      <c r="R825" s="1469">
        <f>IF(R824&gt;100000,-4,IF(R824&gt;10000,-3,IF(R824&gt;1000,-2,$Q825)))</f>
        <v>-1</v>
      </c>
      <c r="S825" s="1470"/>
      <c r="T825" s="1470"/>
      <c r="U825" s="1470"/>
      <c r="V825" s="1469">
        <f>IF(V824&gt;100000,-4,IF(V824&gt;10000,-3,IF(V824&gt;1000,-2,$Q825)))</f>
        <v>-1</v>
      </c>
      <c r="W825" s="1470"/>
      <c r="X825" s="1470"/>
      <c r="Y825" s="1470"/>
      <c r="Z825" s="1469">
        <f>IF(Z824&gt;100000,-4,IF(Z824&gt;10000,-3,IF(Z824&gt;1000,-2,$Q825)))</f>
        <v>-1</v>
      </c>
      <c r="AA825" s="1470"/>
      <c r="AB825" s="1470"/>
      <c r="AC825" s="1470"/>
      <c r="AD825" s="1469">
        <f>IF(AD824&gt;100000,-4,IF(AD824&gt;10000,-3,IF(AD824&gt;1000,-2,$Q825)))</f>
        <v>-1</v>
      </c>
      <c r="AE825" s="1470"/>
      <c r="AF825" s="1470"/>
      <c r="AG825" s="1470"/>
      <c r="AH825" s="1503"/>
      <c r="AI825" s="1503"/>
      <c r="AJ825" s="1503"/>
      <c r="AK825" s="1503"/>
      <c r="AL825" s="837"/>
      <c r="AM825" s="837"/>
      <c r="AN825" s="754"/>
      <c r="AO825" s="754">
        <f>IF(BF824&gt;10000,-2,-1)</f>
        <v>-1</v>
      </c>
      <c r="AP825" s="1469">
        <f>IF(AP824&gt;100000,-4,IF(AP824&gt;10000,-3,IF(AP824&gt;1000,-2,$Q825)))</f>
        <v>-1</v>
      </c>
      <c r="AQ825" s="1470"/>
      <c r="AR825" s="1470"/>
      <c r="AS825" s="1470"/>
      <c r="AT825" s="1469">
        <f>IF(AT824&gt;100000,-4,IF(AT824&gt;10000,-3,IF(AT824&gt;1000,-2,$Q825)))</f>
        <v>-1</v>
      </c>
      <c r="AU825" s="1470"/>
      <c r="AV825" s="1470"/>
      <c r="AW825" s="1470"/>
      <c r="AX825" s="1469">
        <f>IF(AX824&gt;100000,-4,IF(AX824&gt;10000,-3,IF(AX824&gt;1000,-2,$Q825)))</f>
        <v>-1</v>
      </c>
      <c r="AY825" s="1470"/>
      <c r="AZ825" s="1470"/>
      <c r="BA825" s="1470"/>
      <c r="BB825" s="1469">
        <f>IF(BB824&gt;100000,-4,IF(BB824&gt;10000,-3,IF(BB824&gt;1000,-2,$Q825)))</f>
        <v>-1</v>
      </c>
      <c r="BC825" s="1470"/>
      <c r="BD825" s="1470"/>
      <c r="BE825" s="1470"/>
      <c r="BF825" s="1503"/>
      <c r="BG825" s="1503"/>
      <c r="BH825" s="1503"/>
      <c r="BI825" s="1503"/>
      <c r="BJ825" s="763"/>
      <c r="BL825" s="28"/>
      <c r="BM825" s="139"/>
      <c r="BP825" s="756"/>
      <c r="BQ825" s="756"/>
      <c r="BR825" s="756"/>
      <c r="BS825" s="756"/>
      <c r="BT825" s="756"/>
      <c r="BU825" s="756"/>
      <c r="BV825" s="756"/>
      <c r="BW825" s="756"/>
      <c r="BX825" s="756"/>
    </row>
    <row r="826" spans="2:76" s="752" customFormat="1" ht="15.95" hidden="1" customHeight="1" outlineLevel="1">
      <c r="B826" s="751"/>
      <c r="E826" s="848" t="s">
        <v>926</v>
      </c>
      <c r="F826" s="754"/>
      <c r="G826" s="754"/>
      <c r="H826" s="754"/>
      <c r="I826" s="754"/>
      <c r="J826" s="754"/>
      <c r="K826" s="64" t="s">
        <v>954</v>
      </c>
      <c r="L826" s="754"/>
      <c r="M826" s="754"/>
      <c r="N826" s="754"/>
      <c r="O826" s="61" t="s">
        <v>199</v>
      </c>
      <c r="P826" s="61"/>
      <c r="Q826" s="754"/>
      <c r="R826" s="1486">
        <f>ROUND(R824,R825)</f>
        <v>0</v>
      </c>
      <c r="S826" s="1486"/>
      <c r="T826" s="1486"/>
      <c r="U826" s="1486"/>
      <c r="V826" s="1486">
        <f t="shared" ref="V826" si="76">ROUND(V824,V825)</f>
        <v>0</v>
      </c>
      <c r="W826" s="1486"/>
      <c r="X826" s="1486"/>
      <c r="Y826" s="1486"/>
      <c r="Z826" s="1486">
        <f t="shared" ref="Z826" si="77">ROUND(Z824,Z825)</f>
        <v>0</v>
      </c>
      <c r="AA826" s="1486"/>
      <c r="AB826" s="1486"/>
      <c r="AC826" s="1486"/>
      <c r="AD826" s="1486">
        <f>ROUND(AD824,AD825)</f>
        <v>0</v>
      </c>
      <c r="AE826" s="1486"/>
      <c r="AF826" s="1486"/>
      <c r="AG826" s="1486"/>
      <c r="AH826" s="1451">
        <f>SUM(R826:AG826)</f>
        <v>0</v>
      </c>
      <c r="AI826" s="1451"/>
      <c r="AJ826" s="1451"/>
      <c r="AK826" s="1451"/>
      <c r="AL826" s="837"/>
      <c r="AM826" s="837"/>
      <c r="AN826" s="754"/>
      <c r="AO826" s="754"/>
      <c r="AP826" s="1486">
        <f>ROUND(AP824,AP825)</f>
        <v>0</v>
      </c>
      <c r="AQ826" s="1486"/>
      <c r="AR826" s="1486"/>
      <c r="AS826" s="1486"/>
      <c r="AT826" s="1486">
        <f t="shared" ref="AT826" si="78">ROUND(AT824,AT825)</f>
        <v>0</v>
      </c>
      <c r="AU826" s="1486"/>
      <c r="AV826" s="1486"/>
      <c r="AW826" s="1486"/>
      <c r="AX826" s="1486">
        <f t="shared" ref="AX826" si="79">ROUND(AX824,AX825)</f>
        <v>0</v>
      </c>
      <c r="AY826" s="1486"/>
      <c r="AZ826" s="1486"/>
      <c r="BA826" s="1486"/>
      <c r="BB826" s="1486">
        <f>ROUND(BB824,BB825)</f>
        <v>0</v>
      </c>
      <c r="BC826" s="1486"/>
      <c r="BD826" s="1486"/>
      <c r="BE826" s="1486"/>
      <c r="BF826" s="1451">
        <f>SUM(AP826:BE826)</f>
        <v>0</v>
      </c>
      <c r="BG826" s="1451"/>
      <c r="BH826" s="1451"/>
      <c r="BI826" s="1451"/>
      <c r="BJ826" s="763"/>
      <c r="BL826" s="28"/>
      <c r="BM826" s="139"/>
      <c r="BP826" s="756"/>
      <c r="BQ826" s="756"/>
      <c r="BR826" s="756"/>
      <c r="BS826" s="756"/>
      <c r="BT826" s="756"/>
      <c r="BU826" s="756"/>
      <c r="BV826" s="756"/>
      <c r="BW826" s="756"/>
      <c r="BX826" s="756"/>
    </row>
    <row r="827" spans="2:76" s="28" customFormat="1" ht="6" hidden="1" customHeight="1" outlineLevel="1">
      <c r="B827" s="117"/>
      <c r="C827" s="842"/>
      <c r="E827" s="170"/>
      <c r="F827" s="98"/>
      <c r="G827" s="98"/>
      <c r="H827" s="98"/>
      <c r="I827" s="98"/>
      <c r="J827" s="98"/>
      <c r="K827" s="98"/>
      <c r="L827" s="98"/>
      <c r="M827" s="98"/>
      <c r="N827" s="98"/>
      <c r="O827" s="98"/>
      <c r="P827" s="122"/>
      <c r="Q827" s="98"/>
      <c r="R827" s="98"/>
      <c r="S827" s="98"/>
      <c r="T827" s="98"/>
      <c r="U827" s="98"/>
      <c r="V827" s="98"/>
      <c r="W827" s="98"/>
      <c r="X827" s="98"/>
      <c r="Y827" s="98"/>
      <c r="Z827" s="98"/>
      <c r="AA827" s="98"/>
      <c r="AB827" s="98"/>
      <c r="AC827" s="98"/>
      <c r="AD827" s="98"/>
      <c r="AE827" s="98"/>
      <c r="AF827" s="98"/>
      <c r="AG827" s="98"/>
      <c r="AH827" s="98"/>
      <c r="AI827" s="98"/>
      <c r="AJ827" s="98"/>
      <c r="AK827" s="98"/>
      <c r="AL827" s="98"/>
      <c r="AM827" s="98"/>
      <c r="AN827" s="98"/>
      <c r="AO827" s="98"/>
      <c r="AP827" s="98"/>
      <c r="AQ827" s="98"/>
      <c r="AR827" s="98"/>
      <c r="AS827" s="98"/>
      <c r="AT827" s="98"/>
      <c r="AU827" s="98"/>
      <c r="AV827" s="98"/>
      <c r="AW827" s="98"/>
      <c r="AX827" s="98"/>
      <c r="AY827" s="98"/>
      <c r="AZ827" s="98"/>
      <c r="BA827" s="98"/>
      <c r="BB827" s="98"/>
      <c r="BC827" s="98"/>
      <c r="BD827" s="98"/>
      <c r="BE827" s="98"/>
      <c r="BF827" s="98"/>
      <c r="BG827" s="98"/>
      <c r="BH827" s="98"/>
      <c r="BI827" s="98"/>
      <c r="BJ827" s="763"/>
      <c r="BM827" s="31"/>
    </row>
    <row r="828" spans="2:76" s="752" customFormat="1" ht="18" hidden="1" customHeight="1" outlineLevel="1">
      <c r="B828" s="751"/>
      <c r="E828" s="852"/>
      <c r="F828" s="754"/>
      <c r="G828" s="754"/>
      <c r="H828" s="754"/>
      <c r="I828" s="754"/>
      <c r="J828" s="754"/>
      <c r="K828" s="754"/>
      <c r="L828" s="754"/>
      <c r="M828" s="754"/>
      <c r="N828" s="754"/>
      <c r="O828" s="754"/>
      <c r="P828" s="61"/>
      <c r="Q828" s="754"/>
      <c r="R828" s="843"/>
      <c r="S828" s="840"/>
      <c r="T828" s="840"/>
      <c r="U828" s="840"/>
      <c r="V828" s="843"/>
      <c r="W828" s="840"/>
      <c r="X828" s="840"/>
      <c r="Y828" s="840"/>
      <c r="Z828" s="843"/>
      <c r="AA828" s="840"/>
      <c r="AB828" s="840"/>
      <c r="AC828" s="840"/>
      <c r="AD828" s="843"/>
      <c r="AE828" s="840"/>
      <c r="AF828" s="840"/>
      <c r="AG828" s="840"/>
      <c r="AH828" s="754"/>
      <c r="AI828" s="836"/>
      <c r="AJ828" s="837"/>
      <c r="AK828" s="837"/>
      <c r="AL828" s="837"/>
      <c r="AM828" s="837"/>
      <c r="AN828" s="754"/>
      <c r="AO828" s="754"/>
      <c r="AP828" s="835"/>
      <c r="AQ828" s="835"/>
      <c r="AR828" s="835"/>
      <c r="AS828" s="835"/>
      <c r="AT828" s="835"/>
      <c r="AU828" s="835"/>
      <c r="AV828" s="835"/>
      <c r="AW828" s="835"/>
      <c r="AX828" s="835"/>
      <c r="AY828" s="835"/>
      <c r="AZ828" s="835"/>
      <c r="BA828" s="835"/>
      <c r="BB828" s="835"/>
      <c r="BC828" s="835"/>
      <c r="BD828" s="835"/>
      <c r="BE828" s="835"/>
      <c r="BF828" s="754"/>
      <c r="BG828" s="836"/>
      <c r="BH828" s="837"/>
      <c r="BI828" s="837"/>
      <c r="BJ828" s="763"/>
      <c r="BL828" s="28"/>
      <c r="BM828" s="139"/>
      <c r="BP828" s="756"/>
      <c r="BQ828" s="756"/>
      <c r="BR828" s="756"/>
      <c r="BS828" s="756"/>
      <c r="BT828" s="756"/>
      <c r="BU828" s="756"/>
      <c r="BV828" s="756"/>
      <c r="BW828" s="756"/>
      <c r="BX828" s="756"/>
    </row>
    <row r="829" spans="2:76" ht="12.95" hidden="1" customHeight="1" outlineLevel="1">
      <c r="B829" s="147"/>
      <c r="C829" s="31"/>
      <c r="D829" s="883"/>
      <c r="E829" s="86"/>
      <c r="F829" s="86"/>
      <c r="G829" s="86"/>
      <c r="H829" s="52"/>
      <c r="I829" s="52"/>
      <c r="J829" s="52"/>
      <c r="K829" s="52"/>
      <c r="L829" s="52"/>
      <c r="M829" s="52"/>
      <c r="N829" s="52"/>
      <c r="O829" s="52"/>
      <c r="P829" s="640"/>
      <c r="Q829" s="52"/>
      <c r="R829" s="1449" t="str">
        <f>R842</f>
        <v>Frühling</v>
      </c>
      <c r="S829" s="1449"/>
      <c r="T829" s="1449"/>
      <c r="U829" s="1449"/>
      <c r="V829" s="1449" t="str">
        <f t="shared" ref="V829" si="80">V842</f>
        <v>Sommer</v>
      </c>
      <c r="W829" s="1449"/>
      <c r="X829" s="1449"/>
      <c r="Y829" s="1449"/>
      <c r="Z829" s="1449" t="str">
        <f t="shared" ref="Z829" si="81">Z842</f>
        <v>Herbst</v>
      </c>
      <c r="AA829" s="1449"/>
      <c r="AB829" s="1449"/>
      <c r="AC829" s="1449"/>
      <c r="AD829" s="1449" t="str">
        <f t="shared" ref="AD829" si="82">AD842</f>
        <v>Winter</v>
      </c>
      <c r="AE829" s="1449"/>
      <c r="AF829" s="1449"/>
      <c r="AG829" s="1449"/>
      <c r="AH829" s="1449" t="str">
        <f t="shared" ref="AH829" si="83">AH842</f>
        <v>Jahr</v>
      </c>
      <c r="AI829" s="1449"/>
      <c r="AJ829" s="1449"/>
      <c r="AK829" s="1449"/>
      <c r="AL829" s="52"/>
      <c r="AM829" s="52"/>
      <c r="AN829" s="52"/>
      <c r="AO829" s="52"/>
      <c r="AP829" s="1449" t="str">
        <f>R829</f>
        <v>Frühling</v>
      </c>
      <c r="AQ829" s="1449"/>
      <c r="AR829" s="1449"/>
      <c r="AS829" s="1449"/>
      <c r="AT829" s="1449" t="str">
        <f t="shared" ref="AT829" si="84">V829</f>
        <v>Sommer</v>
      </c>
      <c r="AU829" s="1449"/>
      <c r="AV829" s="1449"/>
      <c r="AW829" s="1449"/>
      <c r="AX829" s="1449" t="str">
        <f t="shared" ref="AX829" si="85">Z829</f>
        <v>Herbst</v>
      </c>
      <c r="AY829" s="1449"/>
      <c r="AZ829" s="1449"/>
      <c r="BA829" s="1449"/>
      <c r="BB829" s="1449" t="str">
        <f t="shared" ref="BB829" si="86">AD829</f>
        <v>Winter</v>
      </c>
      <c r="BC829" s="1449"/>
      <c r="BD829" s="1449"/>
      <c r="BE829" s="1449"/>
      <c r="BF829" s="1449" t="str">
        <f t="shared" ref="BF829" si="87">AH829</f>
        <v>Jahr</v>
      </c>
      <c r="BG829" s="1449"/>
      <c r="BH829" s="1449"/>
      <c r="BI829" s="1449"/>
      <c r="BJ829" s="763"/>
      <c r="BL829" s="28"/>
      <c r="BM829" s="139"/>
      <c r="BP829" s="28"/>
      <c r="BQ829" s="28"/>
      <c r="BR829" s="28"/>
      <c r="BS829" s="28"/>
      <c r="BT829" s="28"/>
      <c r="BU829" s="28"/>
      <c r="BV829" s="28"/>
      <c r="BW829" s="28"/>
      <c r="BX829" s="28"/>
    </row>
    <row r="830" spans="2:76" ht="6" hidden="1" customHeight="1" outlineLevel="1">
      <c r="B830" s="147"/>
      <c r="C830" s="31"/>
      <c r="D830" s="883"/>
      <c r="E830" s="86"/>
      <c r="F830" s="86"/>
      <c r="G830" s="86"/>
      <c r="H830" s="52"/>
      <c r="I830" s="52"/>
      <c r="J830" s="52"/>
      <c r="K830" s="52"/>
      <c r="L830" s="52"/>
      <c r="M830" s="52"/>
      <c r="N830" s="52"/>
      <c r="O830" s="52"/>
      <c r="P830" s="640"/>
      <c r="Q830" s="52"/>
      <c r="R830" s="905"/>
      <c r="S830" s="905"/>
      <c r="T830" s="905"/>
      <c r="U830" s="905"/>
      <c r="V830" s="905"/>
      <c r="W830" s="905"/>
      <c r="X830" s="905"/>
      <c r="Y830" s="905"/>
      <c r="Z830" s="905"/>
      <c r="AA830" s="905"/>
      <c r="AB830" s="905"/>
      <c r="AC830" s="905"/>
      <c r="AD830" s="905"/>
      <c r="AE830" s="905"/>
      <c r="AF830" s="905"/>
      <c r="AG830" s="905"/>
      <c r="AH830" s="905"/>
      <c r="AI830" s="905"/>
      <c r="AJ830" s="905"/>
      <c r="AK830" s="905"/>
      <c r="AL830" s="52"/>
      <c r="AM830" s="52"/>
      <c r="AN830" s="52"/>
      <c r="AO830" s="52"/>
      <c r="AP830" s="52"/>
      <c r="AQ830" s="906"/>
      <c r="AR830" s="901"/>
      <c r="AS830" s="901"/>
      <c r="AT830" s="640"/>
      <c r="AU830" s="911"/>
      <c r="AV830" s="912"/>
      <c r="AW830" s="912"/>
      <c r="AX830" s="640"/>
      <c r="AY830" s="906"/>
      <c r="AZ830" s="901"/>
      <c r="BA830" s="901"/>
      <c r="BB830" s="640"/>
      <c r="BC830" s="906"/>
      <c r="BD830" s="901"/>
      <c r="BE830" s="901"/>
      <c r="BF830" s="640"/>
      <c r="BG830" s="906"/>
      <c r="BH830" s="901"/>
      <c r="BI830" s="901"/>
      <c r="BJ830" s="763"/>
      <c r="BL830" s="28"/>
      <c r="BM830" s="139"/>
      <c r="BP830" s="28"/>
      <c r="BQ830" s="28"/>
      <c r="BR830" s="28"/>
      <c r="BS830" s="28"/>
      <c r="BT830" s="28"/>
      <c r="BU830" s="28"/>
      <c r="BV830" s="28"/>
      <c r="BW830" s="28"/>
      <c r="BX830" s="28"/>
    </row>
    <row r="831" spans="2:76" ht="12.95" hidden="1" customHeight="1" outlineLevel="1">
      <c r="B831" s="147"/>
      <c r="C831" s="31"/>
      <c r="D831" s="883"/>
      <c r="E831" s="52" t="s">
        <v>962</v>
      </c>
      <c r="F831" s="86"/>
      <c r="G831" s="86"/>
      <c r="H831" s="52"/>
      <c r="I831" s="52"/>
      <c r="J831" s="52"/>
      <c r="K831" s="52"/>
      <c r="L831" s="52"/>
      <c r="M831" s="52"/>
      <c r="N831" s="52"/>
      <c r="O831" s="31" t="s">
        <v>963</v>
      </c>
      <c r="P831" s="640"/>
      <c r="Q831" s="52"/>
      <c r="R831" s="1459">
        <f>W101</f>
        <v>0</v>
      </c>
      <c r="S831" s="1449"/>
      <c r="T831" s="1449"/>
      <c r="U831" s="1449"/>
      <c r="V831" s="1459">
        <f>R831</f>
        <v>0</v>
      </c>
      <c r="W831" s="1449"/>
      <c r="X831" s="1449"/>
      <c r="Y831" s="1449"/>
      <c r="Z831" s="1459">
        <f>V831</f>
        <v>0</v>
      </c>
      <c r="AA831" s="1449"/>
      <c r="AB831" s="1449"/>
      <c r="AC831" s="1449"/>
      <c r="AD831" s="1459">
        <f>Z831</f>
        <v>0</v>
      </c>
      <c r="AE831" s="1449"/>
      <c r="AF831" s="1449"/>
      <c r="AG831" s="1449"/>
      <c r="AH831" s="1459">
        <f>AD831</f>
        <v>0</v>
      </c>
      <c r="AI831" s="1449"/>
      <c r="AJ831" s="1449"/>
      <c r="AK831" s="1449"/>
      <c r="AL831" s="52"/>
      <c r="AM831" s="52"/>
      <c r="AN831" s="52"/>
      <c r="AO831" s="52"/>
      <c r="AP831" s="1459">
        <f>AU101</f>
        <v>0</v>
      </c>
      <c r="AQ831" s="1449"/>
      <c r="AR831" s="1449"/>
      <c r="AS831" s="1449"/>
      <c r="AT831" s="1459">
        <f>AP831</f>
        <v>0</v>
      </c>
      <c r="AU831" s="1449"/>
      <c r="AV831" s="1449"/>
      <c r="AW831" s="1449"/>
      <c r="AX831" s="1459">
        <f>AT831</f>
        <v>0</v>
      </c>
      <c r="AY831" s="1449"/>
      <c r="AZ831" s="1449"/>
      <c r="BA831" s="1449"/>
      <c r="BB831" s="1459">
        <f>AX831</f>
        <v>0</v>
      </c>
      <c r="BC831" s="1449"/>
      <c r="BD831" s="1449"/>
      <c r="BE831" s="1449"/>
      <c r="BF831" s="1459">
        <f>BB831</f>
        <v>0</v>
      </c>
      <c r="BG831" s="1449"/>
      <c r="BH831" s="1449"/>
      <c r="BI831" s="1449"/>
      <c r="BJ831" s="763"/>
      <c r="BL831" s="28"/>
      <c r="BM831" s="139"/>
      <c r="BP831" s="28"/>
      <c r="BQ831" s="28"/>
      <c r="BR831" s="28"/>
      <c r="BS831" s="28"/>
      <c r="BT831" s="28"/>
      <c r="BU831" s="28"/>
      <c r="BV831" s="28"/>
      <c r="BW831" s="28"/>
      <c r="BX831" s="28"/>
    </row>
    <row r="832" spans="2:76" ht="12.95" hidden="1" customHeight="1" outlineLevel="1">
      <c r="B832" s="147"/>
      <c r="C832" s="31"/>
      <c r="D832" s="883"/>
      <c r="E832" s="52"/>
      <c r="F832" s="86"/>
      <c r="G832" s="86"/>
      <c r="H832" s="52"/>
      <c r="I832" s="52"/>
      <c r="J832" s="52"/>
      <c r="K832" s="52"/>
      <c r="L832" s="52"/>
      <c r="M832" s="52"/>
      <c r="N832" s="52"/>
      <c r="P832" s="640"/>
      <c r="Q832" s="52"/>
      <c r="R832" s="915"/>
      <c r="S832" s="905"/>
      <c r="T832" s="905"/>
      <c r="U832" s="905"/>
      <c r="V832" s="915"/>
      <c r="W832" s="905"/>
      <c r="X832" s="905"/>
      <c r="Y832" s="905"/>
      <c r="Z832" s="915"/>
      <c r="AA832" s="905"/>
      <c r="AB832" s="905"/>
      <c r="AC832" s="905"/>
      <c r="AD832" s="915"/>
      <c r="AE832" s="905"/>
      <c r="AF832" s="905"/>
      <c r="AG832" s="905"/>
      <c r="AH832" s="915"/>
      <c r="AI832" s="905"/>
      <c r="AJ832" s="905"/>
      <c r="AK832" s="905"/>
      <c r="AL832" s="52"/>
      <c r="AM832" s="52"/>
      <c r="AN832" s="52"/>
      <c r="AO832" s="52"/>
      <c r="AP832" s="915"/>
      <c r="AQ832" s="905"/>
      <c r="AR832" s="905"/>
      <c r="AS832" s="905"/>
      <c r="AT832" s="915"/>
      <c r="AU832" s="905"/>
      <c r="AV832" s="905"/>
      <c r="AW832" s="905"/>
      <c r="AX832" s="915"/>
      <c r="AY832" s="905"/>
      <c r="AZ832" s="905"/>
      <c r="BA832" s="905"/>
      <c r="BB832" s="915"/>
      <c r="BC832" s="905"/>
      <c r="BD832" s="905"/>
      <c r="BE832" s="905"/>
      <c r="BF832" s="915"/>
      <c r="BG832" s="905"/>
      <c r="BH832" s="905"/>
      <c r="BI832" s="905"/>
      <c r="BJ832" s="763"/>
      <c r="BL832" s="28"/>
      <c r="BM832" s="139"/>
      <c r="BP832" s="28"/>
      <c r="BQ832" s="28"/>
      <c r="BR832" s="28"/>
      <c r="BS832" s="28"/>
      <c r="BT832" s="28"/>
      <c r="BU832" s="28"/>
      <c r="BV832" s="28"/>
      <c r="BW832" s="28"/>
      <c r="BX832" s="28"/>
    </row>
    <row r="833" spans="2:76" ht="12.95" hidden="1" customHeight="1" outlineLevel="1">
      <c r="B833" s="147"/>
      <c r="C833" s="31"/>
      <c r="D833" s="883" t="s">
        <v>942</v>
      </c>
      <c r="E833" s="86"/>
      <c r="F833" s="86"/>
      <c r="G833" s="86"/>
      <c r="H833" s="52"/>
      <c r="I833" s="52"/>
      <c r="J833" s="52"/>
      <c r="K833" s="52"/>
      <c r="L833" s="52"/>
      <c r="M833" s="52"/>
      <c r="N833" s="52"/>
      <c r="O833" s="52"/>
      <c r="P833" s="640"/>
      <c r="Q833" s="52"/>
      <c r="R833" s="864"/>
      <c r="S833" s="864"/>
      <c r="T833" s="864"/>
      <c r="U833" s="864"/>
      <c r="V833" s="864"/>
      <c r="W833" s="864"/>
      <c r="X833" s="864"/>
      <c r="Y833" s="864"/>
      <c r="Z833" s="864"/>
      <c r="AA833" s="864"/>
      <c r="AB833" s="864"/>
      <c r="AC833" s="864"/>
      <c r="AD833" s="864"/>
      <c r="AE833" s="864"/>
      <c r="AF833" s="864"/>
      <c r="AG833" s="864"/>
      <c r="AH833" s="52"/>
      <c r="AI833" s="864"/>
      <c r="AJ833" s="864"/>
      <c r="AK833" s="864"/>
      <c r="AL833" s="52"/>
      <c r="AM833" s="52"/>
      <c r="AN833" s="52"/>
      <c r="AO833" s="52"/>
      <c r="AP833" s="905"/>
      <c r="AQ833" s="905"/>
      <c r="AR833" s="905"/>
      <c r="AS833" s="905"/>
      <c r="AT833" s="905"/>
      <c r="AU833" s="905"/>
      <c r="AV833" s="905"/>
      <c r="AW833" s="905"/>
      <c r="AX833" s="905"/>
      <c r="AY833" s="905"/>
      <c r="AZ833" s="905"/>
      <c r="BA833" s="905"/>
      <c r="BB833" s="905"/>
      <c r="BC833" s="905"/>
      <c r="BD833" s="905"/>
      <c r="BE833" s="905"/>
      <c r="BF833" s="52"/>
      <c r="BG833" s="905"/>
      <c r="BH833" s="905"/>
      <c r="BI833" s="905"/>
      <c r="BJ833" s="763"/>
      <c r="BL833" s="28"/>
      <c r="BM833" s="139"/>
      <c r="BP833" s="28"/>
      <c r="BQ833" s="28"/>
      <c r="BR833" s="28"/>
      <c r="BS833" s="28"/>
      <c r="BT833" s="28"/>
      <c r="BU833" s="28"/>
      <c r="BV833" s="28"/>
      <c r="BW833" s="28"/>
      <c r="BX833" s="28"/>
    </row>
    <row r="834" spans="2:76" s="752" customFormat="1" ht="15.95" hidden="1" customHeight="1" outlineLevel="1">
      <c r="B834" s="751"/>
      <c r="E834" s="852" t="s">
        <v>939</v>
      </c>
      <c r="F834" s="754"/>
      <c r="G834" s="754"/>
      <c r="H834" s="754"/>
      <c r="I834" s="754"/>
      <c r="J834" s="754"/>
      <c r="K834" s="754"/>
      <c r="L834" s="754"/>
      <c r="M834" s="754"/>
      <c r="N834" s="754"/>
      <c r="O834" s="61" t="s">
        <v>199</v>
      </c>
      <c r="P834" s="61"/>
      <c r="Q834" s="754"/>
      <c r="R834" s="1459">
        <f>S789*R$831</f>
        <v>0</v>
      </c>
      <c r="S834" s="1449"/>
      <c r="T834" s="1449"/>
      <c r="U834" s="1449"/>
      <c r="V834" s="1459">
        <f t="shared" ref="V834" si="88">W789*V$831</f>
        <v>0</v>
      </c>
      <c r="W834" s="1449"/>
      <c r="X834" s="1449"/>
      <c r="Y834" s="1449"/>
      <c r="Z834" s="1459">
        <f t="shared" ref="Z834" si="89">AA789*Z$831</f>
        <v>0</v>
      </c>
      <c r="AA834" s="1449"/>
      <c r="AB834" s="1449"/>
      <c r="AC834" s="1449"/>
      <c r="AD834" s="1459">
        <f t="shared" ref="AD834" si="90">AE789*AD$831</f>
        <v>0</v>
      </c>
      <c r="AE834" s="1449"/>
      <c r="AF834" s="1449"/>
      <c r="AG834" s="1449"/>
      <c r="AH834" s="1459">
        <f>SUM(R834:AG834)</f>
        <v>0</v>
      </c>
      <c r="AI834" s="1449"/>
      <c r="AJ834" s="1449"/>
      <c r="AK834" s="1449"/>
      <c r="AL834" s="861"/>
      <c r="AM834" s="861"/>
      <c r="AN834" s="754"/>
      <c r="AO834" s="754"/>
      <c r="AP834" s="1459">
        <f>AQ789*AP$831</f>
        <v>0</v>
      </c>
      <c r="AQ834" s="1449"/>
      <c r="AR834" s="1449"/>
      <c r="AS834" s="1449"/>
      <c r="AT834" s="1459">
        <f t="shared" ref="AT834" si="91">AU789*AT$831</f>
        <v>0</v>
      </c>
      <c r="AU834" s="1449"/>
      <c r="AV834" s="1449"/>
      <c r="AW834" s="1449"/>
      <c r="AX834" s="1459">
        <f t="shared" ref="AX834" si="92">AY789*AX$831</f>
        <v>0</v>
      </c>
      <c r="AY834" s="1449"/>
      <c r="AZ834" s="1449"/>
      <c r="BA834" s="1449"/>
      <c r="BB834" s="1459">
        <f t="shared" ref="BB834" si="93">BC789*BB$831</f>
        <v>0</v>
      </c>
      <c r="BC834" s="1449"/>
      <c r="BD834" s="1449"/>
      <c r="BE834" s="1449"/>
      <c r="BF834" s="1459">
        <f>SUM(AP834:BE834)</f>
        <v>0</v>
      </c>
      <c r="BG834" s="1449"/>
      <c r="BH834" s="1449"/>
      <c r="BI834" s="1449"/>
      <c r="BJ834" s="763"/>
      <c r="BL834" s="28"/>
      <c r="BM834" s="139"/>
      <c r="BP834" s="756"/>
      <c r="BQ834" s="756"/>
      <c r="BR834" s="756"/>
      <c r="BS834" s="756"/>
      <c r="BT834" s="756"/>
      <c r="BU834" s="756"/>
      <c r="BV834" s="756"/>
      <c r="BW834" s="756"/>
      <c r="BX834" s="756"/>
    </row>
    <row r="835" spans="2:76" s="752" customFormat="1" ht="15.95" hidden="1" customHeight="1" outlineLevel="1">
      <c r="B835" s="751"/>
      <c r="E835" s="852" t="s">
        <v>940</v>
      </c>
      <c r="F835" s="754"/>
      <c r="G835" s="754"/>
      <c r="H835" s="754"/>
      <c r="I835" s="754"/>
      <c r="J835" s="754"/>
      <c r="K835" s="754"/>
      <c r="L835" s="754"/>
      <c r="M835" s="754"/>
      <c r="N835" s="754"/>
      <c r="O835" s="61" t="s">
        <v>199</v>
      </c>
      <c r="P835" s="61"/>
      <c r="Q835" s="754"/>
      <c r="R835" s="1459">
        <f>R826*R$831</f>
        <v>0</v>
      </c>
      <c r="S835" s="1449"/>
      <c r="T835" s="1449"/>
      <c r="U835" s="1449"/>
      <c r="V835" s="1459">
        <f t="shared" ref="V835" si="94">V826*V$831</f>
        <v>0</v>
      </c>
      <c r="W835" s="1449"/>
      <c r="X835" s="1449"/>
      <c r="Y835" s="1449"/>
      <c r="Z835" s="1459">
        <f t="shared" ref="Z835" si="95">Z826*Z$831</f>
        <v>0</v>
      </c>
      <c r="AA835" s="1449"/>
      <c r="AB835" s="1449"/>
      <c r="AC835" s="1449"/>
      <c r="AD835" s="1459">
        <f t="shared" ref="AD835" si="96">AD826*AD$831</f>
        <v>0</v>
      </c>
      <c r="AE835" s="1449"/>
      <c r="AF835" s="1449"/>
      <c r="AG835" s="1449"/>
      <c r="AH835" s="1459">
        <f t="shared" ref="AH835:AH837" si="97">SUM(R835:AG835)</f>
        <v>0</v>
      </c>
      <c r="AI835" s="1449"/>
      <c r="AJ835" s="1449"/>
      <c r="AK835" s="1449"/>
      <c r="AL835" s="861"/>
      <c r="AM835" s="861"/>
      <c r="AN835" s="754"/>
      <c r="AO835" s="754"/>
      <c r="AP835" s="1459">
        <f>AP826*AP$831</f>
        <v>0</v>
      </c>
      <c r="AQ835" s="1449"/>
      <c r="AR835" s="1449"/>
      <c r="AS835" s="1449"/>
      <c r="AT835" s="1459">
        <f t="shared" ref="AT835" si="98">AT826*AT$831</f>
        <v>0</v>
      </c>
      <c r="AU835" s="1449"/>
      <c r="AV835" s="1449"/>
      <c r="AW835" s="1449"/>
      <c r="AX835" s="1459">
        <f t="shared" ref="AX835" si="99">AX826*AX$831</f>
        <v>0</v>
      </c>
      <c r="AY835" s="1449"/>
      <c r="AZ835" s="1449"/>
      <c r="BA835" s="1449"/>
      <c r="BB835" s="1459">
        <f t="shared" ref="BB835" si="100">BB826*BB$831</f>
        <v>0</v>
      </c>
      <c r="BC835" s="1449"/>
      <c r="BD835" s="1449"/>
      <c r="BE835" s="1449"/>
      <c r="BF835" s="1459">
        <f t="shared" ref="BF835:BF837" si="101">SUM(AP835:BE835)</f>
        <v>0</v>
      </c>
      <c r="BG835" s="1449"/>
      <c r="BH835" s="1449"/>
      <c r="BI835" s="1449"/>
      <c r="BJ835" s="763"/>
      <c r="BL835" s="28"/>
      <c r="BM835" s="139"/>
      <c r="BP835" s="756"/>
      <c r="BQ835" s="756"/>
      <c r="BR835" s="756"/>
      <c r="BS835" s="756"/>
      <c r="BT835" s="756"/>
      <c r="BU835" s="756"/>
      <c r="BV835" s="756"/>
      <c r="BW835" s="756"/>
      <c r="BX835" s="756"/>
    </row>
    <row r="836" spans="2:76" s="752" customFormat="1" ht="15.95" hidden="1" customHeight="1" outlineLevel="1">
      <c r="B836" s="751"/>
      <c r="E836" s="852" t="s">
        <v>941</v>
      </c>
      <c r="F836" s="754"/>
      <c r="G836" s="754"/>
      <c r="H836" s="754"/>
      <c r="I836" s="754"/>
      <c r="J836" s="754"/>
      <c r="K836" s="754"/>
      <c r="L836" s="754"/>
      <c r="M836" s="754"/>
      <c r="N836" s="754"/>
      <c r="O836" s="61" t="s">
        <v>199</v>
      </c>
      <c r="P836" s="61"/>
      <c r="Q836" s="754"/>
      <c r="R836" s="1459">
        <f>S794*R$831</f>
        <v>0</v>
      </c>
      <c r="S836" s="1449"/>
      <c r="T836" s="1449"/>
      <c r="U836" s="1449"/>
      <c r="V836" s="1459">
        <f t="shared" ref="V836" si="102">W794*V$831</f>
        <v>0</v>
      </c>
      <c r="W836" s="1449"/>
      <c r="X836" s="1449"/>
      <c r="Y836" s="1449"/>
      <c r="Z836" s="1459">
        <f t="shared" ref="Z836" si="103">AA794*Z$831</f>
        <v>0</v>
      </c>
      <c r="AA836" s="1449"/>
      <c r="AB836" s="1449"/>
      <c r="AC836" s="1449"/>
      <c r="AD836" s="1459">
        <f t="shared" ref="AD836" si="104">AE794*AD$831</f>
        <v>0</v>
      </c>
      <c r="AE836" s="1449"/>
      <c r="AF836" s="1449"/>
      <c r="AG836" s="1449"/>
      <c r="AH836" s="1459">
        <f t="shared" si="97"/>
        <v>0</v>
      </c>
      <c r="AI836" s="1449"/>
      <c r="AJ836" s="1449"/>
      <c r="AK836" s="1449"/>
      <c r="AL836" s="861"/>
      <c r="AM836" s="861"/>
      <c r="AN836" s="754"/>
      <c r="AO836" s="754"/>
      <c r="AP836" s="1459">
        <f>AQ794*AP$831</f>
        <v>0</v>
      </c>
      <c r="AQ836" s="1449"/>
      <c r="AR836" s="1449"/>
      <c r="AS836" s="1449"/>
      <c r="AT836" s="1459">
        <f t="shared" ref="AT836" si="105">AU794*AT$831</f>
        <v>0</v>
      </c>
      <c r="AU836" s="1449"/>
      <c r="AV836" s="1449"/>
      <c r="AW836" s="1449"/>
      <c r="AX836" s="1459">
        <f t="shared" ref="AX836" si="106">AY794*AX$831</f>
        <v>0</v>
      </c>
      <c r="AY836" s="1449"/>
      <c r="AZ836" s="1449"/>
      <c r="BA836" s="1449"/>
      <c r="BB836" s="1459">
        <f t="shared" ref="BB836" si="107">BC794*BB$831</f>
        <v>0</v>
      </c>
      <c r="BC836" s="1449"/>
      <c r="BD836" s="1449"/>
      <c r="BE836" s="1449"/>
      <c r="BF836" s="1459">
        <f t="shared" si="101"/>
        <v>0</v>
      </c>
      <c r="BG836" s="1449"/>
      <c r="BH836" s="1449"/>
      <c r="BI836" s="1449"/>
      <c r="BJ836" s="763"/>
      <c r="BL836" s="28"/>
      <c r="BM836" s="139"/>
      <c r="BP836" s="756"/>
      <c r="BQ836" s="756"/>
      <c r="BR836" s="756"/>
      <c r="BS836" s="756"/>
      <c r="BT836" s="756"/>
      <c r="BU836" s="756"/>
      <c r="BV836" s="756"/>
      <c r="BW836" s="756"/>
      <c r="BX836" s="756"/>
    </row>
    <row r="837" spans="2:76" s="870" customFormat="1" ht="15.95" hidden="1" customHeight="1" outlineLevel="1">
      <c r="B837" s="873"/>
      <c r="E837" s="871" t="s">
        <v>943</v>
      </c>
      <c r="F837" s="872"/>
      <c r="G837" s="872"/>
      <c r="H837" s="872"/>
      <c r="I837" s="872"/>
      <c r="J837" s="872"/>
      <c r="K837" s="872"/>
      <c r="L837" s="872"/>
      <c r="M837" s="872"/>
      <c r="N837" s="872"/>
      <c r="O837" s="801" t="s">
        <v>199</v>
      </c>
      <c r="P837" s="801"/>
      <c r="Q837" s="872"/>
      <c r="R837" s="1459">
        <f>SUM(R834:U836)</f>
        <v>0</v>
      </c>
      <c r="S837" s="1449"/>
      <c r="T837" s="1449"/>
      <c r="U837" s="1449"/>
      <c r="V837" s="1459">
        <f t="shared" ref="V837" si="108">SUM(V834:Y836)</f>
        <v>0</v>
      </c>
      <c r="W837" s="1449"/>
      <c r="X837" s="1449"/>
      <c r="Y837" s="1449"/>
      <c r="Z837" s="1459">
        <f t="shared" ref="Z837" si="109">SUM(Z834:AC836)</f>
        <v>0</v>
      </c>
      <c r="AA837" s="1449"/>
      <c r="AB837" s="1449"/>
      <c r="AC837" s="1449"/>
      <c r="AD837" s="1459">
        <f t="shared" ref="AD837" si="110">SUM(AD834:AG836)</f>
        <v>0</v>
      </c>
      <c r="AE837" s="1449"/>
      <c r="AF837" s="1449"/>
      <c r="AG837" s="1449"/>
      <c r="AH837" s="1465">
        <f t="shared" si="97"/>
        <v>0</v>
      </c>
      <c r="AI837" s="1466"/>
      <c r="AJ837" s="1466"/>
      <c r="AK837" s="1466"/>
      <c r="AL837" s="874"/>
      <c r="AM837" s="874"/>
      <c r="AN837" s="872"/>
      <c r="AO837" s="872"/>
      <c r="AP837" s="1459">
        <f>SUM(AP834:AS836)</f>
        <v>0</v>
      </c>
      <c r="AQ837" s="1449"/>
      <c r="AR837" s="1449"/>
      <c r="AS837" s="1449"/>
      <c r="AT837" s="1459">
        <f t="shared" ref="AT837" si="111">SUM(AT834:AW836)</f>
        <v>0</v>
      </c>
      <c r="AU837" s="1449"/>
      <c r="AV837" s="1449"/>
      <c r="AW837" s="1449"/>
      <c r="AX837" s="1459">
        <f t="shared" ref="AX837" si="112">SUM(AX834:BA836)</f>
        <v>0</v>
      </c>
      <c r="AY837" s="1449"/>
      <c r="AZ837" s="1449"/>
      <c r="BA837" s="1449"/>
      <c r="BB837" s="1459">
        <f t="shared" ref="BB837" si="113">SUM(BB834:BE836)</f>
        <v>0</v>
      </c>
      <c r="BC837" s="1449"/>
      <c r="BD837" s="1449"/>
      <c r="BE837" s="1449"/>
      <c r="BF837" s="1465">
        <f t="shared" si="101"/>
        <v>0</v>
      </c>
      <c r="BG837" s="1466"/>
      <c r="BH837" s="1466"/>
      <c r="BI837" s="1466"/>
      <c r="BJ837" s="877"/>
      <c r="BL837" s="28"/>
      <c r="BM837" s="138"/>
      <c r="BP837" s="878"/>
      <c r="BQ837" s="878"/>
      <c r="BR837" s="878"/>
      <c r="BS837" s="878"/>
      <c r="BT837" s="878"/>
      <c r="BU837" s="878"/>
      <c r="BV837" s="878"/>
      <c r="BW837" s="878"/>
      <c r="BX837" s="878"/>
    </row>
    <row r="838" spans="2:76" s="870" customFormat="1" ht="15.95" hidden="1" customHeight="1" outlineLevel="1">
      <c r="B838" s="873"/>
      <c r="F838" s="872"/>
      <c r="G838" s="872"/>
      <c r="H838" s="872"/>
      <c r="I838" s="872"/>
      <c r="J838" s="872"/>
      <c r="K838" s="872"/>
      <c r="L838" s="872"/>
      <c r="M838" s="872"/>
      <c r="N838" s="872"/>
      <c r="AL838" s="874"/>
      <c r="AM838" s="874"/>
      <c r="AN838" s="872"/>
      <c r="AO838" s="872"/>
      <c r="AP838" s="875"/>
      <c r="AQ838" s="875"/>
      <c r="AR838" s="875"/>
      <c r="AS838" s="875"/>
      <c r="AT838" s="875"/>
      <c r="AU838" s="875"/>
      <c r="AV838" s="875"/>
      <c r="AW838" s="875"/>
      <c r="AX838" s="875"/>
      <c r="AY838" s="875"/>
      <c r="AZ838" s="875"/>
      <c r="BA838" s="875"/>
      <c r="BB838" s="875"/>
      <c r="BC838" s="875"/>
      <c r="BD838" s="875"/>
      <c r="BE838" s="875"/>
      <c r="BF838" s="872"/>
      <c r="BG838" s="876"/>
      <c r="BH838" s="874"/>
      <c r="BI838" s="874"/>
      <c r="BJ838" s="877"/>
      <c r="BL838" s="28"/>
      <c r="BM838" s="138"/>
      <c r="BP838" s="878"/>
      <c r="BQ838" s="878"/>
      <c r="BR838" s="878"/>
      <c r="BS838" s="878"/>
      <c r="BT838" s="878"/>
      <c r="BU838" s="878"/>
      <c r="BV838" s="878"/>
      <c r="BW838" s="878"/>
      <c r="BX838" s="878"/>
    </row>
    <row r="839" spans="2:76" s="870" customFormat="1" ht="15.95" hidden="1" customHeight="1" outlineLevel="1">
      <c r="B839" s="872"/>
      <c r="F839" s="872"/>
      <c r="G839" s="872"/>
      <c r="H839" s="872"/>
      <c r="I839" s="872"/>
      <c r="J839" s="872"/>
      <c r="K839" s="872"/>
      <c r="L839" s="872"/>
      <c r="M839" s="872"/>
      <c r="N839" s="872"/>
      <c r="AL839" s="874"/>
      <c r="AM839" s="874"/>
      <c r="AN839" s="872"/>
      <c r="AO839" s="872"/>
      <c r="AP839" s="875"/>
      <c r="AQ839" s="875"/>
      <c r="AR839" s="875"/>
      <c r="AS839" s="875"/>
      <c r="AT839" s="875"/>
      <c r="AU839" s="875"/>
      <c r="AV839" s="875"/>
      <c r="AW839" s="875"/>
      <c r="AX839" s="875"/>
      <c r="AY839" s="875"/>
      <c r="AZ839" s="875"/>
      <c r="BA839" s="875"/>
      <c r="BB839" s="875"/>
      <c r="BC839" s="875"/>
      <c r="BD839" s="875"/>
      <c r="BE839" s="875"/>
      <c r="BF839" s="872"/>
      <c r="BG839" s="876"/>
      <c r="BH839" s="874"/>
      <c r="BI839" s="874"/>
      <c r="BJ839" s="877"/>
      <c r="BL839" s="28"/>
      <c r="BM839" s="138"/>
      <c r="BP839" s="878"/>
      <c r="BQ839" s="878"/>
      <c r="BR839" s="878"/>
      <c r="BS839" s="878"/>
      <c r="BT839" s="878"/>
      <c r="BU839" s="878"/>
      <c r="BV839" s="878"/>
      <c r="BW839" s="878"/>
      <c r="BX839" s="878"/>
    </row>
    <row r="840" spans="2:76" hidden="1" outlineLevel="1">
      <c r="D840" s="885" t="s">
        <v>947</v>
      </c>
      <c r="E840" s="885"/>
      <c r="F840" s="885"/>
      <c r="G840" s="885"/>
      <c r="H840" s="885"/>
      <c r="I840" s="885"/>
      <c r="J840" s="885"/>
      <c r="K840" s="885"/>
      <c r="L840" s="885"/>
      <c r="M840" s="885"/>
      <c r="N840" s="885"/>
      <c r="O840" s="885"/>
      <c r="P840" s="886"/>
      <c r="Q840" s="885"/>
      <c r="R840" s="885"/>
      <c r="S840" s="885"/>
      <c r="T840" s="885"/>
      <c r="U840" s="885"/>
      <c r="V840" s="885"/>
      <c r="W840" s="885"/>
      <c r="X840" s="885"/>
      <c r="Y840" s="885"/>
      <c r="Z840" s="885"/>
      <c r="AA840" s="885"/>
      <c r="AB840" s="885"/>
      <c r="AC840" s="885"/>
      <c r="AD840" s="885"/>
      <c r="AE840" s="885"/>
      <c r="AF840" s="885"/>
      <c r="AG840" s="885"/>
      <c r="AH840" s="885"/>
      <c r="AI840" s="885"/>
      <c r="AJ840" s="885"/>
      <c r="AK840" s="885"/>
      <c r="AL840" s="885"/>
      <c r="AM840" s="885"/>
      <c r="AN840" s="885"/>
      <c r="AO840" s="885"/>
      <c r="AP840" s="885"/>
      <c r="AQ840" s="885"/>
      <c r="AR840" s="885"/>
      <c r="AS840" s="885"/>
      <c r="AT840" s="885"/>
      <c r="AU840" s="885"/>
      <c r="AV840" s="885"/>
      <c r="AW840" s="885"/>
      <c r="AX840" s="885"/>
      <c r="AY840" s="885"/>
      <c r="AZ840" s="885"/>
      <c r="BA840" s="885"/>
      <c r="BB840" s="885"/>
      <c r="BC840" s="885"/>
      <c r="BD840" s="885"/>
      <c r="BE840" s="885"/>
      <c r="BF840" s="885"/>
      <c r="BG840" s="885"/>
      <c r="BH840" s="885"/>
      <c r="BI840" s="885"/>
      <c r="BJ840" s="885"/>
      <c r="BK840" s="885"/>
      <c r="BL840" s="28"/>
    </row>
    <row r="841" spans="2:76" s="752" customFormat="1" ht="15.95" hidden="1" customHeight="1" outlineLevel="1">
      <c r="B841" s="751"/>
      <c r="E841" s="852"/>
      <c r="F841" s="754"/>
      <c r="G841" s="754"/>
      <c r="H841" s="754"/>
      <c r="I841" s="754"/>
      <c r="J841" s="754"/>
      <c r="K841" s="754"/>
      <c r="L841" s="754"/>
      <c r="M841" s="754"/>
      <c r="N841" s="754"/>
      <c r="O841" s="754"/>
      <c r="P841" s="61"/>
      <c r="Q841" s="754"/>
      <c r="R841" s="843"/>
      <c r="S841" s="862"/>
      <c r="T841" s="862"/>
      <c r="U841" s="862"/>
      <c r="V841" s="843"/>
      <c r="W841" s="862"/>
      <c r="X841" s="862"/>
      <c r="Y841" s="862"/>
      <c r="Z841" s="843"/>
      <c r="AA841" s="862"/>
      <c r="AB841" s="862"/>
      <c r="AC841" s="862"/>
      <c r="AD841" s="843"/>
      <c r="AE841" s="862"/>
      <c r="AF841" s="862"/>
      <c r="AG841" s="862"/>
      <c r="AH841" s="754"/>
      <c r="AI841" s="860"/>
      <c r="AJ841" s="861"/>
      <c r="AK841" s="861"/>
      <c r="AL841" s="861"/>
      <c r="AM841" s="861"/>
      <c r="AN841" s="754"/>
      <c r="AO841" s="754"/>
      <c r="AP841" s="865"/>
      <c r="AQ841" s="865"/>
      <c r="AR841" s="865"/>
      <c r="AS841" s="865"/>
      <c r="AT841" s="865"/>
      <c r="AU841" s="865"/>
      <c r="AV841" s="865"/>
      <c r="AW841" s="865"/>
      <c r="AX841" s="865"/>
      <c r="AY841" s="865"/>
      <c r="AZ841" s="865"/>
      <c r="BA841" s="865"/>
      <c r="BB841" s="865"/>
      <c r="BC841" s="865"/>
      <c r="BD841" s="865"/>
      <c r="BE841" s="865"/>
      <c r="BF841" s="754"/>
      <c r="BG841" s="860"/>
      <c r="BH841" s="861"/>
      <c r="BI841" s="861"/>
      <c r="BJ841" s="763"/>
      <c r="BL841" s="28"/>
      <c r="BM841" s="139"/>
      <c r="BP841" s="756"/>
      <c r="BQ841" s="756"/>
      <c r="BR841" s="756"/>
      <c r="BS841" s="756"/>
      <c r="BT841" s="756"/>
      <c r="BU841" s="756"/>
      <c r="BV841" s="756"/>
      <c r="BW841" s="756"/>
      <c r="BX841" s="756"/>
    </row>
    <row r="842" spans="2:76" ht="12.95" hidden="1" customHeight="1" outlineLevel="1">
      <c r="B842" s="147"/>
      <c r="C842" s="31"/>
      <c r="E842" s="86"/>
      <c r="F842" s="86"/>
      <c r="G842" s="86"/>
      <c r="H842" s="52"/>
      <c r="I842" s="52"/>
      <c r="J842" s="52"/>
      <c r="K842" s="52"/>
      <c r="L842" s="52"/>
      <c r="M842" s="52"/>
      <c r="N842" s="52"/>
      <c r="O842" s="52"/>
      <c r="P842" s="640"/>
      <c r="Q842" s="52"/>
      <c r="R842" s="1449" t="str">
        <f>R782</f>
        <v>Frühling</v>
      </c>
      <c r="S842" s="1449"/>
      <c r="T842" s="1449"/>
      <c r="U842" s="1449"/>
      <c r="V842" s="1449" t="str">
        <f t="shared" ref="V842" si="114">V782</f>
        <v>Sommer</v>
      </c>
      <c r="W842" s="1449"/>
      <c r="X842" s="1449"/>
      <c r="Y842" s="1449"/>
      <c r="Z842" s="1449" t="str">
        <f t="shared" ref="Z842" si="115">Z782</f>
        <v>Herbst</v>
      </c>
      <c r="AA842" s="1449"/>
      <c r="AB842" s="1449"/>
      <c r="AC842" s="1449"/>
      <c r="AD842" s="1449" t="str">
        <f t="shared" ref="AD842" si="116">AD782</f>
        <v>Winter</v>
      </c>
      <c r="AE842" s="1449"/>
      <c r="AF842" s="1449"/>
      <c r="AG842" s="1449"/>
      <c r="AH842" s="1449" t="str">
        <f>AI122</f>
        <v>Jahr</v>
      </c>
      <c r="AI842" s="1449"/>
      <c r="AJ842" s="1449"/>
      <c r="AK842" s="1449"/>
      <c r="AL842" s="52"/>
      <c r="AM842" s="52"/>
      <c r="AN842" s="52"/>
      <c r="AO842" s="52"/>
      <c r="AP842" s="52"/>
      <c r="AQ842" s="1482" t="str">
        <f>R842</f>
        <v>Frühling</v>
      </c>
      <c r="AR842" s="1483"/>
      <c r="AS842" s="1483"/>
      <c r="AT842" s="640"/>
      <c r="AU842" s="1480" t="str">
        <f>V842</f>
        <v>Sommer</v>
      </c>
      <c r="AV842" s="1481"/>
      <c r="AW842" s="1481"/>
      <c r="AX842" s="640"/>
      <c r="AY842" s="1482" t="str">
        <f>Z842</f>
        <v>Herbst</v>
      </c>
      <c r="AZ842" s="1483"/>
      <c r="BA842" s="1483"/>
      <c r="BB842" s="640"/>
      <c r="BC842" s="1482" t="str">
        <f>AD842</f>
        <v>Winter</v>
      </c>
      <c r="BD842" s="1483"/>
      <c r="BE842" s="1483"/>
      <c r="BF842" s="640"/>
      <c r="BG842" s="1482" t="str">
        <f>AH842</f>
        <v>Jahr</v>
      </c>
      <c r="BH842" s="1483"/>
      <c r="BI842" s="1483"/>
      <c r="BJ842" s="763"/>
      <c r="BL842" s="28"/>
      <c r="BM842" s="139"/>
      <c r="BP842" s="28"/>
      <c r="BQ842" s="28"/>
      <c r="BR842" s="28"/>
      <c r="BS842" s="28"/>
      <c r="BT842" s="28"/>
      <c r="BU842" s="28"/>
      <c r="BV842" s="28"/>
      <c r="BW842" s="28"/>
      <c r="BX842" s="28"/>
    </row>
    <row r="843" spans="2:76" s="752" customFormat="1" ht="15.95" hidden="1" customHeight="1" outlineLevel="1">
      <c r="B843" s="751"/>
      <c r="D843" s="398" t="s">
        <v>945</v>
      </c>
      <c r="E843" s="852"/>
      <c r="F843" s="754"/>
      <c r="G843" s="754"/>
      <c r="H843" s="754"/>
      <c r="I843" s="754"/>
      <c r="J843" s="754"/>
      <c r="K843" s="754"/>
      <c r="L843" s="754"/>
      <c r="M843" s="754"/>
      <c r="N843" s="754"/>
      <c r="O843" s="61" t="s">
        <v>199</v>
      </c>
      <c r="P843" s="61"/>
      <c r="Q843" s="754"/>
      <c r="R843" s="1451">
        <f>R305+R318</f>
        <v>0</v>
      </c>
      <c r="S843" s="1467"/>
      <c r="T843" s="1467"/>
      <c r="U843" s="1467"/>
      <c r="V843" s="1451">
        <f>V305+V318</f>
        <v>0</v>
      </c>
      <c r="W843" s="1467"/>
      <c r="X843" s="1467"/>
      <c r="Y843" s="1467"/>
      <c r="Z843" s="1451">
        <f>Z305+Z318</f>
        <v>0</v>
      </c>
      <c r="AA843" s="1467"/>
      <c r="AB843" s="1467"/>
      <c r="AC843" s="1467"/>
      <c r="AD843" s="1451">
        <f>AD305+AD318</f>
        <v>0</v>
      </c>
      <c r="AE843" s="1467"/>
      <c r="AF843" s="1467"/>
      <c r="AG843" s="1467"/>
      <c r="AH843" s="1451">
        <f t="shared" ref="AH843" si="117">SUM(R843:AG843)</f>
        <v>0</v>
      </c>
      <c r="AI843" s="1467"/>
      <c r="AJ843" s="1467"/>
      <c r="AK843" s="1467"/>
      <c r="AL843" s="861"/>
      <c r="AM843" s="861"/>
      <c r="AN843" s="754"/>
      <c r="AO843" s="754"/>
      <c r="AP843" s="1451">
        <f>AP305+AP318</f>
        <v>0</v>
      </c>
      <c r="AQ843" s="1467"/>
      <c r="AR843" s="1467"/>
      <c r="AS843" s="1467"/>
      <c r="AT843" s="1451">
        <f>AT305+AT318</f>
        <v>0</v>
      </c>
      <c r="AU843" s="1467"/>
      <c r="AV843" s="1467"/>
      <c r="AW843" s="1467"/>
      <c r="AX843" s="1451">
        <f>AX305+AX318</f>
        <v>0</v>
      </c>
      <c r="AY843" s="1467"/>
      <c r="AZ843" s="1467"/>
      <c r="BA843" s="1467"/>
      <c r="BB843" s="1451">
        <f>BB305+BB318</f>
        <v>0</v>
      </c>
      <c r="BC843" s="1467"/>
      <c r="BD843" s="1467"/>
      <c r="BE843" s="1467"/>
      <c r="BF843" s="1451">
        <f t="shared" ref="BF843" si="118">SUM(AP843:BE843)</f>
        <v>0</v>
      </c>
      <c r="BG843" s="1467"/>
      <c r="BH843" s="1467"/>
      <c r="BI843" s="1467"/>
      <c r="BJ843" s="879"/>
      <c r="BL843" s="28"/>
      <c r="BM843" s="139"/>
      <c r="BP843" s="756"/>
      <c r="BQ843" s="756"/>
      <c r="BR843" s="756"/>
      <c r="BS843" s="756"/>
      <c r="BT843" s="756"/>
      <c r="BU843" s="756"/>
      <c r="BV843" s="756"/>
      <c r="BW843" s="756"/>
      <c r="BX843" s="756"/>
    </row>
    <row r="844" spans="2:76" s="752" customFormat="1" ht="15.95" hidden="1" customHeight="1" outlineLevel="2">
      <c r="B844" s="751"/>
      <c r="E844" s="850"/>
      <c r="F844" s="850" t="s">
        <v>237</v>
      </c>
      <c r="G844" s="754"/>
      <c r="H844" s="754"/>
      <c r="I844" s="754"/>
      <c r="J844" s="754"/>
      <c r="K844" s="754"/>
      <c r="L844" s="754"/>
      <c r="M844" s="754"/>
      <c r="N844" s="754"/>
      <c r="O844" s="754"/>
      <c r="P844" s="755"/>
      <c r="Q844" s="754">
        <f>IF(AH843&gt;10000,-2,-1)</f>
        <v>-1</v>
      </c>
      <c r="R844" s="1469">
        <f>IF(R843&gt;100000,-4,IF(R843&gt;10000,-3,IF(R843&gt;1000,-2,$Q844)))</f>
        <v>-1</v>
      </c>
      <c r="S844" s="1470"/>
      <c r="T844" s="1470"/>
      <c r="U844" s="1470"/>
      <c r="V844" s="1469">
        <f>IF(V843&gt;100000,-4,IF(V843&gt;10000,-3,IF(V843&gt;1000,-2,$Q844)))</f>
        <v>-1</v>
      </c>
      <c r="W844" s="1470"/>
      <c r="X844" s="1470"/>
      <c r="Y844" s="1470"/>
      <c r="Z844" s="1469">
        <f>IF(Z843&gt;100000,-4,IF(Z843&gt;10000,-3,IF(Z843&gt;1000,-2,$Q844)))</f>
        <v>-1</v>
      </c>
      <c r="AA844" s="1470"/>
      <c r="AB844" s="1470"/>
      <c r="AC844" s="1470"/>
      <c r="AD844" s="1469">
        <f>IF(AD843&gt;100000,-4,IF(AD843&gt;10000,-3,IF(AD843&gt;1000,-2,$Q844)))</f>
        <v>-1</v>
      </c>
      <c r="AE844" s="1470"/>
      <c r="AF844" s="1470"/>
      <c r="AG844" s="1470"/>
      <c r="AH844" s="1469">
        <f t="shared" ref="AH844" si="119">IF(AH843&gt;100000,-4,IF(AH843&gt;10000,-3,IF(AH843&gt;1000,-2,-1)))</f>
        <v>-1</v>
      </c>
      <c r="AI844" s="1470"/>
      <c r="AJ844" s="1470"/>
      <c r="AK844" s="1470"/>
      <c r="AL844" s="888"/>
      <c r="AM844" s="888"/>
      <c r="AN844" s="754"/>
      <c r="AO844" s="754">
        <f>IF(BF843&gt;10000,-2,-1)</f>
        <v>-1</v>
      </c>
      <c r="AP844" s="1469">
        <f>IF(AP843&gt;100000,-4,IF(AP843&gt;10000,-3,IF(AP843&gt;1000,-2,$Q844)))</f>
        <v>-1</v>
      </c>
      <c r="AQ844" s="1470"/>
      <c r="AR844" s="1470"/>
      <c r="AS844" s="1470"/>
      <c r="AT844" s="1469">
        <f>IF(AT843&gt;100000,-4,IF(AT843&gt;10000,-3,IF(AT843&gt;1000,-2,$Q844)))</f>
        <v>-1</v>
      </c>
      <c r="AU844" s="1470"/>
      <c r="AV844" s="1470"/>
      <c r="AW844" s="1470"/>
      <c r="AX844" s="1469">
        <f>IF(AX843&gt;100000,-4,IF(AX843&gt;10000,-3,IF(AX843&gt;1000,-2,$Q844)))</f>
        <v>-1</v>
      </c>
      <c r="AY844" s="1470"/>
      <c r="AZ844" s="1470"/>
      <c r="BA844" s="1470"/>
      <c r="BB844" s="1469">
        <f>IF(BB843&gt;100000,-4,IF(BB843&gt;10000,-3,IF(BB843&gt;1000,-2,$Q844)))</f>
        <v>-1</v>
      </c>
      <c r="BC844" s="1470"/>
      <c r="BD844" s="1470"/>
      <c r="BE844" s="1470"/>
      <c r="BF844" s="1469">
        <f t="shared" ref="BF844" si="120">IF(BF843&gt;100000,-4,IF(BF843&gt;10000,-3,IF(BF843&gt;1000,-2,-1)))</f>
        <v>-1</v>
      </c>
      <c r="BG844" s="1470"/>
      <c r="BH844" s="1470"/>
      <c r="BI844" s="1470"/>
      <c r="BJ844" s="763"/>
      <c r="BL844" s="28"/>
      <c r="BM844" s="139"/>
      <c r="BP844" s="756"/>
      <c r="BQ844" s="756"/>
      <c r="BR844" s="756"/>
      <c r="BS844" s="756"/>
      <c r="BT844" s="756"/>
      <c r="BU844" s="756"/>
      <c r="BV844" s="756"/>
      <c r="BW844" s="756"/>
      <c r="BX844" s="756"/>
    </row>
    <row r="845" spans="2:76" hidden="1" outlineLevel="1">
      <c r="D845" s="398" t="s">
        <v>945</v>
      </c>
      <c r="E845" s="852"/>
      <c r="O845" s="61" t="s">
        <v>199</v>
      </c>
      <c r="P845" s="61"/>
      <c r="Q845" s="754"/>
      <c r="R845" s="1451">
        <f>ROUND(R843,R844)</f>
        <v>0</v>
      </c>
      <c r="S845" s="1467"/>
      <c r="T845" s="1467"/>
      <c r="U845" s="1467"/>
      <c r="V845" s="1451">
        <f>ROUND(V843,V844)</f>
        <v>0</v>
      </c>
      <c r="W845" s="1467"/>
      <c r="X845" s="1467"/>
      <c r="Y845" s="1467"/>
      <c r="Z845" s="1451">
        <f>ROUND(Z843,Z844)</f>
        <v>0</v>
      </c>
      <c r="AA845" s="1467"/>
      <c r="AB845" s="1467"/>
      <c r="AC845" s="1467"/>
      <c r="AD845" s="1451">
        <f>ROUND(AD843,AD844)</f>
        <v>0</v>
      </c>
      <c r="AE845" s="1467"/>
      <c r="AF845" s="1467"/>
      <c r="AG845" s="1467"/>
      <c r="AH845" s="1451">
        <f>ROUND(AH843,AH844)</f>
        <v>0</v>
      </c>
      <c r="AI845" s="1467"/>
      <c r="AJ845" s="1467"/>
      <c r="AK845" s="1467"/>
      <c r="AO845" s="754"/>
      <c r="AP845" s="1451">
        <f>ROUND(AP843,AP844)</f>
        <v>0</v>
      </c>
      <c r="AQ845" s="1467"/>
      <c r="AR845" s="1467"/>
      <c r="AS845" s="1467"/>
      <c r="AT845" s="1451">
        <f>ROUND(AT843,AT844)</f>
        <v>0</v>
      </c>
      <c r="AU845" s="1467"/>
      <c r="AV845" s="1467"/>
      <c r="AW845" s="1467"/>
      <c r="AX845" s="1451">
        <f>ROUND(AX843,AX844)</f>
        <v>0</v>
      </c>
      <c r="AY845" s="1467"/>
      <c r="AZ845" s="1467"/>
      <c r="BA845" s="1467"/>
      <c r="BB845" s="1451">
        <f>ROUND(BB843,BB844)</f>
        <v>0</v>
      </c>
      <c r="BC845" s="1467"/>
      <c r="BD845" s="1467"/>
      <c r="BE845" s="1467"/>
      <c r="BF845" s="1451">
        <f>ROUND(BF843,BF844)</f>
        <v>0</v>
      </c>
      <c r="BG845" s="1467"/>
      <c r="BH845" s="1467"/>
      <c r="BI845" s="1467"/>
      <c r="BL845" s="28"/>
    </row>
    <row r="846" spans="2:76" s="398" customFormat="1" hidden="1" outlineLevel="1">
      <c r="C846" s="887"/>
      <c r="D846" s="852" t="s">
        <v>944</v>
      </c>
      <c r="E846" s="852"/>
      <c r="O846" s="61" t="s">
        <v>199</v>
      </c>
      <c r="P846" s="61"/>
      <c r="Q846" s="754"/>
      <c r="R846" s="1451">
        <f>IF(R837&gt;R843,R843,R837)</f>
        <v>0</v>
      </c>
      <c r="S846" s="1467"/>
      <c r="T846" s="1467"/>
      <c r="U846" s="1467"/>
      <c r="V846" s="1451">
        <f>IF(V837&gt;V843,V843,V837)</f>
        <v>0</v>
      </c>
      <c r="W846" s="1467"/>
      <c r="X846" s="1467"/>
      <c r="Y846" s="1467"/>
      <c r="Z846" s="1451">
        <f>IF(Z837&gt;Z843,Z843,Z837)</f>
        <v>0</v>
      </c>
      <c r="AA846" s="1467"/>
      <c r="AB846" s="1467"/>
      <c r="AC846" s="1467"/>
      <c r="AD846" s="1451">
        <f>IF(AD837&gt;AD843,AD843,AD837)</f>
        <v>0</v>
      </c>
      <c r="AE846" s="1467"/>
      <c r="AF846" s="1467"/>
      <c r="AG846" s="1467"/>
      <c r="AH846" s="1451">
        <f>SUM(R846:AG846)</f>
        <v>0</v>
      </c>
      <c r="AI846" s="1467"/>
      <c r="AJ846" s="1467"/>
      <c r="AK846" s="1467"/>
      <c r="AO846" s="754"/>
      <c r="AP846" s="1451">
        <f>IF(AP837&gt;AP843,AP843,AP837)</f>
        <v>0</v>
      </c>
      <c r="AQ846" s="1467"/>
      <c r="AR846" s="1467"/>
      <c r="AS846" s="1467"/>
      <c r="AT846" s="1451">
        <f>IF(AT837&gt;AT843,AT843,AT837)</f>
        <v>0</v>
      </c>
      <c r="AU846" s="1467"/>
      <c r="AV846" s="1467"/>
      <c r="AW846" s="1467"/>
      <c r="AX846" s="1451">
        <f>IF(AX837&gt;AX843,AX843,AX837)</f>
        <v>0</v>
      </c>
      <c r="AY846" s="1467"/>
      <c r="AZ846" s="1467"/>
      <c r="BA846" s="1467"/>
      <c r="BB846" s="1451">
        <f>IF(BB837&gt;BB843,BB843,BB837)</f>
        <v>0</v>
      </c>
      <c r="BC846" s="1467"/>
      <c r="BD846" s="1467"/>
      <c r="BE846" s="1467"/>
      <c r="BF846" s="1451">
        <f>SUM(AP846:BE846)</f>
        <v>0</v>
      </c>
      <c r="BG846" s="1467"/>
      <c r="BH846" s="1467"/>
      <c r="BI846" s="1467"/>
      <c r="BL846" s="28"/>
    </row>
    <row r="847" spans="2:76" s="752" customFormat="1" ht="15.95" hidden="1" customHeight="1" outlineLevel="2">
      <c r="B847" s="751"/>
      <c r="E847" s="850"/>
      <c r="F847" s="850" t="s">
        <v>237</v>
      </c>
      <c r="G847" s="754"/>
      <c r="H847" s="754"/>
      <c r="I847" s="754"/>
      <c r="J847" s="754"/>
      <c r="K847" s="754"/>
      <c r="L847" s="754"/>
      <c r="M847" s="754"/>
      <c r="N847" s="754"/>
      <c r="O847" s="754"/>
      <c r="P847" s="755"/>
      <c r="Q847" s="754">
        <f>IF(AH846&gt;10000,-2,-1)</f>
        <v>-1</v>
      </c>
      <c r="R847" s="1469">
        <f>IF(R846&gt;100000,-4,IF(R846&gt;10000,-3,IF(R846&gt;1000,-2,$Q847)))</f>
        <v>-1</v>
      </c>
      <c r="S847" s="1470"/>
      <c r="T847" s="1470"/>
      <c r="U847" s="1470"/>
      <c r="V847" s="1469">
        <f>IF(V846&gt;100000,-4,IF(V846&gt;10000,-3,IF(V846&gt;1000,-2,$Q847)))</f>
        <v>-1</v>
      </c>
      <c r="W847" s="1470"/>
      <c r="X847" s="1470"/>
      <c r="Y847" s="1470"/>
      <c r="Z847" s="1469">
        <f>IF(Z846&gt;100000,-4,IF(Z846&gt;10000,-3,IF(Z846&gt;1000,-2,$Q847)))</f>
        <v>-1</v>
      </c>
      <c r="AA847" s="1470"/>
      <c r="AB847" s="1470"/>
      <c r="AC847" s="1470"/>
      <c r="AD847" s="1469">
        <f>IF(AD846&gt;100000,-4,IF(AD846&gt;10000,-3,IF(AD846&gt;1000,-2,$Q847)))</f>
        <v>-1</v>
      </c>
      <c r="AE847" s="1470"/>
      <c r="AF847" s="1470"/>
      <c r="AG847" s="1470"/>
      <c r="AH847" s="1469">
        <f t="shared" ref="AH847" si="121">IF(AH846&gt;100000,-4,IF(AH846&gt;10000,-3,IF(AH846&gt;1000,-2,-1)))</f>
        <v>-1</v>
      </c>
      <c r="AI847" s="1470"/>
      <c r="AJ847" s="1470"/>
      <c r="AK847" s="1470"/>
      <c r="AL847" s="861"/>
      <c r="AM847" s="861"/>
      <c r="AN847" s="754"/>
      <c r="AO847" s="754">
        <f>IF(BF846&gt;10000,-2,-1)</f>
        <v>-1</v>
      </c>
      <c r="AP847" s="1469">
        <f>IF(AP846&gt;100000,-4,IF(AP846&gt;10000,-3,IF(AP846&gt;1000,-2,$Q847)))</f>
        <v>-1</v>
      </c>
      <c r="AQ847" s="1470"/>
      <c r="AR847" s="1470"/>
      <c r="AS847" s="1470"/>
      <c r="AT847" s="1469">
        <f>IF(AT846&gt;100000,-4,IF(AT846&gt;10000,-3,IF(AT846&gt;1000,-2,$Q847)))</f>
        <v>-1</v>
      </c>
      <c r="AU847" s="1470"/>
      <c r="AV847" s="1470"/>
      <c r="AW847" s="1470"/>
      <c r="AX847" s="1469">
        <f>IF(AX846&gt;100000,-4,IF(AX846&gt;10000,-3,IF(AX846&gt;1000,-2,$Q847)))</f>
        <v>-1</v>
      </c>
      <c r="AY847" s="1470"/>
      <c r="AZ847" s="1470"/>
      <c r="BA847" s="1470"/>
      <c r="BB847" s="1469">
        <f>IF(BB846&gt;100000,-4,IF(BB846&gt;10000,-3,IF(BB846&gt;1000,-2,$Q847)))</f>
        <v>-1</v>
      </c>
      <c r="BC847" s="1470"/>
      <c r="BD847" s="1470"/>
      <c r="BE847" s="1470"/>
      <c r="BF847" s="1469">
        <f t="shared" ref="BF847" si="122">IF(BF846&gt;100000,-4,IF(BF846&gt;10000,-3,IF(BF846&gt;1000,-2,-1)))</f>
        <v>-1</v>
      </c>
      <c r="BG847" s="1470"/>
      <c r="BH847" s="1470"/>
      <c r="BI847" s="1470"/>
      <c r="BJ847" s="763"/>
      <c r="BL847" s="28"/>
      <c r="BM847" s="139"/>
      <c r="BP847" s="756"/>
      <c r="BQ847" s="756"/>
      <c r="BR847" s="756"/>
      <c r="BS847" s="756"/>
      <c r="BT847" s="756"/>
      <c r="BU847" s="756"/>
      <c r="BV847" s="756"/>
      <c r="BW847" s="756"/>
      <c r="BX847" s="756"/>
    </row>
    <row r="848" spans="2:76" hidden="1" outlineLevel="1">
      <c r="D848" s="852" t="s">
        <v>944</v>
      </c>
      <c r="E848" s="852"/>
      <c r="O848" s="61" t="s">
        <v>199</v>
      </c>
      <c r="P848" s="61"/>
      <c r="Q848" s="754"/>
      <c r="R848" s="1451">
        <f>ROUND(R846,R847)</f>
        <v>0</v>
      </c>
      <c r="S848" s="1467"/>
      <c r="T848" s="1467"/>
      <c r="U848" s="1467"/>
      <c r="V848" s="1451">
        <f>ROUND(V846,V847)</f>
        <v>0</v>
      </c>
      <c r="W848" s="1467"/>
      <c r="X848" s="1467"/>
      <c r="Y848" s="1467"/>
      <c r="Z848" s="1451">
        <f>ROUND(Z846,Z847)</f>
        <v>0</v>
      </c>
      <c r="AA848" s="1467"/>
      <c r="AB848" s="1467"/>
      <c r="AC848" s="1467"/>
      <c r="AD848" s="1451">
        <f>ROUND(AD846,AD847)</f>
        <v>0</v>
      </c>
      <c r="AE848" s="1467"/>
      <c r="AF848" s="1467"/>
      <c r="AG848" s="1467"/>
      <c r="AH848" s="1451">
        <f>ROUND(AH846,AH847)</f>
        <v>0</v>
      </c>
      <c r="AI848" s="1467"/>
      <c r="AJ848" s="1467"/>
      <c r="AK848" s="1467"/>
      <c r="AO848" s="754"/>
      <c r="AP848" s="1451">
        <f>ROUND(AP846,AP847)</f>
        <v>0</v>
      </c>
      <c r="AQ848" s="1467"/>
      <c r="AR848" s="1467"/>
      <c r="AS848" s="1467"/>
      <c r="AT848" s="1451">
        <f>ROUND(AT846,AT847)</f>
        <v>0</v>
      </c>
      <c r="AU848" s="1467"/>
      <c r="AV848" s="1467"/>
      <c r="AW848" s="1467"/>
      <c r="AX848" s="1451">
        <f>ROUND(AX846,AX847)</f>
        <v>0</v>
      </c>
      <c r="AY848" s="1467"/>
      <c r="AZ848" s="1467"/>
      <c r="BA848" s="1467"/>
      <c r="BB848" s="1451">
        <f>ROUND(BB846,BB847)</f>
        <v>0</v>
      </c>
      <c r="BC848" s="1467"/>
      <c r="BD848" s="1467"/>
      <c r="BE848" s="1467"/>
      <c r="BF848" s="1451">
        <f>ROUND(BF846,BF847)</f>
        <v>0</v>
      </c>
      <c r="BG848" s="1467"/>
      <c r="BH848" s="1467"/>
      <c r="BI848" s="1467"/>
      <c r="BL848" s="28"/>
    </row>
    <row r="849" spans="2:76" hidden="1" outlineLevel="1">
      <c r="E849" s="852"/>
      <c r="O849" s="801"/>
      <c r="P849" s="801"/>
      <c r="Q849" s="872"/>
      <c r="R849" s="880"/>
      <c r="S849" s="881"/>
      <c r="T849" s="881"/>
      <c r="U849" s="881"/>
      <c r="V849" s="880"/>
      <c r="W849" s="881"/>
      <c r="X849" s="881"/>
      <c r="Y849" s="881"/>
      <c r="Z849" s="880"/>
      <c r="AA849" s="881"/>
      <c r="AB849" s="881"/>
      <c r="AC849" s="881"/>
      <c r="AD849" s="880"/>
      <c r="AE849" s="881"/>
      <c r="AF849" s="881"/>
      <c r="AG849" s="881"/>
      <c r="AH849" s="880"/>
      <c r="AI849" s="881"/>
      <c r="AJ849" s="881"/>
      <c r="AK849" s="881"/>
      <c r="AO849" s="872"/>
      <c r="AP849" s="913"/>
      <c r="AQ849" s="914"/>
      <c r="AR849" s="914"/>
      <c r="AS849" s="914"/>
      <c r="AT849" s="913"/>
      <c r="AU849" s="914"/>
      <c r="AV849" s="914"/>
      <c r="AW849" s="914"/>
      <c r="AX849" s="913"/>
      <c r="AY849" s="914"/>
      <c r="AZ849" s="914"/>
      <c r="BA849" s="914"/>
      <c r="BB849" s="913"/>
      <c r="BC849" s="914"/>
      <c r="BD849" s="914"/>
      <c r="BE849" s="914"/>
      <c r="BF849" s="913"/>
      <c r="BG849" s="914"/>
      <c r="BH849" s="914"/>
      <c r="BI849" s="914"/>
      <c r="BL849" s="28"/>
    </row>
    <row r="850" spans="2:76" hidden="1" outlineLevel="1">
      <c r="D850" s="398" t="s">
        <v>948</v>
      </c>
      <c r="E850" s="398"/>
      <c r="F850" s="398"/>
      <c r="G850" s="398"/>
      <c r="H850" s="398"/>
      <c r="I850" s="398"/>
      <c r="J850" s="398"/>
      <c r="K850" s="398"/>
      <c r="L850" s="398"/>
      <c r="M850" s="398"/>
      <c r="N850" s="398"/>
      <c r="O850" s="398" t="s">
        <v>108</v>
      </c>
      <c r="P850" s="227"/>
      <c r="Q850" s="398"/>
      <c r="R850" s="1451">
        <f>AI204</f>
        <v>0</v>
      </c>
      <c r="S850" s="1467"/>
      <c r="T850" s="1467"/>
      <c r="U850" s="1467"/>
      <c r="V850" s="1451">
        <f>R850</f>
        <v>0</v>
      </c>
      <c r="W850" s="1467"/>
      <c r="X850" s="1467"/>
      <c r="Y850" s="1467"/>
      <c r="Z850" s="1451">
        <f>R850</f>
        <v>0</v>
      </c>
      <c r="AA850" s="1467"/>
      <c r="AB850" s="1467"/>
      <c r="AC850" s="1467"/>
      <c r="AD850" s="1451">
        <f>R850</f>
        <v>0</v>
      </c>
      <c r="AE850" s="1467"/>
      <c r="AF850" s="1467"/>
      <c r="AG850" s="1467"/>
      <c r="AI850" s="1498">
        <f>MAX(R850:AG850)</f>
        <v>0</v>
      </c>
      <c r="AJ850" s="1498"/>
      <c r="AK850" s="1498"/>
      <c r="AL850" s="31" t="s">
        <v>890</v>
      </c>
      <c r="AO850" s="398"/>
      <c r="AP850" s="1451">
        <f>BG204</f>
        <v>0</v>
      </c>
      <c r="AQ850" s="1467"/>
      <c r="AR850" s="1467"/>
      <c r="AS850" s="1467"/>
      <c r="AT850" s="1451">
        <f>AP850</f>
        <v>0</v>
      </c>
      <c r="AU850" s="1467"/>
      <c r="AV850" s="1467"/>
      <c r="AW850" s="1467"/>
      <c r="AX850" s="1451">
        <f>AP850</f>
        <v>0</v>
      </c>
      <c r="AY850" s="1467"/>
      <c r="AZ850" s="1467"/>
      <c r="BA850" s="1467"/>
      <c r="BB850" s="1451">
        <f>AP850</f>
        <v>0</v>
      </c>
      <c r="BC850" s="1467"/>
      <c r="BD850" s="1467"/>
      <c r="BE850" s="1467"/>
      <c r="BG850" s="1498">
        <f>MAX(AP850:BE850)</f>
        <v>0</v>
      </c>
      <c r="BH850" s="1498"/>
      <c r="BI850" s="1498"/>
      <c r="BJ850" s="31" t="s">
        <v>890</v>
      </c>
      <c r="BL850" s="28"/>
    </row>
    <row r="851" spans="2:76" hidden="1" outlineLevel="1">
      <c r="D851" s="398" t="s">
        <v>949</v>
      </c>
      <c r="E851" s="398"/>
      <c r="F851" s="398"/>
      <c r="G851" s="398"/>
      <c r="H851" s="398"/>
      <c r="I851" s="398"/>
      <c r="J851" s="398"/>
      <c r="K851" s="398"/>
      <c r="L851" s="398"/>
      <c r="M851" s="398"/>
      <c r="N851" s="398"/>
      <c r="O851" s="398" t="s">
        <v>108</v>
      </c>
      <c r="P851" s="227"/>
      <c r="Q851" s="398"/>
      <c r="R851" s="1451">
        <f>S134</f>
        <v>0</v>
      </c>
      <c r="S851" s="1467"/>
      <c r="T851" s="1467"/>
      <c r="U851" s="1467"/>
      <c r="V851" s="1451">
        <f>W134</f>
        <v>0</v>
      </c>
      <c r="W851" s="1467"/>
      <c r="X851" s="1467"/>
      <c r="Y851" s="1467"/>
      <c r="Z851" s="1451">
        <f>AA134</f>
        <v>0</v>
      </c>
      <c r="AA851" s="1467"/>
      <c r="AB851" s="1467"/>
      <c r="AC851" s="1467"/>
      <c r="AD851" s="1451">
        <f>AE134</f>
        <v>0</v>
      </c>
      <c r="AE851" s="1467"/>
      <c r="AF851" s="1467"/>
      <c r="AG851" s="1467"/>
      <c r="AH851" s="398"/>
      <c r="AI851" s="398"/>
      <c r="AJ851" s="398"/>
      <c r="AK851" s="398"/>
      <c r="AO851" s="398"/>
      <c r="AP851" s="1451">
        <f>AQ134</f>
        <v>0</v>
      </c>
      <c r="AQ851" s="1467"/>
      <c r="AR851" s="1467"/>
      <c r="AS851" s="1467"/>
      <c r="AT851" s="1451">
        <f>AU134</f>
        <v>0</v>
      </c>
      <c r="AU851" s="1467"/>
      <c r="AV851" s="1467"/>
      <c r="AW851" s="1467"/>
      <c r="AX851" s="1451">
        <f>AY134</f>
        <v>0</v>
      </c>
      <c r="AY851" s="1467"/>
      <c r="AZ851" s="1467"/>
      <c r="BA851" s="1467"/>
      <c r="BB851" s="1451">
        <f>BC134</f>
        <v>0</v>
      </c>
      <c r="BC851" s="1467"/>
      <c r="BD851" s="1467"/>
      <c r="BE851" s="1467"/>
      <c r="BF851" s="398"/>
      <c r="BG851" s="398"/>
      <c r="BH851" s="398"/>
      <c r="BI851" s="398"/>
      <c r="BL851" s="28"/>
    </row>
    <row r="852" spans="2:76" hidden="1" outlineLevel="1">
      <c r="D852" s="398" t="s">
        <v>919</v>
      </c>
      <c r="E852" s="398"/>
      <c r="F852" s="398"/>
      <c r="G852" s="398"/>
      <c r="H852" s="398"/>
      <c r="I852" s="398"/>
      <c r="J852" s="398"/>
      <c r="K852" s="398"/>
      <c r="L852" s="398"/>
      <c r="M852" s="398"/>
      <c r="N852" s="398"/>
      <c r="O852" s="398" t="s">
        <v>920</v>
      </c>
      <c r="P852" s="227"/>
      <c r="Q852" s="398"/>
      <c r="R852" s="1451">
        <f>IF(R851&gt;R850,0,R850-R851)</f>
        <v>0</v>
      </c>
      <c r="S852" s="1467"/>
      <c r="T852" s="1467"/>
      <c r="U852" s="1467"/>
      <c r="V852" s="1451">
        <f t="shared" ref="V852" si="123">IF(V851&gt;V850,0,V850-V851)</f>
        <v>0</v>
      </c>
      <c r="W852" s="1467"/>
      <c r="X852" s="1467"/>
      <c r="Y852" s="1467"/>
      <c r="Z852" s="1451">
        <f t="shared" ref="Z852" si="124">IF(Z851&gt;Z850,0,Z850-Z851)</f>
        <v>0</v>
      </c>
      <c r="AA852" s="1467"/>
      <c r="AB852" s="1467"/>
      <c r="AC852" s="1467"/>
      <c r="AD852" s="1451">
        <f t="shared" ref="AD852" si="125">IF(AD851&gt;AD850,0,AD850-AD851)</f>
        <v>0</v>
      </c>
      <c r="AE852" s="1467"/>
      <c r="AF852" s="1467"/>
      <c r="AG852" s="1467"/>
      <c r="AH852" s="398"/>
      <c r="AI852" s="1499">
        <f>AVERAGE(R852:AG852)</f>
        <v>0</v>
      </c>
      <c r="AJ852" s="1500"/>
      <c r="AK852" s="1500"/>
      <c r="AL852" s="31" t="s">
        <v>965</v>
      </c>
      <c r="AO852" s="398"/>
      <c r="AP852" s="1451">
        <f>IF(AP851&gt;AP850,0,AP850-AP851)</f>
        <v>0</v>
      </c>
      <c r="AQ852" s="1467"/>
      <c r="AR852" s="1467"/>
      <c r="AS852" s="1467"/>
      <c r="AT852" s="1451">
        <f t="shared" ref="AT852" si="126">IF(AT851&gt;AT850,0,AT850-AT851)</f>
        <v>0</v>
      </c>
      <c r="AU852" s="1467"/>
      <c r="AV852" s="1467"/>
      <c r="AW852" s="1467"/>
      <c r="AX852" s="1451">
        <f t="shared" ref="AX852" si="127">IF(AX851&gt;AX850,0,AX850-AX851)</f>
        <v>0</v>
      </c>
      <c r="AY852" s="1467"/>
      <c r="AZ852" s="1467"/>
      <c r="BA852" s="1467"/>
      <c r="BB852" s="1451">
        <f t="shared" ref="BB852" si="128">IF(BB851&gt;BB850,0,BB850-BB851)</f>
        <v>0</v>
      </c>
      <c r="BC852" s="1467"/>
      <c r="BD852" s="1467"/>
      <c r="BE852" s="1467"/>
      <c r="BF852" s="398"/>
      <c r="BG852" s="1499">
        <f>AVERAGE(AP852:BE852)</f>
        <v>0</v>
      </c>
      <c r="BH852" s="1500"/>
      <c r="BI852" s="1500"/>
      <c r="BJ852" s="31" t="s">
        <v>965</v>
      </c>
      <c r="BL852" s="28"/>
    </row>
    <row r="853" spans="2:76" hidden="1" outlineLevel="1">
      <c r="D853" s="398"/>
      <c r="E853" s="398"/>
      <c r="F853" s="398"/>
      <c r="G853" s="398"/>
      <c r="H853" s="398"/>
      <c r="I853" s="398"/>
      <c r="J853" s="398"/>
      <c r="K853" s="398"/>
      <c r="L853" s="398"/>
      <c r="M853" s="398"/>
      <c r="N853" s="398"/>
      <c r="O853" s="398"/>
      <c r="P853" s="227"/>
      <c r="Q853" s="398"/>
      <c r="R853" s="863"/>
      <c r="S853" s="228"/>
      <c r="T853" s="228"/>
      <c r="U853" s="228"/>
      <c r="V853" s="863"/>
      <c r="W853" s="228"/>
      <c r="X853" s="228"/>
      <c r="Y853" s="228"/>
      <c r="Z853" s="863"/>
      <c r="AA853" s="228"/>
      <c r="AB853" s="228"/>
      <c r="AC853" s="228"/>
      <c r="AD853" s="863"/>
      <c r="AE853" s="228"/>
      <c r="AF853" s="228"/>
      <c r="AG853" s="228"/>
      <c r="AH853" s="398"/>
      <c r="AI853" s="398"/>
      <c r="AJ853" s="398"/>
      <c r="AK853" s="398"/>
      <c r="AO853" s="398"/>
      <c r="AP853" s="903"/>
      <c r="AQ853" s="916"/>
      <c r="AR853" s="916"/>
      <c r="AS853" s="916"/>
      <c r="AT853" s="903"/>
      <c r="AU853" s="916"/>
      <c r="AV853" s="916"/>
      <c r="AW853" s="916"/>
      <c r="AX853" s="903"/>
      <c r="AY853" s="916"/>
      <c r="AZ853" s="916"/>
      <c r="BA853" s="916"/>
      <c r="BB853" s="903"/>
      <c r="BC853" s="916"/>
      <c r="BD853" s="916"/>
      <c r="BE853" s="916"/>
      <c r="BF853" s="398"/>
      <c r="BG853" s="398"/>
      <c r="BH853" s="398"/>
      <c r="BI853" s="398"/>
      <c r="BL853" s="28"/>
    </row>
    <row r="854" spans="2:76" hidden="1" outlineLevel="1">
      <c r="D854" s="398" t="s">
        <v>864</v>
      </c>
      <c r="O854" s="398" t="s">
        <v>950</v>
      </c>
      <c r="R854" s="1497">
        <v>2.5000000000000001E-2</v>
      </c>
      <c r="S854" s="1497"/>
      <c r="T854" s="1497"/>
      <c r="U854" s="1497"/>
      <c r="V854" s="1497">
        <v>2.5000000000000001E-2</v>
      </c>
      <c r="W854" s="1497"/>
      <c r="X854" s="1497"/>
      <c r="Y854" s="1497"/>
      <c r="Z854" s="1497">
        <v>2.5000000000000001E-2</v>
      </c>
      <c r="AA854" s="1497"/>
      <c r="AB854" s="1497"/>
      <c r="AC854" s="1497"/>
      <c r="AD854" s="1497">
        <v>2.5000000000000001E-2</v>
      </c>
      <c r="AE854" s="1497"/>
      <c r="AF854" s="1497"/>
      <c r="AG854" s="1497"/>
      <c r="AP854" s="1497">
        <v>2.5000000000000001E-2</v>
      </c>
      <c r="AQ854" s="1497"/>
      <c r="AR854" s="1497"/>
      <c r="AS854" s="1497"/>
      <c r="AT854" s="1497">
        <v>2.5000000000000001E-2</v>
      </c>
      <c r="AU854" s="1497"/>
      <c r="AV854" s="1497"/>
      <c r="AW854" s="1497"/>
      <c r="AX854" s="1497">
        <v>2.5000000000000001E-2</v>
      </c>
      <c r="AY854" s="1497"/>
      <c r="AZ854" s="1497"/>
      <c r="BA854" s="1497"/>
      <c r="BB854" s="1497">
        <v>2.5000000000000001E-2</v>
      </c>
      <c r="BC854" s="1497"/>
      <c r="BD854" s="1497"/>
      <c r="BE854" s="1497"/>
      <c r="BL854" s="28"/>
      <c r="BV854" s="750" t="s">
        <v>961</v>
      </c>
    </row>
    <row r="855" spans="2:76" hidden="1" outlineLevel="1">
      <c r="D855" s="398" t="s">
        <v>864</v>
      </c>
      <c r="O855" s="398" t="s">
        <v>30</v>
      </c>
      <c r="R855" s="1460">
        <f>R852*R854</f>
        <v>0</v>
      </c>
      <c r="S855" s="1460"/>
      <c r="T855" s="1460"/>
      <c r="U855" s="1460"/>
      <c r="V855" s="1460">
        <f>V852*V854</f>
        <v>0</v>
      </c>
      <c r="W855" s="1460"/>
      <c r="X855" s="1460"/>
      <c r="Y855" s="1460"/>
      <c r="Z855" s="1460">
        <f>Z852*Z854</f>
        <v>0</v>
      </c>
      <c r="AA855" s="1460"/>
      <c r="AB855" s="1460"/>
      <c r="AC855" s="1460"/>
      <c r="AD855" s="1460">
        <f>AD852*AD854</f>
        <v>0</v>
      </c>
      <c r="AE855" s="1460"/>
      <c r="AF855" s="1460"/>
      <c r="AG855" s="1460"/>
      <c r="AP855" s="1460">
        <f>AP852*AP854</f>
        <v>0</v>
      </c>
      <c r="AQ855" s="1460"/>
      <c r="AR855" s="1460"/>
      <c r="AS855" s="1460"/>
      <c r="AT855" s="1460">
        <f>AT852*AT854</f>
        <v>0</v>
      </c>
      <c r="AU855" s="1460"/>
      <c r="AV855" s="1460"/>
      <c r="AW855" s="1460"/>
      <c r="AX855" s="1460">
        <f>AX852*AX854</f>
        <v>0</v>
      </c>
      <c r="AY855" s="1460"/>
      <c r="AZ855" s="1460"/>
      <c r="BA855" s="1460"/>
      <c r="BB855" s="1460">
        <f>BB852*BB854</f>
        <v>0</v>
      </c>
      <c r="BC855" s="1460"/>
      <c r="BD855" s="1460"/>
      <c r="BE855" s="1460"/>
      <c r="BL855" s="28"/>
    </row>
    <row r="856" spans="2:76" hidden="1" outlineLevel="1">
      <c r="D856" s="398" t="s">
        <v>848</v>
      </c>
      <c r="O856" s="398" t="s">
        <v>30</v>
      </c>
      <c r="R856" s="1460">
        <f>IF(R843=0,0,R848/R843)</f>
        <v>0</v>
      </c>
      <c r="S856" s="1460"/>
      <c r="T856" s="1460"/>
      <c r="U856" s="1460"/>
      <c r="V856" s="1460">
        <f>IF(V843=0,0,V848/V843)</f>
        <v>0</v>
      </c>
      <c r="W856" s="1460"/>
      <c r="X856" s="1460"/>
      <c r="Y856" s="1460"/>
      <c r="Z856" s="1460">
        <f>IF(Z843=0,0,Z848/Z843)</f>
        <v>0</v>
      </c>
      <c r="AA856" s="1460"/>
      <c r="AB856" s="1460"/>
      <c r="AC856" s="1460"/>
      <c r="AD856" s="1460">
        <f>IF(AD843=0,0,AD848/AD843)</f>
        <v>0</v>
      </c>
      <c r="AE856" s="1460"/>
      <c r="AF856" s="1460"/>
      <c r="AG856" s="1460"/>
      <c r="AI856" s="1464">
        <f>AVERAGE(R856:AG856)</f>
        <v>0</v>
      </c>
      <c r="AJ856" s="1464"/>
      <c r="AK856" s="1464"/>
      <c r="AP856" s="1460">
        <f>IF(AP843=0,0,AP848/AP843)</f>
        <v>0</v>
      </c>
      <c r="AQ856" s="1460"/>
      <c r="AR856" s="1460"/>
      <c r="AS856" s="1460"/>
      <c r="AT856" s="1460">
        <f>IF(AT843=0,0,AT848/AT843)</f>
        <v>0</v>
      </c>
      <c r="AU856" s="1460"/>
      <c r="AV856" s="1460"/>
      <c r="AW856" s="1460"/>
      <c r="AX856" s="1460">
        <f>IF(AX843=0,0,AX848/AX843)</f>
        <v>0</v>
      </c>
      <c r="AY856" s="1460"/>
      <c r="AZ856" s="1460"/>
      <c r="BA856" s="1460"/>
      <c r="BB856" s="1460">
        <f>IF(BB843=0,0,BB848/BB843)</f>
        <v>0</v>
      </c>
      <c r="BC856" s="1460"/>
      <c r="BD856" s="1460"/>
      <c r="BE856" s="1460"/>
      <c r="BG856" s="1464">
        <f>AVERAGE(AP856:BE856)</f>
        <v>0</v>
      </c>
      <c r="BH856" s="1464"/>
      <c r="BI856" s="1464"/>
      <c r="BL856" s="28"/>
    </row>
    <row r="857" spans="2:76" hidden="1" outlineLevel="1">
      <c r="D857" s="398" t="s">
        <v>951</v>
      </c>
      <c r="E857" s="852"/>
      <c r="O857" s="801" t="s">
        <v>30</v>
      </c>
      <c r="P857" s="801"/>
      <c r="Q857" s="872"/>
      <c r="R857" s="1471">
        <f>R855*R856</f>
        <v>0</v>
      </c>
      <c r="S857" s="1471"/>
      <c r="T857" s="1471"/>
      <c r="U857" s="1471"/>
      <c r="V857" s="1471">
        <f>V855*V856</f>
        <v>0</v>
      </c>
      <c r="W857" s="1471"/>
      <c r="X857" s="1471"/>
      <c r="Y857" s="1471"/>
      <c r="Z857" s="1471">
        <f>Z855*Z856</f>
        <v>0</v>
      </c>
      <c r="AA857" s="1471"/>
      <c r="AB857" s="1471"/>
      <c r="AC857" s="1471"/>
      <c r="AD857" s="1471">
        <f>AD855*AD856</f>
        <v>0</v>
      </c>
      <c r="AE857" s="1471"/>
      <c r="AF857" s="1471"/>
      <c r="AG857" s="1471"/>
      <c r="AH857" s="880"/>
      <c r="AI857" s="881"/>
      <c r="AJ857" s="881"/>
      <c r="AK857" s="881"/>
      <c r="AO857" s="872"/>
      <c r="AP857" s="1471">
        <f>AP855*AP856</f>
        <v>0</v>
      </c>
      <c r="AQ857" s="1471"/>
      <c r="AR857" s="1471"/>
      <c r="AS857" s="1471"/>
      <c r="AT857" s="1471">
        <f>AT855*AT856</f>
        <v>0</v>
      </c>
      <c r="AU857" s="1471"/>
      <c r="AV857" s="1471"/>
      <c r="AW857" s="1471"/>
      <c r="AX857" s="1471">
        <f>AX855*AX856</f>
        <v>0</v>
      </c>
      <c r="AY857" s="1471"/>
      <c r="AZ857" s="1471"/>
      <c r="BA857" s="1471"/>
      <c r="BB857" s="1471">
        <f>BB855*BB856</f>
        <v>0</v>
      </c>
      <c r="BC857" s="1471"/>
      <c r="BD857" s="1471"/>
      <c r="BE857" s="1471"/>
      <c r="BF857" s="913"/>
      <c r="BG857" s="914"/>
      <c r="BH857" s="914"/>
      <c r="BI857" s="914"/>
      <c r="BL857" s="28"/>
    </row>
    <row r="858" spans="2:76" hidden="1" outlineLevel="1">
      <c r="D858" s="398" t="s">
        <v>952</v>
      </c>
      <c r="E858" s="852"/>
      <c r="O858" s="801" t="s">
        <v>199</v>
      </c>
      <c r="P858" s="801"/>
      <c r="Q858" s="872"/>
      <c r="R858" s="1465">
        <f>R318*R857</f>
        <v>0</v>
      </c>
      <c r="S858" s="1466"/>
      <c r="T858" s="1466"/>
      <c r="U858" s="1466"/>
      <c r="V858" s="1465">
        <f>V318*V857</f>
        <v>0</v>
      </c>
      <c r="W858" s="1466"/>
      <c r="X858" s="1466"/>
      <c r="Y858" s="1466"/>
      <c r="Z858" s="1465">
        <f>Z318*Z857</f>
        <v>0</v>
      </c>
      <c r="AA858" s="1466"/>
      <c r="AB858" s="1466"/>
      <c r="AC858" s="1466"/>
      <c r="AD858" s="1465">
        <f>AD318*AD857</f>
        <v>0</v>
      </c>
      <c r="AE858" s="1466"/>
      <c r="AF858" s="1466"/>
      <c r="AG858" s="1466"/>
      <c r="AH858" s="1465">
        <f>SUM(R858:AG858)</f>
        <v>0</v>
      </c>
      <c r="AI858" s="1466"/>
      <c r="AJ858" s="1466"/>
      <c r="AK858" s="1466"/>
      <c r="AO858" s="872"/>
      <c r="AP858" s="1465">
        <f>AP318*AP857</f>
        <v>0</v>
      </c>
      <c r="AQ858" s="1466"/>
      <c r="AR858" s="1466"/>
      <c r="AS858" s="1466"/>
      <c r="AT858" s="1465">
        <f>AT318*AT857</f>
        <v>0</v>
      </c>
      <c r="AU858" s="1466"/>
      <c r="AV858" s="1466"/>
      <c r="AW858" s="1466"/>
      <c r="AX858" s="1465">
        <f>AX318*AX857</f>
        <v>0</v>
      </c>
      <c r="AY858" s="1466"/>
      <c r="AZ858" s="1466"/>
      <c r="BA858" s="1466"/>
      <c r="BB858" s="1465">
        <f>BB318*BB857</f>
        <v>0</v>
      </c>
      <c r="BC858" s="1466"/>
      <c r="BD858" s="1466"/>
      <c r="BE858" s="1466"/>
      <c r="BF858" s="1465">
        <f>SUM(AP858:BE858)</f>
        <v>0</v>
      </c>
      <c r="BG858" s="1466"/>
      <c r="BH858" s="1466"/>
      <c r="BI858" s="1466"/>
      <c r="BL858" s="28"/>
    </row>
    <row r="859" spans="2:76" s="752" customFormat="1" ht="15.95" hidden="1" customHeight="1" outlineLevel="2">
      <c r="B859" s="751"/>
      <c r="E859" s="850"/>
      <c r="F859" s="850" t="s">
        <v>237</v>
      </c>
      <c r="G859" s="754"/>
      <c r="H859" s="754"/>
      <c r="I859" s="754"/>
      <c r="J859" s="754"/>
      <c r="K859" s="754"/>
      <c r="L859" s="754"/>
      <c r="M859" s="754"/>
      <c r="N859" s="754"/>
      <c r="O859" s="754"/>
      <c r="P859" s="755"/>
      <c r="Q859" s="754"/>
      <c r="R859" s="1469">
        <f>IF(R858&gt;100000,-4,IF(R858&gt;10000,-3,IF(R858&gt;1000,-2,-1)))</f>
        <v>-1</v>
      </c>
      <c r="S859" s="1470"/>
      <c r="T859" s="1470"/>
      <c r="U859" s="1470"/>
      <c r="V859" s="1469">
        <f t="shared" ref="V859" si="129">IF(V858&gt;100000,-4,IF(V858&gt;10000,-3,IF(V858&gt;1000,-2,-1)))</f>
        <v>-1</v>
      </c>
      <c r="W859" s="1470"/>
      <c r="X859" s="1470"/>
      <c r="Y859" s="1470"/>
      <c r="Z859" s="1469">
        <f t="shared" ref="Z859" si="130">IF(Z858&gt;100000,-4,IF(Z858&gt;10000,-3,IF(Z858&gt;1000,-2,-1)))</f>
        <v>-1</v>
      </c>
      <c r="AA859" s="1470"/>
      <c r="AB859" s="1470"/>
      <c r="AC859" s="1470"/>
      <c r="AD859" s="1469">
        <f t="shared" ref="AD859" si="131">IF(AD858&gt;100000,-4,IF(AD858&gt;10000,-3,IF(AD858&gt;1000,-2,-1)))</f>
        <v>-1</v>
      </c>
      <c r="AE859" s="1470"/>
      <c r="AF859" s="1470"/>
      <c r="AG859" s="1470"/>
      <c r="AH859" s="1469">
        <f t="shared" ref="AH859" si="132">IF(AH858&gt;100000,-4,IF(AH858&gt;10000,-3,IF(AH858&gt;1000,-2,-1)))</f>
        <v>-1</v>
      </c>
      <c r="AI859" s="1470"/>
      <c r="AJ859" s="1470"/>
      <c r="AK859" s="1470"/>
      <c r="AL859" s="861"/>
      <c r="AM859" s="861"/>
      <c r="AN859" s="754"/>
      <c r="AO859" s="754"/>
      <c r="AP859" s="1469">
        <f>IF(AP858&gt;100000,-4,IF(AP858&gt;10000,-3,IF(AP858&gt;1000,-2,-1)))</f>
        <v>-1</v>
      </c>
      <c r="AQ859" s="1470"/>
      <c r="AR859" s="1470"/>
      <c r="AS859" s="1470"/>
      <c r="AT859" s="1469">
        <f t="shared" ref="AT859" si="133">IF(AT858&gt;100000,-4,IF(AT858&gt;10000,-3,IF(AT858&gt;1000,-2,-1)))</f>
        <v>-1</v>
      </c>
      <c r="AU859" s="1470"/>
      <c r="AV859" s="1470"/>
      <c r="AW859" s="1470"/>
      <c r="AX859" s="1469">
        <f t="shared" ref="AX859" si="134">IF(AX858&gt;100000,-4,IF(AX858&gt;10000,-3,IF(AX858&gt;1000,-2,-1)))</f>
        <v>-1</v>
      </c>
      <c r="AY859" s="1470"/>
      <c r="AZ859" s="1470"/>
      <c r="BA859" s="1470"/>
      <c r="BB859" s="1469">
        <f t="shared" ref="BB859" si="135">IF(BB858&gt;100000,-4,IF(BB858&gt;10000,-3,IF(BB858&gt;1000,-2,-1)))</f>
        <v>-1</v>
      </c>
      <c r="BC859" s="1470"/>
      <c r="BD859" s="1470"/>
      <c r="BE859" s="1470"/>
      <c r="BF859" s="1469">
        <f t="shared" ref="BF859" si="136">IF(BF858&gt;100000,-4,IF(BF858&gt;10000,-3,IF(BF858&gt;1000,-2,-1)))</f>
        <v>-1</v>
      </c>
      <c r="BG859" s="1470"/>
      <c r="BH859" s="1470"/>
      <c r="BI859" s="1470"/>
      <c r="BJ859" s="763"/>
      <c r="BL859" s="28"/>
      <c r="BM859" s="139"/>
      <c r="BP859" s="756"/>
      <c r="BQ859" s="756"/>
      <c r="BR859" s="756"/>
      <c r="BS859" s="756"/>
      <c r="BT859" s="756"/>
      <c r="BU859" s="756"/>
      <c r="BV859" s="756"/>
      <c r="BW859" s="756"/>
      <c r="BX859" s="756"/>
    </row>
    <row r="860" spans="2:76" hidden="1" outlineLevel="1">
      <c r="D860" s="871" t="s">
        <v>953</v>
      </c>
      <c r="E860" s="852"/>
      <c r="O860" s="801" t="s">
        <v>199</v>
      </c>
      <c r="P860" s="801"/>
      <c r="Q860" s="872"/>
      <c r="R860" s="1465">
        <f>ROUND(R858,R859)</f>
        <v>0</v>
      </c>
      <c r="S860" s="1466"/>
      <c r="T860" s="1466"/>
      <c r="U860" s="1466"/>
      <c r="V860" s="1465">
        <f>ROUND(V858,V859)</f>
        <v>0</v>
      </c>
      <c r="W860" s="1466"/>
      <c r="X860" s="1466"/>
      <c r="Y860" s="1466"/>
      <c r="Z860" s="1465">
        <f>ROUND(Z858,Z859)</f>
        <v>0</v>
      </c>
      <c r="AA860" s="1466"/>
      <c r="AB860" s="1466"/>
      <c r="AC860" s="1466"/>
      <c r="AD860" s="1465">
        <f>ROUND(AD858,AD859)</f>
        <v>0</v>
      </c>
      <c r="AE860" s="1466"/>
      <c r="AF860" s="1466"/>
      <c r="AG860" s="1466"/>
      <c r="AH860" s="1465">
        <f>ROUND(AH858,AH859)</f>
        <v>0</v>
      </c>
      <c r="AI860" s="1466"/>
      <c r="AJ860" s="1466"/>
      <c r="AK860" s="1466"/>
      <c r="AO860" s="872"/>
      <c r="AP860" s="1465">
        <f>ROUND(AP858,AP859)</f>
        <v>0</v>
      </c>
      <c r="AQ860" s="1466"/>
      <c r="AR860" s="1466"/>
      <c r="AS860" s="1466"/>
      <c r="AT860" s="1465">
        <f>ROUND(AT858,AT859)</f>
        <v>0</v>
      </c>
      <c r="AU860" s="1466"/>
      <c r="AV860" s="1466"/>
      <c r="AW860" s="1466"/>
      <c r="AX860" s="1465">
        <f>ROUND(AX858,AX859)</f>
        <v>0</v>
      </c>
      <c r="AY860" s="1466"/>
      <c r="AZ860" s="1466"/>
      <c r="BA860" s="1466"/>
      <c r="BB860" s="1465">
        <f>ROUND(BB858,BB859)</f>
        <v>0</v>
      </c>
      <c r="BC860" s="1466"/>
      <c r="BD860" s="1466"/>
      <c r="BE860" s="1466"/>
      <c r="BF860" s="1465">
        <f>ROUND(BF858,BF859)</f>
        <v>0</v>
      </c>
      <c r="BG860" s="1466"/>
      <c r="BH860" s="1466"/>
      <c r="BI860" s="1466"/>
      <c r="BL860" s="28"/>
    </row>
    <row r="861" spans="2:76" hidden="1" outlineLevel="1">
      <c r="D861" s="871"/>
      <c r="E861" s="852"/>
      <c r="O861" s="801"/>
      <c r="P861" s="801"/>
      <c r="Q861" s="872"/>
      <c r="R861" s="913"/>
      <c r="S861" s="914"/>
      <c r="T861" s="914"/>
      <c r="U861" s="914"/>
      <c r="V861" s="913"/>
      <c r="W861" s="914"/>
      <c r="X861" s="914"/>
      <c r="Y861" s="914"/>
      <c r="Z861" s="913"/>
      <c r="AA861" s="914"/>
      <c r="AB861" s="914"/>
      <c r="AC861" s="914"/>
      <c r="AD861" s="913"/>
      <c r="AE861" s="914"/>
      <c r="AF861" s="914"/>
      <c r="AG861" s="914"/>
      <c r="AH861" s="913"/>
      <c r="AI861" s="914"/>
      <c r="AJ861" s="914"/>
      <c r="AK861" s="914"/>
      <c r="BL861" s="28"/>
    </row>
    <row r="862" spans="2:76" hidden="1" outlineLevel="1">
      <c r="D862" s="871"/>
      <c r="E862" s="852"/>
      <c r="O862" s="801"/>
      <c r="P862" s="801"/>
      <c r="Q862" s="872"/>
      <c r="R862" s="913"/>
      <c r="S862" s="914"/>
      <c r="T862" s="914"/>
      <c r="U862" s="914"/>
      <c r="V862" s="913"/>
      <c r="W862" s="914"/>
      <c r="X862" s="914"/>
      <c r="Y862" s="914"/>
      <c r="Z862" s="913"/>
      <c r="AA862" s="914"/>
      <c r="AB862" s="914"/>
      <c r="AC862" s="914"/>
      <c r="AD862" s="913"/>
      <c r="AE862" s="914"/>
      <c r="AF862" s="914"/>
      <c r="AG862" s="914"/>
      <c r="AH862" s="913"/>
      <c r="AI862" s="914"/>
      <c r="AJ862" s="914"/>
      <c r="AK862" s="914"/>
      <c r="BL862" s="28"/>
    </row>
    <row r="863" spans="2:76" hidden="1" outlineLevel="1">
      <c r="D863" s="398"/>
      <c r="E863" s="852"/>
      <c r="O863" s="801"/>
      <c r="P863" s="801"/>
      <c r="Q863" s="872"/>
      <c r="R863" s="251"/>
      <c r="S863" s="251"/>
      <c r="T863" s="251"/>
      <c r="U863" s="251"/>
      <c r="V863" s="251"/>
      <c r="W863" s="251"/>
      <c r="X863" s="251"/>
      <c r="Y863" s="251"/>
      <c r="Z863" s="251"/>
      <c r="AA863" s="251"/>
      <c r="AB863" s="251"/>
      <c r="AC863" s="251"/>
      <c r="AD863" s="251"/>
      <c r="AE863" s="251"/>
      <c r="AF863" s="251"/>
      <c r="AG863" s="251"/>
      <c r="AH863" s="880"/>
      <c r="AI863" s="881"/>
      <c r="AJ863" s="881"/>
      <c r="AK863" s="881"/>
      <c r="BL863" s="28"/>
    </row>
    <row r="864" spans="2:76" hidden="1" outlineLevel="1">
      <c r="E864" s="852"/>
      <c r="O864" s="801"/>
      <c r="P864" s="801"/>
      <c r="Q864" s="872"/>
      <c r="R864" s="880"/>
      <c r="S864" s="881"/>
      <c r="T864" s="881"/>
      <c r="U864" s="881"/>
      <c r="V864" s="880"/>
      <c r="W864" s="881"/>
      <c r="X864" s="881"/>
      <c r="Y864" s="881"/>
      <c r="Z864" s="880"/>
      <c r="AA864" s="881"/>
      <c r="AB864" s="881"/>
      <c r="AC864" s="881"/>
      <c r="AD864" s="880"/>
      <c r="AE864" s="881"/>
      <c r="AF864" s="881"/>
      <c r="AG864" s="881"/>
      <c r="AH864" s="880"/>
      <c r="AI864" s="881"/>
      <c r="AJ864" s="881"/>
      <c r="AK864" s="881"/>
      <c r="BL864" s="28"/>
    </row>
    <row r="865" spans="2:76" hidden="1" outlineLevel="1">
      <c r="D865" s="885" t="s">
        <v>967</v>
      </c>
      <c r="E865" s="885"/>
      <c r="F865" s="885"/>
      <c r="G865" s="885"/>
      <c r="H865" s="885"/>
      <c r="I865" s="885"/>
      <c r="J865" s="885"/>
      <c r="K865" s="885"/>
      <c r="L865" s="885"/>
      <c r="M865" s="885"/>
      <c r="N865" s="885"/>
      <c r="O865" s="885"/>
      <c r="P865" s="886"/>
      <c r="Q865" s="885"/>
      <c r="R865" s="885"/>
      <c r="S865" s="885"/>
      <c r="T865" s="885"/>
      <c r="U865" s="885"/>
      <c r="V865" s="885"/>
      <c r="W865" s="885"/>
      <c r="X865" s="885"/>
      <c r="Y865" s="885"/>
      <c r="Z865" s="885"/>
      <c r="AA865" s="885"/>
      <c r="AB865" s="885"/>
      <c r="AC865" s="885"/>
      <c r="AD865" s="885"/>
      <c r="AE865" s="885"/>
      <c r="AF865" s="885"/>
      <c r="AG865" s="885"/>
      <c r="AH865" s="885"/>
      <c r="AI865" s="885"/>
      <c r="AJ865" s="885"/>
      <c r="AK865" s="885"/>
      <c r="AL865" s="885"/>
      <c r="AM865" s="885"/>
      <c r="AN865" s="885"/>
      <c r="AO865" s="885"/>
      <c r="AP865" s="885"/>
      <c r="AQ865" s="885"/>
      <c r="AR865" s="885"/>
      <c r="AS865" s="885"/>
      <c r="AT865" s="885"/>
      <c r="AU865" s="885"/>
      <c r="AV865" s="885"/>
      <c r="AW865" s="885"/>
      <c r="AX865" s="885"/>
      <c r="AY865" s="885"/>
      <c r="AZ865" s="885"/>
      <c r="BA865" s="885"/>
      <c r="BB865" s="885"/>
      <c r="BC865" s="885"/>
      <c r="BD865" s="885"/>
      <c r="BE865" s="885"/>
      <c r="BF865" s="885"/>
      <c r="BG865" s="885"/>
      <c r="BH865" s="885"/>
      <c r="BI865" s="885"/>
      <c r="BJ865" s="885"/>
      <c r="BK865" s="885"/>
      <c r="BL865" s="28"/>
    </row>
    <row r="866" spans="2:76" s="752" customFormat="1" ht="15.95" hidden="1" customHeight="1" outlineLevel="1">
      <c r="B866" s="751"/>
      <c r="E866" s="852"/>
      <c r="F866" s="754"/>
      <c r="G866" s="754"/>
      <c r="H866" s="754"/>
      <c r="I866" s="754"/>
      <c r="J866" s="754"/>
      <c r="K866" s="754"/>
      <c r="L866" s="754"/>
      <c r="M866" s="754"/>
      <c r="N866" s="754"/>
      <c r="O866" s="754"/>
      <c r="P866" s="61"/>
      <c r="Q866" s="754"/>
      <c r="R866" s="843"/>
      <c r="S866" s="862"/>
      <c r="T866" s="862"/>
      <c r="U866" s="862"/>
      <c r="V866" s="843"/>
      <c r="W866" s="862"/>
      <c r="X866" s="862"/>
      <c r="Y866" s="862"/>
      <c r="Z866" s="843"/>
      <c r="AA866" s="862"/>
      <c r="AB866" s="862"/>
      <c r="AC866" s="862"/>
      <c r="AD866" s="843"/>
      <c r="AE866" s="862"/>
      <c r="AF866" s="862"/>
      <c r="AG866" s="862"/>
      <c r="AH866" s="754"/>
      <c r="AI866" s="860"/>
      <c r="AJ866" s="861"/>
      <c r="AK866" s="861"/>
      <c r="AL866" s="861"/>
      <c r="AM866" s="861"/>
      <c r="AN866" s="754"/>
      <c r="AO866" s="754"/>
      <c r="AP866" s="865"/>
      <c r="AQ866" s="865"/>
      <c r="AR866" s="865"/>
      <c r="AS866" s="865"/>
      <c r="AT866" s="865"/>
      <c r="AU866" s="865"/>
      <c r="AV866" s="865"/>
      <c r="AW866" s="865"/>
      <c r="AX866" s="865"/>
      <c r="AY866" s="865"/>
      <c r="AZ866" s="865"/>
      <c r="BA866" s="865"/>
      <c r="BB866" s="865"/>
      <c r="BC866" s="865"/>
      <c r="BD866" s="865"/>
      <c r="BE866" s="865"/>
      <c r="BF866" s="754"/>
      <c r="BG866" s="860"/>
      <c r="BH866" s="861"/>
      <c r="BI866" s="861"/>
      <c r="BJ866" s="763"/>
      <c r="BL866" s="28"/>
      <c r="BM866" s="139"/>
      <c r="BP866" s="756"/>
      <c r="BQ866" s="756"/>
      <c r="BR866" s="756"/>
      <c r="BS866" s="756"/>
      <c r="BT866" s="756"/>
      <c r="BU866" s="756"/>
      <c r="BV866" s="756"/>
      <c r="BW866" s="756"/>
      <c r="BX866" s="756"/>
    </row>
    <row r="867" spans="2:76" ht="12.95" hidden="1" customHeight="1" outlineLevel="1">
      <c r="B867" s="147"/>
      <c r="C867" s="31"/>
      <c r="D867" s="883"/>
      <c r="E867" s="86"/>
      <c r="F867" s="86"/>
      <c r="G867" s="86"/>
      <c r="H867" s="52"/>
      <c r="I867" s="52"/>
      <c r="J867" s="52"/>
      <c r="K867" s="52"/>
      <c r="L867" s="52"/>
      <c r="M867" s="52"/>
      <c r="N867" s="52"/>
      <c r="O867" s="52"/>
      <c r="P867" s="640"/>
      <c r="Q867" s="52"/>
      <c r="R867" s="1449" t="str">
        <f>R842</f>
        <v>Frühling</v>
      </c>
      <c r="S867" s="1449"/>
      <c r="T867" s="1449"/>
      <c r="U867" s="1449"/>
      <c r="V867" s="1449" t="str">
        <f>V842</f>
        <v>Sommer</v>
      </c>
      <c r="W867" s="1449"/>
      <c r="X867" s="1449"/>
      <c r="Y867" s="1449"/>
      <c r="Z867" s="1449" t="str">
        <f>Z842</f>
        <v>Herbst</v>
      </c>
      <c r="AA867" s="1449"/>
      <c r="AB867" s="1449"/>
      <c r="AC867" s="1449"/>
      <c r="AD867" s="1449" t="str">
        <f>AD842</f>
        <v>Winter</v>
      </c>
      <c r="AE867" s="1449"/>
      <c r="AF867" s="1449"/>
      <c r="AG867" s="1449"/>
      <c r="AH867" s="1449" t="str">
        <f>AH842</f>
        <v>Jahr</v>
      </c>
      <c r="AI867" s="1449"/>
      <c r="AJ867" s="1449"/>
      <c r="AK867" s="1449"/>
      <c r="AL867" s="52"/>
      <c r="AM867" s="52"/>
      <c r="AN867" s="52"/>
      <c r="AO867" s="52"/>
      <c r="AP867" s="52"/>
      <c r="AQ867" s="1482" t="str">
        <f>R867</f>
        <v>Frühling</v>
      </c>
      <c r="AR867" s="1483"/>
      <c r="AS867" s="1483"/>
      <c r="AT867" s="640"/>
      <c r="AU867" s="1480" t="str">
        <f>V867</f>
        <v>Sommer</v>
      </c>
      <c r="AV867" s="1481"/>
      <c r="AW867" s="1481"/>
      <c r="AX867" s="640"/>
      <c r="AY867" s="1482" t="str">
        <f>Z867</f>
        <v>Herbst</v>
      </c>
      <c r="AZ867" s="1483"/>
      <c r="BA867" s="1483"/>
      <c r="BB867" s="640"/>
      <c r="BC867" s="1482" t="str">
        <f>AD867</f>
        <v>Winter</v>
      </c>
      <c r="BD867" s="1483"/>
      <c r="BE867" s="1483"/>
      <c r="BF867" s="640"/>
      <c r="BG867" s="1482" t="s">
        <v>117</v>
      </c>
      <c r="BH867" s="1483"/>
      <c r="BI867" s="1483"/>
      <c r="BJ867" s="763"/>
      <c r="BL867" s="28"/>
      <c r="BM867" s="139"/>
      <c r="BP867" s="28"/>
      <c r="BQ867" s="28"/>
      <c r="BR867" s="28"/>
      <c r="BS867" s="28"/>
      <c r="BT867" s="28"/>
      <c r="BU867" s="28"/>
      <c r="BV867" s="28"/>
      <c r="BW867" s="28"/>
      <c r="BX867" s="28"/>
    </row>
    <row r="868" spans="2:76" s="752" customFormat="1" ht="15.95" hidden="1" customHeight="1" outlineLevel="1">
      <c r="B868" s="751"/>
      <c r="D868" s="398" t="s">
        <v>945</v>
      </c>
      <c r="E868" s="852"/>
      <c r="F868" s="754"/>
      <c r="G868" s="754"/>
      <c r="H868" s="754"/>
      <c r="I868" s="754"/>
      <c r="J868" s="754"/>
      <c r="K868" s="754"/>
      <c r="L868" s="754"/>
      <c r="M868" s="754"/>
      <c r="N868" s="754"/>
      <c r="O868" s="61" t="s">
        <v>199</v>
      </c>
      <c r="P868" s="61"/>
      <c r="Q868" s="754"/>
      <c r="R868" s="1451">
        <f>R373+R387</f>
        <v>0</v>
      </c>
      <c r="S868" s="1467"/>
      <c r="T868" s="1467"/>
      <c r="U868" s="1467"/>
      <c r="V868" s="1451">
        <f>V373+V387</f>
        <v>0</v>
      </c>
      <c r="W868" s="1467"/>
      <c r="X868" s="1467"/>
      <c r="Y868" s="1467"/>
      <c r="Z868" s="1451">
        <f>Z373+Z387</f>
        <v>0</v>
      </c>
      <c r="AA868" s="1467"/>
      <c r="AB868" s="1467"/>
      <c r="AC868" s="1467"/>
      <c r="AD868" s="1451">
        <f>AD373+AD387</f>
        <v>0</v>
      </c>
      <c r="AE868" s="1467"/>
      <c r="AF868" s="1467"/>
      <c r="AG868" s="1467"/>
      <c r="AH868" s="1451">
        <f t="shared" ref="AH868" si="137">SUM(R868:AG868)</f>
        <v>0</v>
      </c>
      <c r="AI868" s="1451"/>
      <c r="AJ868" s="1451"/>
      <c r="AK868" s="1451"/>
      <c r="AL868" s="861"/>
      <c r="AM868" s="861"/>
      <c r="AN868" s="754"/>
      <c r="AO868" s="754"/>
      <c r="AP868" s="1451">
        <f>AP373+AP387</f>
        <v>0</v>
      </c>
      <c r="AQ868" s="1467"/>
      <c r="AR868" s="1467"/>
      <c r="AS868" s="1467"/>
      <c r="AT868" s="1451">
        <f>AT373+AT387</f>
        <v>0</v>
      </c>
      <c r="AU868" s="1467"/>
      <c r="AV868" s="1467"/>
      <c r="AW868" s="1467"/>
      <c r="AX868" s="1451">
        <f>AX373+AX387</f>
        <v>0</v>
      </c>
      <c r="AY868" s="1467"/>
      <c r="AZ868" s="1467"/>
      <c r="BA868" s="1467"/>
      <c r="BB868" s="1451">
        <f>BB373+BB387</f>
        <v>0</v>
      </c>
      <c r="BC868" s="1467"/>
      <c r="BD868" s="1467"/>
      <c r="BE868" s="1467"/>
      <c r="BF868" s="1451">
        <f t="shared" ref="BF868" si="138">SUM(AP868:BE868)</f>
        <v>0</v>
      </c>
      <c r="BG868" s="1451"/>
      <c r="BH868" s="1451"/>
      <c r="BI868" s="1451"/>
      <c r="BJ868" s="879"/>
      <c r="BL868" s="28"/>
      <c r="BM868" s="139"/>
      <c r="BP868" s="756"/>
      <c r="BQ868" s="756"/>
      <c r="BR868" s="756"/>
      <c r="BS868" s="756"/>
      <c r="BT868" s="756"/>
      <c r="BU868" s="756"/>
      <c r="BV868" s="756"/>
      <c r="BW868" s="756"/>
      <c r="BX868" s="756"/>
    </row>
    <row r="869" spans="2:76" s="752" customFormat="1" ht="15.95" hidden="1" customHeight="1" outlineLevel="2">
      <c r="B869" s="751"/>
      <c r="E869" s="850"/>
      <c r="F869" s="850" t="s">
        <v>237</v>
      </c>
      <c r="G869" s="754"/>
      <c r="H869" s="754"/>
      <c r="I869" s="754"/>
      <c r="J869" s="754"/>
      <c r="K869" s="754"/>
      <c r="L869" s="754"/>
      <c r="M869" s="754"/>
      <c r="N869" s="754"/>
      <c r="O869" s="754"/>
      <c r="P869" s="755"/>
      <c r="Q869" s="754">
        <f>IF(AH868&gt;10000,-2,-1)</f>
        <v>-1</v>
      </c>
      <c r="R869" s="1469">
        <f>IF(R868&gt;100000,-4,IF(R868&gt;10000,-3,IF(R868&gt;1000,-2,$Q869)))</f>
        <v>-1</v>
      </c>
      <c r="S869" s="1470"/>
      <c r="T869" s="1470"/>
      <c r="U869" s="1470"/>
      <c r="V869" s="1469">
        <f>IF(V868&gt;100000,-4,IF(V868&gt;10000,-3,IF(V868&gt;1000,-2,$Q869)))</f>
        <v>-1</v>
      </c>
      <c r="W869" s="1470"/>
      <c r="X869" s="1470"/>
      <c r="Y869" s="1470"/>
      <c r="Z869" s="1469">
        <f>IF(Z868&gt;100000,-4,IF(Z868&gt;10000,-3,IF(Z868&gt;1000,-2,$Q869)))</f>
        <v>-1</v>
      </c>
      <c r="AA869" s="1470"/>
      <c r="AB869" s="1470"/>
      <c r="AC869" s="1470"/>
      <c r="AD869" s="1469">
        <f>IF(AD868&gt;100000,-4,IF(AD868&gt;10000,-3,IF(AD868&gt;1000,-2,$Q869)))</f>
        <v>-1</v>
      </c>
      <c r="AE869" s="1470"/>
      <c r="AF869" s="1470"/>
      <c r="AG869" s="1470"/>
      <c r="AH869" s="1469">
        <f t="shared" ref="AH869" si="139">IF(AH868&gt;100000,-4,IF(AH868&gt;10000,-3,IF(AH868&gt;1000,-2,-1)))</f>
        <v>-1</v>
      </c>
      <c r="AI869" s="1470"/>
      <c r="AJ869" s="1470"/>
      <c r="AK869" s="1470"/>
      <c r="AL869" s="888"/>
      <c r="AM869" s="888"/>
      <c r="AN869" s="754"/>
      <c r="AO869" s="754">
        <f>IF(BF868&gt;10000,-2,-1)</f>
        <v>-1</v>
      </c>
      <c r="AP869" s="1469">
        <f>IF(AP868&gt;100000,-4,IF(AP868&gt;10000,-3,IF(AP868&gt;1000,-2,$Q869)))</f>
        <v>-1</v>
      </c>
      <c r="AQ869" s="1470"/>
      <c r="AR869" s="1470"/>
      <c r="AS869" s="1470"/>
      <c r="AT869" s="1469">
        <f>IF(AT868&gt;100000,-4,IF(AT868&gt;10000,-3,IF(AT868&gt;1000,-2,$Q869)))</f>
        <v>-1</v>
      </c>
      <c r="AU869" s="1470"/>
      <c r="AV869" s="1470"/>
      <c r="AW869" s="1470"/>
      <c r="AX869" s="1469">
        <f>IF(AX868&gt;100000,-4,IF(AX868&gt;10000,-3,IF(AX868&gt;1000,-2,$Q869)))</f>
        <v>-1</v>
      </c>
      <c r="AY869" s="1470"/>
      <c r="AZ869" s="1470"/>
      <c r="BA869" s="1470"/>
      <c r="BB869" s="1469">
        <f>IF(BB868&gt;100000,-4,IF(BB868&gt;10000,-3,IF(BB868&gt;1000,-2,$Q869)))</f>
        <v>-1</v>
      </c>
      <c r="BC869" s="1470"/>
      <c r="BD869" s="1470"/>
      <c r="BE869" s="1470"/>
      <c r="BF869" s="1469">
        <f t="shared" ref="BF869" si="140">IF(BF868&gt;100000,-4,IF(BF868&gt;10000,-3,IF(BF868&gt;1000,-2,-1)))</f>
        <v>-1</v>
      </c>
      <c r="BG869" s="1470"/>
      <c r="BH869" s="1470"/>
      <c r="BI869" s="1470"/>
      <c r="BJ869" s="763"/>
      <c r="BL869" s="28"/>
      <c r="BM869" s="139"/>
      <c r="BP869" s="756"/>
      <c r="BQ869" s="756"/>
      <c r="BR869" s="756"/>
      <c r="BS869" s="756"/>
      <c r="BT869" s="756"/>
      <c r="BU869" s="756"/>
      <c r="BV869" s="756"/>
      <c r="BW869" s="756"/>
      <c r="BX869" s="756"/>
    </row>
    <row r="870" spans="2:76" hidden="1" outlineLevel="1">
      <c r="D870" s="882" t="s">
        <v>945</v>
      </c>
      <c r="E870" s="852"/>
      <c r="O870" s="801" t="s">
        <v>199</v>
      </c>
      <c r="P870" s="801"/>
      <c r="Q870" s="872"/>
      <c r="R870" s="1465">
        <f>ROUND(R868,R869)</f>
        <v>0</v>
      </c>
      <c r="S870" s="1466"/>
      <c r="T870" s="1466"/>
      <c r="U870" s="1466"/>
      <c r="V870" s="1465">
        <f>ROUND(V868,V869)</f>
        <v>0</v>
      </c>
      <c r="W870" s="1466"/>
      <c r="X870" s="1466"/>
      <c r="Y870" s="1466"/>
      <c r="Z870" s="1465">
        <f>ROUND(Z868,Z869)</f>
        <v>0</v>
      </c>
      <c r="AA870" s="1466"/>
      <c r="AB870" s="1466"/>
      <c r="AC870" s="1466"/>
      <c r="AD870" s="1465">
        <f>ROUND(AD868,AD869)</f>
        <v>0</v>
      </c>
      <c r="AE870" s="1466"/>
      <c r="AF870" s="1466"/>
      <c r="AG870" s="1466"/>
      <c r="AH870" s="1465">
        <f>ROUND(AH868,AH869)</f>
        <v>0</v>
      </c>
      <c r="AI870" s="1466"/>
      <c r="AJ870" s="1466"/>
      <c r="AK870" s="1466"/>
      <c r="AO870" s="872"/>
      <c r="AP870" s="1465">
        <f>ROUND(AP868,AP869)</f>
        <v>0</v>
      </c>
      <c r="AQ870" s="1466"/>
      <c r="AR870" s="1466"/>
      <c r="AS870" s="1466"/>
      <c r="AT870" s="1465">
        <f>ROUND(AT868,AT869)</f>
        <v>0</v>
      </c>
      <c r="AU870" s="1466"/>
      <c r="AV870" s="1466"/>
      <c r="AW870" s="1466"/>
      <c r="AX870" s="1465">
        <f>ROUND(AX868,AX869)</f>
        <v>0</v>
      </c>
      <c r="AY870" s="1466"/>
      <c r="AZ870" s="1466"/>
      <c r="BA870" s="1466"/>
      <c r="BB870" s="1465">
        <f>ROUND(BB868,BB869)</f>
        <v>0</v>
      </c>
      <c r="BC870" s="1466"/>
      <c r="BD870" s="1466"/>
      <c r="BE870" s="1466"/>
      <c r="BF870" s="1465">
        <f>ROUND(BF868,BF869)</f>
        <v>0</v>
      </c>
      <c r="BG870" s="1466"/>
      <c r="BH870" s="1466"/>
      <c r="BI870" s="1466"/>
      <c r="BL870" s="28"/>
    </row>
    <row r="871" spans="2:76" hidden="1" outlineLevel="1">
      <c r="BL871" s="28"/>
    </row>
    <row r="872" spans="2:76" s="398" customFormat="1" hidden="1" outlineLevel="1">
      <c r="C872" s="887"/>
      <c r="D872" s="852" t="s">
        <v>944</v>
      </c>
      <c r="E872" s="852"/>
      <c r="O872" s="61" t="s">
        <v>199</v>
      </c>
      <c r="P872" s="61"/>
      <c r="Q872" s="754"/>
      <c r="R872" s="1451">
        <f>IF(R837&gt;R868,R868,R837)</f>
        <v>0</v>
      </c>
      <c r="S872" s="1467"/>
      <c r="T872" s="1467"/>
      <c r="U872" s="1467"/>
      <c r="V872" s="1451">
        <f>IF(V837&gt;V868,V868,V837)</f>
        <v>0</v>
      </c>
      <c r="W872" s="1467"/>
      <c r="X872" s="1467"/>
      <c r="Y872" s="1467"/>
      <c r="Z872" s="1451">
        <f>IF(Z837&gt;Z868,Z868,Z837)</f>
        <v>0</v>
      </c>
      <c r="AA872" s="1467"/>
      <c r="AB872" s="1467"/>
      <c r="AC872" s="1467"/>
      <c r="AD872" s="1451">
        <f>IF(AD837&gt;AD868,AD868,AD837)</f>
        <v>0</v>
      </c>
      <c r="AE872" s="1467"/>
      <c r="AF872" s="1467"/>
      <c r="AG872" s="1467"/>
      <c r="AH872" s="1451">
        <f>SUM(R872:AG872)</f>
        <v>0</v>
      </c>
      <c r="AI872" s="1451"/>
      <c r="AJ872" s="1451"/>
      <c r="AK872" s="1451"/>
      <c r="AO872" s="754"/>
      <c r="AP872" s="1451">
        <f>IF(AP837&gt;AP868,AP868,AP837)</f>
        <v>0</v>
      </c>
      <c r="AQ872" s="1467"/>
      <c r="AR872" s="1467"/>
      <c r="AS872" s="1467"/>
      <c r="AT872" s="1451">
        <f>IF(AT837&gt;AT868,AT868,AT837)</f>
        <v>0</v>
      </c>
      <c r="AU872" s="1467"/>
      <c r="AV872" s="1467"/>
      <c r="AW872" s="1467"/>
      <c r="AX872" s="1451">
        <f>IF(AX837&gt;AX868,AX868,AX837)</f>
        <v>0</v>
      </c>
      <c r="AY872" s="1467"/>
      <c r="AZ872" s="1467"/>
      <c r="BA872" s="1467"/>
      <c r="BB872" s="1451">
        <f>IF(BB837&gt;BB868,BB868,BB837)</f>
        <v>0</v>
      </c>
      <c r="BC872" s="1467"/>
      <c r="BD872" s="1467"/>
      <c r="BE872" s="1467"/>
      <c r="BF872" s="1451">
        <f>SUM(AP872:BE872)</f>
        <v>0</v>
      </c>
      <c r="BG872" s="1451"/>
      <c r="BH872" s="1451"/>
      <c r="BI872" s="1451"/>
      <c r="BL872" s="28"/>
    </row>
    <row r="873" spans="2:76" s="752" customFormat="1" ht="15.95" hidden="1" customHeight="1" outlineLevel="2">
      <c r="B873" s="751"/>
      <c r="E873" s="850"/>
      <c r="F873" s="850" t="s">
        <v>237</v>
      </c>
      <c r="G873" s="754"/>
      <c r="H873" s="754"/>
      <c r="I873" s="754"/>
      <c r="J873" s="754"/>
      <c r="K873" s="754"/>
      <c r="L873" s="754"/>
      <c r="M873" s="754"/>
      <c r="N873" s="754"/>
      <c r="O873" s="754"/>
      <c r="P873" s="755"/>
      <c r="Q873" s="754">
        <f>IF(AH872&gt;10000,-2,-1)</f>
        <v>-1</v>
      </c>
      <c r="R873" s="1469">
        <f>IF(R872&gt;100000,-4,IF(R872&gt;10000,-3,IF(R872&gt;1000,-2,$Q873)))</f>
        <v>-1</v>
      </c>
      <c r="S873" s="1470"/>
      <c r="T873" s="1470"/>
      <c r="U873" s="1470"/>
      <c r="V873" s="1469">
        <f>IF(V872&gt;100000,-4,IF(V872&gt;10000,-3,IF(V872&gt;1000,-2,$Q873)))</f>
        <v>-1</v>
      </c>
      <c r="W873" s="1470"/>
      <c r="X873" s="1470"/>
      <c r="Y873" s="1470"/>
      <c r="Z873" s="1469">
        <f>IF(Z872&gt;100000,-4,IF(Z872&gt;10000,-3,IF(Z872&gt;1000,-2,$Q873)))</f>
        <v>-1</v>
      </c>
      <c r="AA873" s="1470"/>
      <c r="AB873" s="1470"/>
      <c r="AC873" s="1470"/>
      <c r="AD873" s="1469">
        <f>IF(AD872&gt;100000,-4,IF(AD872&gt;10000,-3,IF(AD872&gt;1000,-2,$Q873)))</f>
        <v>-1</v>
      </c>
      <c r="AE873" s="1470"/>
      <c r="AF873" s="1470"/>
      <c r="AG873" s="1470"/>
      <c r="AH873" s="1469">
        <f t="shared" ref="AH873" si="141">IF(AH872&gt;100000,-4,IF(AH872&gt;10000,-3,IF(AH872&gt;1000,-2,-1)))</f>
        <v>-1</v>
      </c>
      <c r="AI873" s="1470"/>
      <c r="AJ873" s="1470"/>
      <c r="AK873" s="1470"/>
      <c r="AL873" s="861"/>
      <c r="AM873" s="861"/>
      <c r="AN873" s="754"/>
      <c r="AO873" s="754">
        <f>IF(BF872&gt;10000,-2,-1)</f>
        <v>-1</v>
      </c>
      <c r="AP873" s="1469">
        <f>IF(AP872&gt;100000,-4,IF(AP872&gt;10000,-3,IF(AP872&gt;1000,-2,$Q873)))</f>
        <v>-1</v>
      </c>
      <c r="AQ873" s="1470"/>
      <c r="AR873" s="1470"/>
      <c r="AS873" s="1470"/>
      <c r="AT873" s="1469">
        <f>IF(AT872&gt;100000,-4,IF(AT872&gt;10000,-3,IF(AT872&gt;1000,-2,$Q873)))</f>
        <v>-1</v>
      </c>
      <c r="AU873" s="1470"/>
      <c r="AV873" s="1470"/>
      <c r="AW873" s="1470"/>
      <c r="AX873" s="1469">
        <f>IF(AX872&gt;100000,-4,IF(AX872&gt;10000,-3,IF(AX872&gt;1000,-2,$Q873)))</f>
        <v>-1</v>
      </c>
      <c r="AY873" s="1470"/>
      <c r="AZ873" s="1470"/>
      <c r="BA873" s="1470"/>
      <c r="BB873" s="1469">
        <f>IF(BB872&gt;100000,-4,IF(BB872&gt;10000,-3,IF(BB872&gt;1000,-2,$Q873)))</f>
        <v>-1</v>
      </c>
      <c r="BC873" s="1470"/>
      <c r="BD873" s="1470"/>
      <c r="BE873" s="1470"/>
      <c r="BF873" s="1469">
        <f t="shared" ref="BF873" si="142">IF(BF872&gt;100000,-4,IF(BF872&gt;10000,-3,IF(BF872&gt;1000,-2,-1)))</f>
        <v>-1</v>
      </c>
      <c r="BG873" s="1470"/>
      <c r="BH873" s="1470"/>
      <c r="BI873" s="1470"/>
      <c r="BJ873" s="763"/>
      <c r="BL873" s="28"/>
      <c r="BM873" s="139"/>
      <c r="BP873" s="756"/>
      <c r="BQ873" s="756"/>
      <c r="BR873" s="756"/>
      <c r="BS873" s="756"/>
      <c r="BT873" s="756"/>
      <c r="BU873" s="756"/>
      <c r="BV873" s="756"/>
      <c r="BW873" s="756"/>
      <c r="BX873" s="756"/>
    </row>
    <row r="874" spans="2:76" hidden="1" outlineLevel="1">
      <c r="D874" s="871" t="s">
        <v>944</v>
      </c>
      <c r="E874" s="852"/>
      <c r="O874" s="801" t="s">
        <v>199</v>
      </c>
      <c r="P874" s="801"/>
      <c r="Q874" s="872"/>
      <c r="R874" s="1465">
        <f>ROUND(R872,R873)</f>
        <v>0</v>
      </c>
      <c r="S874" s="1466"/>
      <c r="T874" s="1466"/>
      <c r="U874" s="1466"/>
      <c r="V874" s="1465">
        <f>ROUND(V872,V873)</f>
        <v>0</v>
      </c>
      <c r="W874" s="1466"/>
      <c r="X874" s="1466"/>
      <c r="Y874" s="1466"/>
      <c r="Z874" s="1465">
        <f>ROUND(Z872,Z873)</f>
        <v>0</v>
      </c>
      <c r="AA874" s="1466"/>
      <c r="AB874" s="1466"/>
      <c r="AC874" s="1466"/>
      <c r="AD874" s="1465">
        <f>ROUND(AD872,AD873)</f>
        <v>0</v>
      </c>
      <c r="AE874" s="1466"/>
      <c r="AF874" s="1466"/>
      <c r="AG874" s="1466"/>
      <c r="AH874" s="1465">
        <f>ROUND(AH872,AH873)</f>
        <v>0</v>
      </c>
      <c r="AI874" s="1466"/>
      <c r="AJ874" s="1466"/>
      <c r="AK874" s="1466"/>
      <c r="AO874" s="872"/>
      <c r="AP874" s="1465">
        <f>ROUND(AP872,AP873)</f>
        <v>0</v>
      </c>
      <c r="AQ874" s="1466"/>
      <c r="AR874" s="1466"/>
      <c r="AS874" s="1466"/>
      <c r="AT874" s="1465">
        <f>ROUND(AT872,AT873)</f>
        <v>0</v>
      </c>
      <c r="AU874" s="1466"/>
      <c r="AV874" s="1466"/>
      <c r="AW874" s="1466"/>
      <c r="AX874" s="1465">
        <f>ROUND(AX872,AX873)</f>
        <v>0</v>
      </c>
      <c r="AY874" s="1466"/>
      <c r="AZ874" s="1466"/>
      <c r="BA874" s="1466"/>
      <c r="BB874" s="1465">
        <f>ROUND(BB872,BB873)</f>
        <v>0</v>
      </c>
      <c r="BC874" s="1466"/>
      <c r="BD874" s="1466"/>
      <c r="BE874" s="1466"/>
      <c r="BF874" s="1465">
        <f>ROUND(BF872,BF873)</f>
        <v>0</v>
      </c>
      <c r="BG874" s="1466"/>
      <c r="BH874" s="1466"/>
      <c r="BI874" s="1466"/>
      <c r="BL874" s="28"/>
    </row>
    <row r="875" spans="2:76" hidden="1" outlineLevel="1">
      <c r="E875" s="852"/>
      <c r="O875" s="801"/>
      <c r="P875" s="801"/>
      <c r="Q875" s="872"/>
      <c r="R875" s="880"/>
      <c r="S875" s="881"/>
      <c r="T875" s="881"/>
      <c r="U875" s="881"/>
      <c r="V875" s="880"/>
      <c r="W875" s="881"/>
      <c r="X875" s="881"/>
      <c r="Y875" s="881"/>
      <c r="Z875" s="880"/>
      <c r="AA875" s="881"/>
      <c r="AB875" s="881"/>
      <c r="AC875" s="881"/>
      <c r="AD875" s="880"/>
      <c r="AE875" s="881"/>
      <c r="AF875" s="881"/>
      <c r="AG875" s="881"/>
      <c r="AH875" s="880"/>
      <c r="AI875" s="881"/>
      <c r="AJ875" s="881"/>
      <c r="AK875" s="881"/>
      <c r="AO875" s="872"/>
      <c r="AP875" s="941"/>
      <c r="AQ875" s="942"/>
      <c r="AR875" s="942"/>
      <c r="AS875" s="942"/>
      <c r="AT875" s="941"/>
      <c r="AU875" s="942"/>
      <c r="AV875" s="942"/>
      <c r="AW875" s="942"/>
      <c r="AX875" s="941"/>
      <c r="AY875" s="942"/>
      <c r="AZ875" s="942"/>
      <c r="BA875" s="942"/>
      <c r="BB875" s="941"/>
      <c r="BC875" s="942"/>
      <c r="BD875" s="942"/>
      <c r="BE875" s="942"/>
      <c r="BF875" s="941"/>
      <c r="BG875" s="942"/>
      <c r="BH875" s="942"/>
      <c r="BI875" s="942"/>
      <c r="BL875" s="28"/>
    </row>
    <row r="876" spans="2:76" hidden="1" outlineLevel="1">
      <c r="D876" s="398" t="s">
        <v>948</v>
      </c>
      <c r="E876" s="398"/>
      <c r="F876" s="398"/>
      <c r="G876" s="398"/>
      <c r="H876" s="398"/>
      <c r="I876" s="398"/>
      <c r="J876" s="398"/>
      <c r="K876" s="398"/>
      <c r="L876" s="398"/>
      <c r="M876" s="398"/>
      <c r="N876" s="398"/>
      <c r="O876" s="398" t="s">
        <v>108</v>
      </c>
      <c r="P876" s="227"/>
      <c r="Q876" s="398"/>
      <c r="R876" s="1451">
        <f>R850</f>
        <v>0</v>
      </c>
      <c r="S876" s="1467"/>
      <c r="T876" s="1467"/>
      <c r="U876" s="1467"/>
      <c r="V876" s="1451">
        <f t="shared" ref="V876" si="143">V850</f>
        <v>0</v>
      </c>
      <c r="W876" s="1467"/>
      <c r="X876" s="1467"/>
      <c r="Y876" s="1467"/>
      <c r="Z876" s="1451">
        <f t="shared" ref="Z876" si="144">Z850</f>
        <v>0</v>
      </c>
      <c r="AA876" s="1467"/>
      <c r="AB876" s="1467"/>
      <c r="AC876" s="1467"/>
      <c r="AD876" s="1451">
        <f t="shared" ref="AD876" si="145">AD850</f>
        <v>0</v>
      </c>
      <c r="AE876" s="1467"/>
      <c r="AF876" s="1467"/>
      <c r="AG876" s="1467"/>
      <c r="AH876" s="1451"/>
      <c r="AI876" s="1467"/>
      <c r="AJ876" s="1467"/>
      <c r="AK876" s="1467"/>
      <c r="AO876" s="398"/>
      <c r="AP876" s="1451">
        <f>AP850</f>
        <v>0</v>
      </c>
      <c r="AQ876" s="1467"/>
      <c r="AR876" s="1467"/>
      <c r="AS876" s="1467"/>
      <c r="AT876" s="1451">
        <f t="shared" ref="AT876:AT877" si="146">AT850</f>
        <v>0</v>
      </c>
      <c r="AU876" s="1467"/>
      <c r="AV876" s="1467"/>
      <c r="AW876" s="1467"/>
      <c r="AX876" s="1451">
        <f t="shared" ref="AX876:AX877" si="147">AX850</f>
        <v>0</v>
      </c>
      <c r="AY876" s="1467"/>
      <c r="AZ876" s="1467"/>
      <c r="BA876" s="1467"/>
      <c r="BB876" s="1451">
        <f t="shared" ref="BB876:BB877" si="148">BB850</f>
        <v>0</v>
      </c>
      <c r="BC876" s="1467"/>
      <c r="BD876" s="1467"/>
      <c r="BE876" s="1467"/>
      <c r="BF876" s="1451"/>
      <c r="BG876" s="1467"/>
      <c r="BH876" s="1467"/>
      <c r="BI876" s="1467"/>
      <c r="BL876" s="28"/>
    </row>
    <row r="877" spans="2:76" hidden="1" outlineLevel="1">
      <c r="D877" s="398" t="s">
        <v>949</v>
      </c>
      <c r="E877" s="398"/>
      <c r="F877" s="398"/>
      <c r="G877" s="398"/>
      <c r="H877" s="398"/>
      <c r="I877" s="398"/>
      <c r="J877" s="398"/>
      <c r="K877" s="398"/>
      <c r="L877" s="398"/>
      <c r="M877" s="398"/>
      <c r="N877" s="398"/>
      <c r="O877" s="398" t="s">
        <v>108</v>
      </c>
      <c r="P877" s="227"/>
      <c r="Q877" s="398"/>
      <c r="R877" s="1451">
        <f>R851</f>
        <v>0</v>
      </c>
      <c r="S877" s="1467"/>
      <c r="T877" s="1467"/>
      <c r="U877" s="1467"/>
      <c r="V877" s="1451">
        <f t="shared" ref="V877" si="149">V851</f>
        <v>0</v>
      </c>
      <c r="W877" s="1467"/>
      <c r="X877" s="1467"/>
      <c r="Y877" s="1467"/>
      <c r="Z877" s="1451">
        <f t="shared" ref="Z877" si="150">Z851</f>
        <v>0</v>
      </c>
      <c r="AA877" s="1467"/>
      <c r="AB877" s="1467"/>
      <c r="AC877" s="1467"/>
      <c r="AD877" s="1451">
        <f t="shared" ref="AD877" si="151">AD851</f>
        <v>0</v>
      </c>
      <c r="AE877" s="1467"/>
      <c r="AF877" s="1467"/>
      <c r="AG877" s="1467"/>
      <c r="AH877" s="398"/>
      <c r="AI877" s="398"/>
      <c r="AJ877" s="398"/>
      <c r="AK877" s="398"/>
      <c r="AO877" s="398"/>
      <c r="AP877" s="1451">
        <f>AP851</f>
        <v>0</v>
      </c>
      <c r="AQ877" s="1467"/>
      <c r="AR877" s="1467"/>
      <c r="AS877" s="1467"/>
      <c r="AT877" s="1451">
        <f t="shared" si="146"/>
        <v>0</v>
      </c>
      <c r="AU877" s="1467"/>
      <c r="AV877" s="1467"/>
      <c r="AW877" s="1467"/>
      <c r="AX877" s="1451">
        <f t="shared" si="147"/>
        <v>0</v>
      </c>
      <c r="AY877" s="1467"/>
      <c r="AZ877" s="1467"/>
      <c r="BA877" s="1467"/>
      <c r="BB877" s="1451">
        <f t="shared" si="148"/>
        <v>0</v>
      </c>
      <c r="BC877" s="1467"/>
      <c r="BD877" s="1467"/>
      <c r="BE877" s="1467"/>
      <c r="BF877" s="398"/>
      <c r="BG877" s="398"/>
      <c r="BH877" s="398"/>
      <c r="BI877" s="398"/>
      <c r="BL877" s="28"/>
    </row>
    <row r="878" spans="2:76" hidden="1" outlineLevel="1">
      <c r="D878" s="398" t="s">
        <v>919</v>
      </c>
      <c r="E878" s="398"/>
      <c r="F878" s="398"/>
      <c r="G878" s="398"/>
      <c r="H878" s="398"/>
      <c r="I878" s="398"/>
      <c r="J878" s="398"/>
      <c r="K878" s="398"/>
      <c r="L878" s="398"/>
      <c r="M878" s="398"/>
      <c r="N878" s="398"/>
      <c r="O878" s="398" t="s">
        <v>920</v>
      </c>
      <c r="P878" s="227"/>
      <c r="Q878" s="398"/>
      <c r="R878" s="1451">
        <f>IF((R876-R877)&lt;0,0,(R876-R877))</f>
        <v>0</v>
      </c>
      <c r="S878" s="1467"/>
      <c r="T878" s="1467"/>
      <c r="U878" s="1467"/>
      <c r="V878" s="1451">
        <f t="shared" ref="V878" si="152">IF((V876-V877)&lt;0,0,(V876-V877))</f>
        <v>0</v>
      </c>
      <c r="W878" s="1467"/>
      <c r="X878" s="1467"/>
      <c r="Y878" s="1467"/>
      <c r="Z878" s="1451">
        <f t="shared" ref="Z878" si="153">IF((Z876-Z877)&lt;0,0,(Z876-Z877))</f>
        <v>0</v>
      </c>
      <c r="AA878" s="1467"/>
      <c r="AB878" s="1467"/>
      <c r="AC878" s="1467"/>
      <c r="AD878" s="1451">
        <f t="shared" ref="AD878" si="154">IF((AD876-AD877)&lt;0,0,(AD876-AD877))</f>
        <v>0</v>
      </c>
      <c r="AE878" s="1467"/>
      <c r="AF878" s="1467"/>
      <c r="AG878" s="1467"/>
      <c r="AH878" s="398"/>
      <c r="AI878" s="1475"/>
      <c r="AJ878" s="1475"/>
      <c r="AK878" s="1475"/>
      <c r="AO878" s="398"/>
      <c r="AP878" s="1451">
        <f t="shared" ref="AP878" si="155">IF((AP876-AP877)&lt;0,0,(AP876-AP877))</f>
        <v>0</v>
      </c>
      <c r="AQ878" s="1467"/>
      <c r="AR878" s="1467"/>
      <c r="AS878" s="1467"/>
      <c r="AT878" s="1451">
        <f t="shared" ref="AT878" si="156">IF((AT876-AT877)&lt;0,0,(AT876-AT877))</f>
        <v>0</v>
      </c>
      <c r="AU878" s="1467"/>
      <c r="AV878" s="1467"/>
      <c r="AW878" s="1467"/>
      <c r="AX878" s="1451">
        <f t="shared" ref="AX878" si="157">IF((AX876-AX877)&lt;0,0,(AX876-AX877))</f>
        <v>0</v>
      </c>
      <c r="AY878" s="1467"/>
      <c r="AZ878" s="1467"/>
      <c r="BA878" s="1467"/>
      <c r="BB878" s="1451">
        <f t="shared" ref="BB878" si="158">IF((BB876-BB877)&lt;0,0,(BB876-BB877))</f>
        <v>0</v>
      </c>
      <c r="BC878" s="1467"/>
      <c r="BD878" s="1467"/>
      <c r="BE878" s="1467"/>
      <c r="BF878" s="398"/>
      <c r="BG878" s="1475"/>
      <c r="BH878" s="1475"/>
      <c r="BI878" s="1475"/>
      <c r="BL878" s="28"/>
    </row>
    <row r="879" spans="2:76" hidden="1" outlineLevel="1">
      <c r="D879" s="398"/>
      <c r="E879" s="398"/>
      <c r="F879" s="398"/>
      <c r="G879" s="398"/>
      <c r="H879" s="398"/>
      <c r="I879" s="398"/>
      <c r="J879" s="398"/>
      <c r="K879" s="398"/>
      <c r="L879" s="398"/>
      <c r="M879" s="398"/>
      <c r="N879" s="398"/>
      <c r="O879" s="398"/>
      <c r="P879" s="227"/>
      <c r="Q879" s="398"/>
      <c r="R879" s="863"/>
      <c r="S879" s="228"/>
      <c r="T879" s="228"/>
      <c r="U879" s="228"/>
      <c r="V879" s="863"/>
      <c r="W879" s="228"/>
      <c r="X879" s="228"/>
      <c r="Y879" s="228"/>
      <c r="Z879" s="863"/>
      <c r="AA879" s="228"/>
      <c r="AB879" s="228"/>
      <c r="AC879" s="228"/>
      <c r="AD879" s="863"/>
      <c r="AE879" s="228"/>
      <c r="AF879" s="228"/>
      <c r="AG879" s="228"/>
      <c r="AH879" s="398"/>
      <c r="AI879" s="398"/>
      <c r="AJ879" s="398"/>
      <c r="AK879" s="398"/>
      <c r="AO879" s="398"/>
      <c r="AP879" s="940"/>
      <c r="AQ879" s="946"/>
      <c r="AR879" s="946"/>
      <c r="AS879" s="946"/>
      <c r="AT879" s="940"/>
      <c r="AU879" s="946"/>
      <c r="AV879" s="946"/>
      <c r="AW879" s="946"/>
      <c r="AX879" s="940"/>
      <c r="AY879" s="946"/>
      <c r="AZ879" s="946"/>
      <c r="BA879" s="946"/>
      <c r="BB879" s="940"/>
      <c r="BC879" s="946"/>
      <c r="BD879" s="946"/>
      <c r="BE879" s="946"/>
      <c r="BF879" s="398"/>
      <c r="BG879" s="398"/>
      <c r="BH879" s="398"/>
      <c r="BI879" s="398"/>
      <c r="BL879" s="28"/>
    </row>
    <row r="880" spans="2:76" hidden="1" outlineLevel="1">
      <c r="D880" s="398" t="s">
        <v>864</v>
      </c>
      <c r="O880" s="398" t="s">
        <v>950</v>
      </c>
      <c r="R880" s="1476">
        <v>2.5000000000000001E-2</v>
      </c>
      <c r="S880" s="1476"/>
      <c r="T880" s="1476"/>
      <c r="U880" s="1476"/>
      <c r="V880" s="1476">
        <v>2.5000000000000001E-2</v>
      </c>
      <c r="W880" s="1476"/>
      <c r="X880" s="1476"/>
      <c r="Y880" s="1476"/>
      <c r="Z880" s="1476">
        <v>2.5000000000000001E-2</v>
      </c>
      <c r="AA880" s="1476"/>
      <c r="AB880" s="1476"/>
      <c r="AC880" s="1476"/>
      <c r="AD880" s="1476">
        <v>2.5000000000000001E-2</v>
      </c>
      <c r="AE880" s="1476"/>
      <c r="AF880" s="1476"/>
      <c r="AG880" s="1476"/>
      <c r="AP880" s="1476">
        <v>2.5000000000000001E-2</v>
      </c>
      <c r="AQ880" s="1476"/>
      <c r="AR880" s="1476"/>
      <c r="AS880" s="1476"/>
      <c r="AT880" s="1476">
        <v>2.5000000000000001E-2</v>
      </c>
      <c r="AU880" s="1476"/>
      <c r="AV880" s="1476"/>
      <c r="AW880" s="1476"/>
      <c r="AX880" s="1476">
        <v>2.5000000000000001E-2</v>
      </c>
      <c r="AY880" s="1476"/>
      <c r="AZ880" s="1476"/>
      <c r="BA880" s="1476"/>
      <c r="BB880" s="1476">
        <v>2.5000000000000001E-2</v>
      </c>
      <c r="BC880" s="1476"/>
      <c r="BD880" s="1476"/>
      <c r="BE880" s="1476"/>
      <c r="BL880" s="28"/>
      <c r="BV880" s="750" t="s">
        <v>961</v>
      </c>
    </row>
    <row r="881" spans="2:76" hidden="1" outlineLevel="1">
      <c r="D881" s="398" t="s">
        <v>864</v>
      </c>
      <c r="O881" s="398" t="s">
        <v>30</v>
      </c>
      <c r="R881" s="1460">
        <f>R878*R880</f>
        <v>0</v>
      </c>
      <c r="S881" s="1460"/>
      <c r="T881" s="1460"/>
      <c r="U881" s="1460"/>
      <c r="V881" s="1460">
        <f>V878*V880</f>
        <v>0</v>
      </c>
      <c r="W881" s="1460"/>
      <c r="X881" s="1460"/>
      <c r="Y881" s="1460"/>
      <c r="Z881" s="1460">
        <f>Z878*Z880</f>
        <v>0</v>
      </c>
      <c r="AA881" s="1460"/>
      <c r="AB881" s="1460"/>
      <c r="AC881" s="1460"/>
      <c r="AD881" s="1460">
        <f>AD878*AD880</f>
        <v>0</v>
      </c>
      <c r="AE881" s="1460"/>
      <c r="AF881" s="1460"/>
      <c r="AG881" s="1460"/>
      <c r="AI881" s="1464"/>
      <c r="AJ881" s="1464"/>
      <c r="AK881" s="1464"/>
      <c r="AP881" s="1460">
        <f>AP878*AP880</f>
        <v>0</v>
      </c>
      <c r="AQ881" s="1460"/>
      <c r="AR881" s="1460"/>
      <c r="AS881" s="1460"/>
      <c r="AT881" s="1460">
        <f>AT878*AT880</f>
        <v>0</v>
      </c>
      <c r="AU881" s="1460"/>
      <c r="AV881" s="1460"/>
      <c r="AW881" s="1460"/>
      <c r="AX881" s="1460">
        <f>AX878*AX880</f>
        <v>0</v>
      </c>
      <c r="AY881" s="1460"/>
      <c r="AZ881" s="1460"/>
      <c r="BA881" s="1460"/>
      <c r="BB881" s="1460">
        <f>BB878*BB880</f>
        <v>0</v>
      </c>
      <c r="BC881" s="1460"/>
      <c r="BD881" s="1460"/>
      <c r="BE881" s="1460"/>
      <c r="BG881" s="1464"/>
      <c r="BH881" s="1464"/>
      <c r="BI881" s="1464"/>
      <c r="BL881" s="28"/>
    </row>
    <row r="882" spans="2:76" hidden="1" outlineLevel="1">
      <c r="D882" s="398" t="s">
        <v>848</v>
      </c>
      <c r="O882" s="398" t="s">
        <v>30</v>
      </c>
      <c r="R882" s="1460">
        <f>IF(R868=0,0,IF(R874/R868&gt;1,1,(R874/R868)))</f>
        <v>0</v>
      </c>
      <c r="S882" s="1460"/>
      <c r="T882" s="1460"/>
      <c r="U882" s="1460"/>
      <c r="V882" s="1460">
        <f t="shared" ref="V882" si="159">IF(V868=0,0,IF(V874/V868&gt;1,1,(V874/V868)))</f>
        <v>0</v>
      </c>
      <c r="W882" s="1460"/>
      <c r="X882" s="1460"/>
      <c r="Y882" s="1460"/>
      <c r="Z882" s="1460">
        <f t="shared" ref="Z882" si="160">IF(Z868=0,0,IF(Z874/Z868&gt;1,1,(Z874/Z868)))</f>
        <v>0</v>
      </c>
      <c r="AA882" s="1460"/>
      <c r="AB882" s="1460"/>
      <c r="AC882" s="1460"/>
      <c r="AD882" s="1460">
        <f t="shared" ref="AD882" si="161">IF(AD868=0,0,IF(AD874/AD868&gt;1,1,(AD874/AD868)))</f>
        <v>0</v>
      </c>
      <c r="AE882" s="1460"/>
      <c r="AF882" s="1460"/>
      <c r="AG882" s="1460"/>
      <c r="AI882" s="1464">
        <f>AVERAGE(R882:AG882)</f>
        <v>0</v>
      </c>
      <c r="AJ882" s="1464"/>
      <c r="AK882" s="1464"/>
      <c r="AP882" s="1460">
        <f t="shared" ref="AP882:BB882" si="162">IF(AP868=0,0,IF(AP874/AP868&gt;1,1,(AP874/AP868)))</f>
        <v>0</v>
      </c>
      <c r="AQ882" s="1460"/>
      <c r="AR882" s="1460"/>
      <c r="AS882" s="1460"/>
      <c r="AT882" s="1460">
        <f t="shared" si="162"/>
        <v>0</v>
      </c>
      <c r="AU882" s="1460"/>
      <c r="AV882" s="1460"/>
      <c r="AW882" s="1460"/>
      <c r="AX882" s="1460">
        <f t="shared" si="162"/>
        <v>0</v>
      </c>
      <c r="AY882" s="1460"/>
      <c r="AZ882" s="1460"/>
      <c r="BA882" s="1460"/>
      <c r="BB882" s="1460">
        <f t="shared" si="162"/>
        <v>0</v>
      </c>
      <c r="BC882" s="1460"/>
      <c r="BD882" s="1460"/>
      <c r="BE882" s="1460"/>
      <c r="BG882" s="1464">
        <f>AVERAGE(AP882:BE882)</f>
        <v>0</v>
      </c>
      <c r="BH882" s="1464"/>
      <c r="BI882" s="1464"/>
      <c r="BL882" s="28"/>
    </row>
    <row r="883" spans="2:76" hidden="1" outlineLevel="1">
      <c r="D883" s="398" t="s">
        <v>951</v>
      </c>
      <c r="E883" s="852"/>
      <c r="O883" s="801" t="s">
        <v>30</v>
      </c>
      <c r="P883" s="801"/>
      <c r="Q883" s="872"/>
      <c r="R883" s="1471">
        <f>R881*R882</f>
        <v>0</v>
      </c>
      <c r="S883" s="1471"/>
      <c r="T883" s="1471"/>
      <c r="U883" s="1471"/>
      <c r="V883" s="1471">
        <f>V881*V882</f>
        <v>0</v>
      </c>
      <c r="W883" s="1471"/>
      <c r="X883" s="1471"/>
      <c r="Y883" s="1471"/>
      <c r="Z883" s="1471">
        <f>Z881*Z882</f>
        <v>0</v>
      </c>
      <c r="AA883" s="1471"/>
      <c r="AB883" s="1471"/>
      <c r="AC883" s="1471"/>
      <c r="AD883" s="1471">
        <f>AD881*AD882</f>
        <v>0</v>
      </c>
      <c r="AE883" s="1471"/>
      <c r="AF883" s="1471"/>
      <c r="AG883" s="1471"/>
      <c r="AH883" s="880"/>
      <c r="AI883" s="881"/>
      <c r="AJ883" s="881"/>
      <c r="AK883" s="881"/>
      <c r="AO883" s="872"/>
      <c r="AP883" s="1471">
        <f>AP881*AP882</f>
        <v>0</v>
      </c>
      <c r="AQ883" s="1471"/>
      <c r="AR883" s="1471"/>
      <c r="AS883" s="1471"/>
      <c r="AT883" s="1471">
        <f>AT881*AT882</f>
        <v>0</v>
      </c>
      <c r="AU883" s="1471"/>
      <c r="AV883" s="1471"/>
      <c r="AW883" s="1471"/>
      <c r="AX883" s="1471">
        <f>AX881*AX882</f>
        <v>0</v>
      </c>
      <c r="AY883" s="1471"/>
      <c r="AZ883" s="1471"/>
      <c r="BA883" s="1471"/>
      <c r="BB883" s="1471">
        <f>BB881*BB882</f>
        <v>0</v>
      </c>
      <c r="BC883" s="1471"/>
      <c r="BD883" s="1471"/>
      <c r="BE883" s="1471"/>
      <c r="BF883" s="941"/>
      <c r="BG883" s="942"/>
      <c r="BH883" s="942"/>
      <c r="BI883" s="942"/>
      <c r="BL883" s="28"/>
    </row>
    <row r="884" spans="2:76" hidden="1" outlineLevel="1">
      <c r="D884" s="398" t="s">
        <v>952</v>
      </c>
      <c r="E884" s="852"/>
      <c r="O884" s="801" t="s">
        <v>199</v>
      </c>
      <c r="P884" s="801"/>
      <c r="Q884" s="872"/>
      <c r="R884" s="1465">
        <f>R387*R883</f>
        <v>0</v>
      </c>
      <c r="S884" s="1466"/>
      <c r="T884" s="1466"/>
      <c r="U884" s="1466"/>
      <c r="V884" s="1465">
        <f>V387*V883</f>
        <v>0</v>
      </c>
      <c r="W884" s="1466"/>
      <c r="X884" s="1466"/>
      <c r="Y884" s="1466"/>
      <c r="Z884" s="1465">
        <f>Z387*Z883</f>
        <v>0</v>
      </c>
      <c r="AA884" s="1466"/>
      <c r="AB884" s="1466"/>
      <c r="AC884" s="1466"/>
      <c r="AD884" s="1465">
        <f>AD387*AD883</f>
        <v>0</v>
      </c>
      <c r="AE884" s="1466"/>
      <c r="AF884" s="1466"/>
      <c r="AG884" s="1466"/>
      <c r="AH884" s="1465">
        <f>SUM(R884:AG884)</f>
        <v>0</v>
      </c>
      <c r="AI884" s="1466"/>
      <c r="AJ884" s="1466"/>
      <c r="AK884" s="1466"/>
      <c r="AO884" s="872"/>
      <c r="AP884" s="1465">
        <f>AP387*AP883</f>
        <v>0</v>
      </c>
      <c r="AQ884" s="1466"/>
      <c r="AR884" s="1466"/>
      <c r="AS884" s="1466"/>
      <c r="AT884" s="1465">
        <f>AT387*AT883</f>
        <v>0</v>
      </c>
      <c r="AU884" s="1466"/>
      <c r="AV884" s="1466"/>
      <c r="AW884" s="1466"/>
      <c r="AX884" s="1465">
        <f>AX387*AX883</f>
        <v>0</v>
      </c>
      <c r="AY884" s="1466"/>
      <c r="AZ884" s="1466"/>
      <c r="BA884" s="1466"/>
      <c r="BB884" s="1465">
        <f>BB387*BB883</f>
        <v>0</v>
      </c>
      <c r="BC884" s="1466"/>
      <c r="BD884" s="1466"/>
      <c r="BE884" s="1466"/>
      <c r="BF884" s="1465">
        <f>SUM(AP884:BE884)</f>
        <v>0</v>
      </c>
      <c r="BG884" s="1466"/>
      <c r="BH884" s="1466"/>
      <c r="BI884" s="1466"/>
      <c r="BL884" s="28"/>
    </row>
    <row r="885" spans="2:76" s="752" customFormat="1" ht="15.95" hidden="1" customHeight="1" outlineLevel="2">
      <c r="B885" s="751"/>
      <c r="E885" s="850"/>
      <c r="F885" s="850" t="s">
        <v>237</v>
      </c>
      <c r="G885" s="754"/>
      <c r="H885" s="754"/>
      <c r="I885" s="754"/>
      <c r="J885" s="754"/>
      <c r="K885" s="754"/>
      <c r="L885" s="754"/>
      <c r="M885" s="754"/>
      <c r="N885" s="754"/>
      <c r="O885" s="754"/>
      <c r="P885" s="755"/>
      <c r="Q885" s="754"/>
      <c r="R885" s="1469">
        <f>IF(R884&gt;100000,-4,IF(R884&gt;10000,-3,IF(R884&gt;1000,-2,-1)))</f>
        <v>-1</v>
      </c>
      <c r="S885" s="1470"/>
      <c r="T885" s="1470"/>
      <c r="U885" s="1470"/>
      <c r="V885" s="1469">
        <f t="shared" ref="V885" si="163">IF(V884&gt;100000,-4,IF(V884&gt;10000,-3,IF(V884&gt;1000,-2,-1)))</f>
        <v>-1</v>
      </c>
      <c r="W885" s="1470"/>
      <c r="X885" s="1470"/>
      <c r="Y885" s="1470"/>
      <c r="Z885" s="1469">
        <f t="shared" ref="Z885" si="164">IF(Z884&gt;100000,-4,IF(Z884&gt;10000,-3,IF(Z884&gt;1000,-2,-1)))</f>
        <v>-1</v>
      </c>
      <c r="AA885" s="1470"/>
      <c r="AB885" s="1470"/>
      <c r="AC885" s="1470"/>
      <c r="AD885" s="1469">
        <f t="shared" ref="AD885" si="165">IF(AD884&gt;100000,-4,IF(AD884&gt;10000,-3,IF(AD884&gt;1000,-2,-1)))</f>
        <v>-1</v>
      </c>
      <c r="AE885" s="1470"/>
      <c r="AF885" s="1470"/>
      <c r="AG885" s="1470"/>
      <c r="AH885" s="1469">
        <f t="shared" ref="AH885" si="166">IF(AH884&gt;100000,-4,IF(AH884&gt;10000,-3,IF(AH884&gt;1000,-2,-1)))</f>
        <v>-1</v>
      </c>
      <c r="AI885" s="1470"/>
      <c r="AJ885" s="1470"/>
      <c r="AK885" s="1470"/>
      <c r="AL885" s="861"/>
      <c r="AM885" s="861"/>
      <c r="AN885" s="754"/>
      <c r="AO885" s="754"/>
      <c r="AP885" s="1469">
        <f>IF(AP884&gt;100000,-4,IF(AP884&gt;10000,-3,IF(AP884&gt;1000,-2,-1)))</f>
        <v>-1</v>
      </c>
      <c r="AQ885" s="1470"/>
      <c r="AR885" s="1470"/>
      <c r="AS885" s="1470"/>
      <c r="AT885" s="1469">
        <f t="shared" ref="AT885" si="167">IF(AT884&gt;100000,-4,IF(AT884&gt;10000,-3,IF(AT884&gt;1000,-2,-1)))</f>
        <v>-1</v>
      </c>
      <c r="AU885" s="1470"/>
      <c r="AV885" s="1470"/>
      <c r="AW885" s="1470"/>
      <c r="AX885" s="1469">
        <f t="shared" ref="AX885" si="168">IF(AX884&gt;100000,-4,IF(AX884&gt;10000,-3,IF(AX884&gt;1000,-2,-1)))</f>
        <v>-1</v>
      </c>
      <c r="AY885" s="1470"/>
      <c r="AZ885" s="1470"/>
      <c r="BA885" s="1470"/>
      <c r="BB885" s="1469">
        <f t="shared" ref="BB885" si="169">IF(BB884&gt;100000,-4,IF(BB884&gt;10000,-3,IF(BB884&gt;1000,-2,-1)))</f>
        <v>-1</v>
      </c>
      <c r="BC885" s="1470"/>
      <c r="BD885" s="1470"/>
      <c r="BE885" s="1470"/>
      <c r="BF885" s="1469">
        <f t="shared" ref="BF885" si="170">IF(BF884&gt;100000,-4,IF(BF884&gt;10000,-3,IF(BF884&gt;1000,-2,-1)))</f>
        <v>-1</v>
      </c>
      <c r="BG885" s="1470"/>
      <c r="BH885" s="1470"/>
      <c r="BI885" s="1470"/>
      <c r="BJ885" s="763"/>
      <c r="BL885" s="28"/>
      <c r="BM885" s="139"/>
      <c r="BP885" s="756"/>
      <c r="BQ885" s="756"/>
      <c r="BR885" s="756"/>
      <c r="BS885" s="756"/>
      <c r="BT885" s="756"/>
      <c r="BU885" s="756"/>
      <c r="BV885" s="756"/>
      <c r="BW885" s="756"/>
      <c r="BX885" s="756"/>
    </row>
    <row r="886" spans="2:76" hidden="1" outlineLevel="1">
      <c r="D886" s="871" t="s">
        <v>953</v>
      </c>
      <c r="E886" s="852"/>
      <c r="O886" s="801" t="s">
        <v>199</v>
      </c>
      <c r="P886" s="801"/>
      <c r="Q886" s="872"/>
      <c r="R886" s="1465">
        <f>ROUND(R884,R885)</f>
        <v>0</v>
      </c>
      <c r="S886" s="1466"/>
      <c r="T886" s="1466"/>
      <c r="U886" s="1466"/>
      <c r="V886" s="1465">
        <f>ROUND(V884,V885)</f>
        <v>0</v>
      </c>
      <c r="W886" s="1466"/>
      <c r="X886" s="1466"/>
      <c r="Y886" s="1466"/>
      <c r="Z886" s="1465">
        <f>ROUND(Z884,Z885)</f>
        <v>0</v>
      </c>
      <c r="AA886" s="1466"/>
      <c r="AB886" s="1466"/>
      <c r="AC886" s="1466"/>
      <c r="AD886" s="1465">
        <f>ROUND(AD884,AD885)</f>
        <v>0</v>
      </c>
      <c r="AE886" s="1466"/>
      <c r="AF886" s="1466"/>
      <c r="AG886" s="1466"/>
      <c r="AH886" s="1465">
        <f>ROUND(AH884,AH885)</f>
        <v>0</v>
      </c>
      <c r="AI886" s="1466"/>
      <c r="AJ886" s="1466"/>
      <c r="AK886" s="1466"/>
      <c r="AO886" s="872"/>
      <c r="AP886" s="1465">
        <f>ROUND(AP884,AP885)</f>
        <v>0</v>
      </c>
      <c r="AQ886" s="1466"/>
      <c r="AR886" s="1466"/>
      <c r="AS886" s="1466"/>
      <c r="AT886" s="1465">
        <f>ROUND(AT884,AT885)</f>
        <v>0</v>
      </c>
      <c r="AU886" s="1466"/>
      <c r="AV886" s="1466"/>
      <c r="AW886" s="1466"/>
      <c r="AX886" s="1465">
        <f>ROUND(AX884,AX885)</f>
        <v>0</v>
      </c>
      <c r="AY886" s="1466"/>
      <c r="AZ886" s="1466"/>
      <c r="BA886" s="1466"/>
      <c r="BB886" s="1465">
        <f>ROUND(BB884,BB885)</f>
        <v>0</v>
      </c>
      <c r="BC886" s="1466"/>
      <c r="BD886" s="1466"/>
      <c r="BE886" s="1466"/>
      <c r="BF886" s="1465">
        <f>ROUND(BF884,BF885)</f>
        <v>0</v>
      </c>
      <c r="BG886" s="1466"/>
      <c r="BH886" s="1466"/>
      <c r="BI886" s="1466"/>
      <c r="BL886" s="28"/>
    </row>
    <row r="887" spans="2:76" s="28" customFormat="1" ht="6" hidden="1" customHeight="1" outlineLevel="1">
      <c r="B887" s="117"/>
      <c r="C887" s="830"/>
      <c r="D887" s="98"/>
      <c r="E887" s="98"/>
      <c r="F887" s="98"/>
      <c r="G887" s="98"/>
      <c r="H887" s="98"/>
      <c r="I887" s="98"/>
      <c r="J887" s="98"/>
      <c r="K887" s="98"/>
      <c r="L887" s="98"/>
      <c r="M887" s="98"/>
      <c r="N887" s="98"/>
      <c r="O887" s="98"/>
      <c r="P887" s="122"/>
      <c r="Q887" s="98"/>
      <c r="R887" s="98"/>
      <c r="S887" s="98"/>
      <c r="T887" s="98"/>
      <c r="U887" s="98"/>
      <c r="V887" s="98"/>
      <c r="W887" s="98"/>
      <c r="X887" s="98"/>
      <c r="Y887" s="98"/>
      <c r="Z887" s="98"/>
      <c r="AA887" s="98"/>
      <c r="AB887" s="98"/>
      <c r="AC887" s="98"/>
      <c r="AD887" s="98"/>
      <c r="AE887" s="98"/>
      <c r="AF887" s="98"/>
      <c r="AG887" s="98"/>
      <c r="AH887" s="98"/>
      <c r="AI887" s="98"/>
      <c r="AJ887" s="98"/>
      <c r="AK887" s="98"/>
      <c r="AL887" s="98"/>
      <c r="AM887" s="98"/>
      <c r="AN887" s="98"/>
      <c r="AO887" s="98"/>
      <c r="AP887" s="98"/>
      <c r="AQ887" s="98"/>
      <c r="AR887" s="98"/>
      <c r="AS887" s="98"/>
      <c r="AT887" s="98"/>
      <c r="AU887" s="98"/>
      <c r="AV887" s="98"/>
      <c r="AW887" s="98"/>
      <c r="AX887" s="98"/>
      <c r="AY887" s="98"/>
      <c r="AZ887" s="98"/>
      <c r="BA887" s="98"/>
      <c r="BB887" s="98"/>
      <c r="BC887" s="98"/>
      <c r="BD887" s="98"/>
      <c r="BE887" s="98"/>
      <c r="BF887" s="98"/>
      <c r="BG887" s="98"/>
      <c r="BH887" s="98"/>
      <c r="BI887" s="98"/>
      <c r="BJ887" s="763"/>
    </row>
    <row r="888" spans="2:76" ht="15.95" hidden="1" customHeight="1" outlineLevel="1">
      <c r="C888" s="31"/>
      <c r="P888" s="31"/>
      <c r="BL888" s="28"/>
      <c r="BW888" s="28"/>
      <c r="BX888" s="28"/>
    </row>
    <row r="889" spans="2:76" ht="8.1" hidden="1" customHeight="1" outlineLevel="1">
      <c r="C889" s="31"/>
      <c r="P889" s="31"/>
      <c r="BL889" s="28"/>
      <c r="BW889" s="28"/>
      <c r="BX889" s="28"/>
    </row>
    <row r="890" spans="2:76" s="752" customFormat="1" ht="15.95" hidden="1" customHeight="1" outlineLevel="1">
      <c r="BL890" s="28"/>
      <c r="BW890" s="756"/>
      <c r="BX890" s="756"/>
    </row>
    <row r="891" spans="2:76" s="752" customFormat="1" ht="15.95" hidden="1" customHeight="1" outlineLevel="1">
      <c r="BL891" s="28"/>
      <c r="BW891" s="756"/>
      <c r="BX891" s="756"/>
    </row>
    <row r="892" spans="2:76" ht="8.1" hidden="1" customHeight="1" outlineLevel="1">
      <c r="C892" s="31"/>
      <c r="P892" s="31"/>
      <c r="BL892" s="28"/>
      <c r="BW892" s="28"/>
      <c r="BX892" s="28"/>
    </row>
    <row r="893" spans="2:76" s="752" customFormat="1" ht="15.95" hidden="1" customHeight="1" outlineLevel="1">
      <c r="BL893" s="28"/>
      <c r="BW893" s="756"/>
      <c r="BX893" s="756"/>
    </row>
    <row r="894" spans="2:76" hidden="1" outlineLevel="1">
      <c r="C894" s="31"/>
      <c r="P894" s="31"/>
      <c r="BL894" s="28"/>
    </row>
    <row r="895" spans="2:76" s="752" customFormat="1" ht="15.95" hidden="1" customHeight="1" outlineLevel="1">
      <c r="BL895" s="28"/>
      <c r="BM895" s="31"/>
      <c r="BN895" s="31"/>
      <c r="BP895" s="756"/>
      <c r="BQ895" s="756"/>
      <c r="BR895" s="756"/>
      <c r="BS895" s="756"/>
      <c r="BT895" s="756"/>
      <c r="BU895" s="756"/>
      <c r="BV895" s="756"/>
      <c r="BW895" s="756"/>
      <c r="BX895" s="756"/>
    </row>
    <row r="896" spans="2:76" s="752" customFormat="1" ht="15.95" hidden="1" customHeight="1" outlineLevel="1">
      <c r="BL896" s="28"/>
      <c r="BM896" s="31"/>
      <c r="BN896" s="31"/>
      <c r="BP896" s="756"/>
      <c r="BQ896" s="756"/>
      <c r="BR896" s="756"/>
      <c r="BS896" s="756"/>
      <c r="BT896" s="756"/>
      <c r="BU896" s="756"/>
      <c r="BV896" s="756"/>
      <c r="BW896" s="756"/>
      <c r="BX896" s="756"/>
    </row>
    <row r="897" spans="3:76" ht="8.1" hidden="1" customHeight="1" outlineLevel="1">
      <c r="C897" s="31"/>
      <c r="P897" s="31"/>
      <c r="BL897" s="28"/>
      <c r="BP897" s="28"/>
      <c r="BQ897" s="28"/>
      <c r="BR897" s="28"/>
      <c r="BS897" s="28"/>
      <c r="BT897" s="28"/>
      <c r="BU897" s="28"/>
      <c r="BV897" s="28"/>
      <c r="BW897" s="28"/>
      <c r="BX897" s="28"/>
    </row>
    <row r="898" spans="3:76" s="752" customFormat="1" ht="15.95" hidden="1" customHeight="1" outlineLevel="1">
      <c r="BL898" s="28"/>
      <c r="BM898" s="31"/>
      <c r="BN898" s="31"/>
      <c r="BP898" s="756"/>
      <c r="BQ898" s="756"/>
      <c r="BR898" s="756"/>
      <c r="BS898" s="756"/>
      <c r="BT898" s="756"/>
      <c r="BU898" s="756"/>
      <c r="BV898" s="756"/>
      <c r="BW898" s="756"/>
      <c r="BX898" s="756"/>
    </row>
    <row r="899" spans="3:76" hidden="1" outlineLevel="1">
      <c r="C899" s="31"/>
      <c r="P899" s="31"/>
      <c r="BL899" s="28"/>
    </row>
    <row r="900" spans="3:76" hidden="1" outlineLevel="1">
      <c r="BL900" s="28"/>
    </row>
    <row r="901" spans="3:76" hidden="1" outlineLevel="1">
      <c r="BL901" s="28"/>
    </row>
    <row r="902" spans="3:76" hidden="1" outlineLevel="1">
      <c r="BL902" s="28"/>
    </row>
    <row r="903" spans="3:76" hidden="1" outlineLevel="1">
      <c r="BL903" s="28"/>
    </row>
    <row r="904" spans="3:76" ht="18" hidden="1" outlineLevel="1">
      <c r="C904" s="19" t="s">
        <v>18</v>
      </c>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19"/>
      <c r="AR904" s="19"/>
      <c r="AS904" s="19"/>
      <c r="AT904" s="19"/>
      <c r="AU904" s="19"/>
      <c r="AV904" s="19"/>
      <c r="AW904" s="19"/>
      <c r="AX904" s="19"/>
      <c r="AY904" s="19"/>
      <c r="AZ904" s="19"/>
      <c r="BA904" s="19"/>
      <c r="BB904" s="19"/>
      <c r="BC904" s="19"/>
      <c r="BD904" s="19"/>
      <c r="BE904" s="19"/>
      <c r="BF904" s="19"/>
      <c r="BG904" s="19"/>
      <c r="BH904" s="19"/>
      <c r="BI904" s="19"/>
      <c r="BJ904" s="19"/>
      <c r="BL904" s="28"/>
    </row>
    <row r="905" spans="3:76" hidden="1" outlineLevel="1">
      <c r="BL905" s="28"/>
    </row>
    <row r="906" spans="3:76" hidden="1" outlineLevel="1">
      <c r="BL906" s="28"/>
    </row>
    <row r="907" spans="3:76" hidden="1" outlineLevel="1">
      <c r="C907" s="499" t="s">
        <v>936</v>
      </c>
      <c r="BL907" s="28"/>
    </row>
    <row r="908" spans="3:76" ht="17.100000000000001" hidden="1" customHeight="1" outlineLevel="1">
      <c r="C908" s="1689" t="str">
        <f>'3 TEWI'!C199</f>
        <v>R 32</v>
      </c>
      <c r="D908" s="1689"/>
      <c r="E908" s="1689"/>
      <c r="F908" s="1689"/>
      <c r="G908" s="1689"/>
      <c r="H908" s="1689"/>
      <c r="I908" s="1689"/>
      <c r="J908" s="1689"/>
      <c r="BL908" s="28"/>
    </row>
    <row r="909" spans="3:76" ht="17.100000000000001" hidden="1" customHeight="1" outlineLevel="1">
      <c r="C909" s="1689" t="str">
        <f>'3 TEWI'!C200</f>
        <v>R134a</v>
      </c>
      <c r="D909" s="1689"/>
      <c r="E909" s="1689"/>
      <c r="F909" s="1689"/>
      <c r="G909" s="1689"/>
      <c r="H909" s="1689"/>
      <c r="I909" s="1689"/>
      <c r="J909" s="1689"/>
      <c r="BL909" s="28"/>
    </row>
    <row r="910" spans="3:76" ht="17.100000000000001" hidden="1" customHeight="1" outlineLevel="1">
      <c r="C910" s="1689" t="str">
        <f>'3 TEWI'!C201</f>
        <v>R290 (Propan)</v>
      </c>
      <c r="D910" s="1689"/>
      <c r="E910" s="1689"/>
      <c r="F910" s="1689"/>
      <c r="G910" s="1689"/>
      <c r="H910" s="1689"/>
      <c r="I910" s="1689"/>
      <c r="J910" s="1689"/>
      <c r="BL910" s="28"/>
    </row>
    <row r="911" spans="3:76" ht="17.100000000000001" hidden="1" customHeight="1" outlineLevel="1">
      <c r="C911" s="1689" t="str">
        <f>'3 TEWI'!C202</f>
        <v>R404A</v>
      </c>
      <c r="D911" s="1689"/>
      <c r="E911" s="1689"/>
      <c r="F911" s="1689"/>
      <c r="G911" s="1689"/>
      <c r="H911" s="1689"/>
      <c r="I911" s="1689"/>
      <c r="J911" s="1689"/>
      <c r="BL911" s="28"/>
    </row>
    <row r="912" spans="3:76" ht="17.100000000000001" hidden="1" customHeight="1" outlineLevel="1">
      <c r="C912" s="1689" t="str">
        <f>'3 TEWI'!C203</f>
        <v>R407C</v>
      </c>
      <c r="D912" s="1689"/>
      <c r="E912" s="1689"/>
      <c r="F912" s="1689"/>
      <c r="G912" s="1689"/>
      <c r="H912" s="1689"/>
      <c r="I912" s="1689"/>
      <c r="J912" s="1689"/>
      <c r="BL912" s="28"/>
    </row>
    <row r="913" spans="3:64" ht="17.100000000000001" hidden="1" customHeight="1" outlineLevel="1">
      <c r="C913" s="1689" t="str">
        <f>'3 TEWI'!C204</f>
        <v>R407F</v>
      </c>
      <c r="D913" s="1689"/>
      <c r="E913" s="1689"/>
      <c r="F913" s="1689"/>
      <c r="G913" s="1689"/>
      <c r="H913" s="1689"/>
      <c r="I913" s="1689"/>
      <c r="J913" s="1689"/>
      <c r="BL913" s="28"/>
    </row>
    <row r="914" spans="3:64" ht="17.100000000000001" hidden="1" customHeight="1" outlineLevel="1">
      <c r="C914" s="1689" t="str">
        <f>'3 TEWI'!C205</f>
        <v>R410A</v>
      </c>
      <c r="D914" s="1689"/>
      <c r="E914" s="1689"/>
      <c r="F914" s="1689"/>
      <c r="G914" s="1689"/>
      <c r="H914" s="1689"/>
      <c r="I914" s="1689"/>
      <c r="J914" s="1689"/>
      <c r="BL914" s="28"/>
    </row>
    <row r="915" spans="3:64" ht="17.100000000000001" hidden="1" customHeight="1" outlineLevel="1">
      <c r="C915" s="1689" t="str">
        <f>'3 TEWI'!C206</f>
        <v>R417A</v>
      </c>
      <c r="D915" s="1689"/>
      <c r="E915" s="1689"/>
      <c r="F915" s="1689"/>
      <c r="G915" s="1689"/>
      <c r="H915" s="1689"/>
      <c r="I915" s="1689"/>
      <c r="J915" s="1689"/>
      <c r="BL915" s="28"/>
    </row>
    <row r="916" spans="3:64" ht="17.100000000000001" hidden="1" customHeight="1" outlineLevel="1">
      <c r="C916" s="1689" t="str">
        <f>'3 TEWI'!C207</f>
        <v>R422A</v>
      </c>
      <c r="D916" s="1689"/>
      <c r="E916" s="1689"/>
      <c r="F916" s="1689"/>
      <c r="G916" s="1689"/>
      <c r="H916" s="1689"/>
      <c r="I916" s="1689"/>
      <c r="J916" s="1689"/>
      <c r="BL916" s="28"/>
    </row>
    <row r="917" spans="3:64" ht="17.100000000000001" hidden="1" customHeight="1" outlineLevel="1">
      <c r="C917" s="1689" t="str">
        <f>'3 TEWI'!C208</f>
        <v>R422D</v>
      </c>
      <c r="D917" s="1689"/>
      <c r="E917" s="1689"/>
      <c r="F917" s="1689"/>
      <c r="G917" s="1689"/>
      <c r="H917" s="1689"/>
      <c r="I917" s="1689"/>
      <c r="J917" s="1689"/>
      <c r="BL917" s="28"/>
    </row>
    <row r="918" spans="3:64" ht="17.100000000000001" hidden="1" customHeight="1" outlineLevel="1">
      <c r="C918" s="1689" t="str">
        <f>'3 TEWI'!C209</f>
        <v>R427A</v>
      </c>
      <c r="D918" s="1689"/>
      <c r="E918" s="1689"/>
      <c r="F918" s="1689"/>
      <c r="G918" s="1689"/>
      <c r="H918" s="1689"/>
      <c r="I918" s="1689"/>
      <c r="J918" s="1689"/>
      <c r="BL918" s="28"/>
    </row>
    <row r="919" spans="3:64" ht="17.100000000000001" hidden="1" customHeight="1" outlineLevel="1">
      <c r="C919" s="1689" t="str">
        <f>'3 TEWI'!C210</f>
        <v>R448A</v>
      </c>
      <c r="D919" s="1689"/>
      <c r="E919" s="1689"/>
      <c r="F919" s="1689"/>
      <c r="G919" s="1689"/>
      <c r="H919" s="1689"/>
      <c r="I919" s="1689"/>
      <c r="J919" s="1689"/>
      <c r="BL919" s="28"/>
    </row>
    <row r="920" spans="3:64" ht="17.100000000000001" hidden="1" customHeight="1" outlineLevel="1">
      <c r="C920" s="1689" t="str">
        <f>'3 TEWI'!C211</f>
        <v>R449A</v>
      </c>
      <c r="D920" s="1689"/>
      <c r="E920" s="1689"/>
      <c r="F920" s="1689"/>
      <c r="G920" s="1689"/>
      <c r="H920" s="1689"/>
      <c r="I920" s="1689"/>
      <c r="J920" s="1689"/>
      <c r="BL920" s="28"/>
    </row>
    <row r="921" spans="3:64" ht="17.100000000000001" hidden="1" customHeight="1" outlineLevel="1">
      <c r="C921" s="1689" t="str">
        <f>'3 TEWI'!C212</f>
        <v>R450A</v>
      </c>
      <c r="D921" s="1689"/>
      <c r="E921" s="1689"/>
      <c r="F921" s="1689"/>
      <c r="G921" s="1689"/>
      <c r="H921" s="1689"/>
      <c r="I921" s="1689"/>
      <c r="J921" s="1689"/>
      <c r="BL921" s="28"/>
    </row>
    <row r="922" spans="3:64" ht="17.100000000000001" hidden="1" customHeight="1" outlineLevel="1">
      <c r="C922" s="1689" t="str">
        <f>'3 TEWI'!C213</f>
        <v>R507 A</v>
      </c>
      <c r="D922" s="1689"/>
      <c r="E922" s="1689"/>
      <c r="F922" s="1689"/>
      <c r="G922" s="1689"/>
      <c r="H922" s="1689"/>
      <c r="I922" s="1689"/>
      <c r="J922" s="1689"/>
      <c r="BL922" s="28"/>
    </row>
    <row r="923" spans="3:64" ht="17.100000000000001" hidden="1" customHeight="1" outlineLevel="1">
      <c r="C923" s="1689" t="str">
        <f>'3 TEWI'!C214</f>
        <v>R513 A</v>
      </c>
      <c r="D923" s="1689"/>
      <c r="E923" s="1689"/>
      <c r="F923" s="1689"/>
      <c r="G923" s="1689"/>
      <c r="H923" s="1689"/>
      <c r="I923" s="1689"/>
      <c r="J923" s="1689"/>
      <c r="BL923" s="28"/>
    </row>
    <row r="924" spans="3:64" ht="17.100000000000001" hidden="1" customHeight="1" outlineLevel="1">
      <c r="C924" s="1689" t="str">
        <f>'3 TEWI'!C215</f>
        <v>R717 (Ammoniak - NH3)</v>
      </c>
      <c r="D924" s="1689"/>
      <c r="E924" s="1689"/>
      <c r="F924" s="1689"/>
      <c r="G924" s="1689"/>
      <c r="H924" s="1689"/>
      <c r="I924" s="1689"/>
      <c r="J924" s="1689"/>
      <c r="BL924" s="28"/>
    </row>
    <row r="925" spans="3:64" ht="17.100000000000001" hidden="1" customHeight="1" outlineLevel="1">
      <c r="C925" s="1689" t="str">
        <f>'3 TEWI'!C216</f>
        <v>R723</v>
      </c>
      <c r="D925" s="1689"/>
      <c r="E925" s="1689"/>
      <c r="F925" s="1689"/>
      <c r="G925" s="1689"/>
      <c r="H925" s="1689"/>
      <c r="I925" s="1689"/>
      <c r="J925" s="1689"/>
      <c r="BL925" s="28"/>
    </row>
    <row r="926" spans="3:64" ht="17.100000000000001" hidden="1" customHeight="1" outlineLevel="1">
      <c r="C926" s="1689" t="str">
        <f>'3 TEWI'!C217</f>
        <v>R744  (CO2)</v>
      </c>
      <c r="D926" s="1689"/>
      <c r="E926" s="1689"/>
      <c r="F926" s="1689"/>
      <c r="G926" s="1689"/>
      <c r="H926" s="1689"/>
      <c r="I926" s="1689"/>
      <c r="J926" s="1689"/>
      <c r="BL926" s="28"/>
    </row>
    <row r="927" spans="3:64" ht="17.100000000000001" hidden="1" customHeight="1" outlineLevel="1">
      <c r="C927" s="1689" t="str">
        <f>'3 TEWI'!C218</f>
        <v>R1270 (Propylen)</v>
      </c>
      <c r="D927" s="1689"/>
      <c r="E927" s="1689"/>
      <c r="F927" s="1689"/>
      <c r="G927" s="1689"/>
      <c r="H927" s="1689"/>
      <c r="I927" s="1689"/>
      <c r="J927" s="1689"/>
      <c r="BL927" s="28"/>
    </row>
    <row r="928" spans="3:64" ht="17.100000000000001" hidden="1" customHeight="1" outlineLevel="1">
      <c r="C928" s="1689" t="str">
        <f>'3 TEWI'!C219</f>
        <v>R1233zd</v>
      </c>
      <c r="D928" s="1689"/>
      <c r="E928" s="1689"/>
      <c r="F928" s="1689"/>
      <c r="G928" s="1689"/>
      <c r="H928" s="1689"/>
      <c r="I928" s="1689"/>
      <c r="J928" s="1689"/>
      <c r="BL928" s="28"/>
    </row>
    <row r="929" spans="3:64" ht="17.100000000000001" hidden="1" customHeight="1" outlineLevel="1">
      <c r="C929" s="1689" t="str">
        <f>'3 TEWI'!C220</f>
        <v xml:space="preserve">R1234ze </v>
      </c>
      <c r="D929" s="1689"/>
      <c r="E929" s="1689"/>
      <c r="F929" s="1689"/>
      <c r="G929" s="1689"/>
      <c r="H929" s="1689"/>
      <c r="I929" s="1689"/>
      <c r="J929" s="1689"/>
      <c r="BL929" s="28"/>
    </row>
    <row r="930" spans="3:64" ht="17.100000000000001" hidden="1" customHeight="1" outlineLevel="1">
      <c r="C930" s="1689" t="str">
        <f>'3 TEWI'!C221</f>
        <v>R1234yf</v>
      </c>
      <c r="D930" s="1689"/>
      <c r="E930" s="1689"/>
      <c r="F930" s="1689"/>
      <c r="G930" s="1689"/>
      <c r="H930" s="1689"/>
      <c r="I930" s="1689"/>
      <c r="J930" s="1689"/>
      <c r="BL930" s="28"/>
    </row>
    <row r="931" spans="3:64" hidden="1" outlineLevel="1"/>
    <row r="932" spans="3:64" collapsed="1"/>
  </sheetData>
  <sheetProtection algorithmName="SHA-512" hashValue="xJUArxTpOdVxP5PPHnbCweg/ywhLektDdfK18RdY4sddY5UUcFPrnwSkMBa+taCTQX50sDBxYPOpNEMH8fvOAQ==" saltValue="z1Mzu2n1z1GOUtlpwAITNg==" spinCount="100000" sheet="1" objects="1" scenarios="1" selectLockedCells="1"/>
  <mergeCells count="3509">
    <mergeCell ref="R254:U254"/>
    <mergeCell ref="R253:U253"/>
    <mergeCell ref="BB854:BE854"/>
    <mergeCell ref="AP848:AS848"/>
    <mergeCell ref="AT848:AW848"/>
    <mergeCell ref="BB848:BE848"/>
    <mergeCell ref="AT850:AW850"/>
    <mergeCell ref="BB860:BE860"/>
    <mergeCell ref="BF860:BI860"/>
    <mergeCell ref="AP855:AS855"/>
    <mergeCell ref="AT855:AW855"/>
    <mergeCell ref="AX855:BA855"/>
    <mergeCell ref="BB855:BE855"/>
    <mergeCell ref="AP856:AS856"/>
    <mergeCell ref="AT856:AW856"/>
    <mergeCell ref="AX856:BA856"/>
    <mergeCell ref="BB856:BE856"/>
    <mergeCell ref="AP857:AS857"/>
    <mergeCell ref="AT857:AW857"/>
    <mergeCell ref="AX857:BA857"/>
    <mergeCell ref="BB857:BE857"/>
    <mergeCell ref="AP858:AS858"/>
    <mergeCell ref="BB859:BE859"/>
    <mergeCell ref="BF848:BI848"/>
    <mergeCell ref="AP850:AS850"/>
    <mergeCell ref="BB858:BE858"/>
    <mergeCell ref="BF858:BI858"/>
    <mergeCell ref="BF859:BI859"/>
    <mergeCell ref="BB850:BE850"/>
    <mergeCell ref="BG850:BI850"/>
    <mergeCell ref="BB852:BE852"/>
    <mergeCell ref="BG852:BI852"/>
    <mergeCell ref="C38:BI38"/>
    <mergeCell ref="C118:BI118"/>
    <mergeCell ref="BF844:BI844"/>
    <mergeCell ref="AP845:AS845"/>
    <mergeCell ref="AX845:BA845"/>
    <mergeCell ref="BB845:BE845"/>
    <mergeCell ref="BF845:BI845"/>
    <mergeCell ref="AP846:AS846"/>
    <mergeCell ref="AT846:AW846"/>
    <mergeCell ref="AX846:BA846"/>
    <mergeCell ref="BB846:BE846"/>
    <mergeCell ref="BF846:BI846"/>
    <mergeCell ref="AX844:BA844"/>
    <mergeCell ref="BB844:BE844"/>
    <mergeCell ref="BF847:BI847"/>
    <mergeCell ref="AX847:BA847"/>
    <mergeCell ref="BB847:BE847"/>
    <mergeCell ref="BB834:BE834"/>
    <mergeCell ref="BF834:BI834"/>
    <mergeCell ref="AP835:AS835"/>
    <mergeCell ref="AT835:AW835"/>
    <mergeCell ref="AX835:BA835"/>
    <mergeCell ref="BB835:BE835"/>
    <mergeCell ref="BF835:BI835"/>
    <mergeCell ref="AP843:AS843"/>
    <mergeCell ref="AP837:AS837"/>
    <mergeCell ref="AU194:AW194"/>
    <mergeCell ref="AY194:BA194"/>
    <mergeCell ref="R223:U223"/>
    <mergeCell ref="R224:U224"/>
    <mergeCell ref="BC194:BE194"/>
    <mergeCell ref="BC324:BE324"/>
    <mergeCell ref="AT355:AW355"/>
    <mergeCell ref="AQ276:AS276"/>
    <mergeCell ref="BF306:BI306"/>
    <mergeCell ref="AQ257:AS257"/>
    <mergeCell ref="AX321:BA321"/>
    <mergeCell ref="BB354:BE354"/>
    <mergeCell ref="AU744:AV744"/>
    <mergeCell ref="AQ789:AS789"/>
    <mergeCell ref="AU789:AW789"/>
    <mergeCell ref="AY752:AZ752"/>
    <mergeCell ref="AP354:AS354"/>
    <mergeCell ref="AT354:AW354"/>
    <mergeCell ref="BF843:BI843"/>
    <mergeCell ref="AQ745:AR745"/>
    <mergeCell ref="AQ750:AZ750"/>
    <mergeCell ref="AQ744:AR744"/>
    <mergeCell ref="AS744:AT744"/>
    <mergeCell ref="BB375:BE375"/>
    <mergeCell ref="AQ793:AS793"/>
    <mergeCell ref="AU793:AW793"/>
    <mergeCell ref="AY793:BA793"/>
    <mergeCell ref="BC793:BE793"/>
    <mergeCell ref="AU801:AW801"/>
    <mergeCell ref="AU802:AW802"/>
    <mergeCell ref="AU803:AW803"/>
    <mergeCell ref="AU804:AW804"/>
    <mergeCell ref="AQ768:AV768"/>
    <mergeCell ref="AQ769:AV769"/>
    <mergeCell ref="BF388:BI388"/>
    <mergeCell ref="AY736:AZ736"/>
    <mergeCell ref="BC792:BE792"/>
    <mergeCell ref="Z753:AA753"/>
    <mergeCell ref="BC789:BE789"/>
    <mergeCell ref="AQ771:AV771"/>
    <mergeCell ref="AQ772:AV772"/>
    <mergeCell ref="AQ773:AV773"/>
    <mergeCell ref="AZ822:BA822"/>
    <mergeCell ref="BB822:BC822"/>
    <mergeCell ref="BD822:BE822"/>
    <mergeCell ref="AU799:AW799"/>
    <mergeCell ref="AU800:AW800"/>
    <mergeCell ref="AQ774:AV774"/>
    <mergeCell ref="AP782:AS782"/>
    <mergeCell ref="AT782:AW782"/>
    <mergeCell ref="AX782:BA782"/>
    <mergeCell ref="BB782:BE782"/>
    <mergeCell ref="AQ788:AS788"/>
    <mergeCell ref="AU788:AW788"/>
    <mergeCell ref="AY788:BA788"/>
    <mergeCell ref="BC788:BE788"/>
    <mergeCell ref="AF754:AG754"/>
    <mergeCell ref="AS753:AT753"/>
    <mergeCell ref="AY753:AZ753"/>
    <mergeCell ref="AB814:AC814"/>
    <mergeCell ref="AQ794:AS794"/>
    <mergeCell ref="S767:X767"/>
    <mergeCell ref="S768:X768"/>
    <mergeCell ref="S769:X769"/>
    <mergeCell ref="S771:X771"/>
    <mergeCell ref="S772:X772"/>
    <mergeCell ref="S773:X773"/>
    <mergeCell ref="S774:X774"/>
    <mergeCell ref="AE787:AG787"/>
    <mergeCell ref="S785:U785"/>
    <mergeCell ref="W785:Y785"/>
    <mergeCell ref="AA785:AC785"/>
    <mergeCell ref="AE785:AG785"/>
    <mergeCell ref="R782:U782"/>
    <mergeCell ref="V782:Y782"/>
    <mergeCell ref="Z782:AC782"/>
    <mergeCell ref="AD782:AG782"/>
    <mergeCell ref="S784:U784"/>
    <mergeCell ref="W784:Y784"/>
    <mergeCell ref="S787:U787"/>
    <mergeCell ref="W787:Y787"/>
    <mergeCell ref="AA787:AC787"/>
    <mergeCell ref="BF423:BI423"/>
    <mergeCell ref="BB389:BE389"/>
    <mergeCell ref="BF389:BI389"/>
    <mergeCell ref="AI782:AK782"/>
    <mergeCell ref="AS727:AT727"/>
    <mergeCell ref="AU727:AV727"/>
    <mergeCell ref="AW727:AX727"/>
    <mergeCell ref="AH752:AI752"/>
    <mergeCell ref="AI789:AK789"/>
    <mergeCell ref="AT390:AW390"/>
    <mergeCell ref="AX390:BA390"/>
    <mergeCell ref="AH765:AK765"/>
    <mergeCell ref="AQ763:AV763"/>
    <mergeCell ref="AQ764:AV764"/>
    <mergeCell ref="AQ765:AV765"/>
    <mergeCell ref="AQ767:AV767"/>
    <mergeCell ref="AH754:AI754"/>
    <mergeCell ref="AS752:AT752"/>
    <mergeCell ref="AU752:AV752"/>
    <mergeCell ref="BC787:BE787"/>
    <mergeCell ref="BG381:BI381"/>
    <mergeCell ref="AY327:BA327"/>
    <mergeCell ref="W343:Y343"/>
    <mergeCell ref="BF829:BI829"/>
    <mergeCell ref="AP831:AS831"/>
    <mergeCell ref="AT831:AW831"/>
    <mergeCell ref="AX831:BA831"/>
    <mergeCell ref="BB831:BE831"/>
    <mergeCell ref="BF831:BI831"/>
    <mergeCell ref="AP829:AS829"/>
    <mergeCell ref="AA789:AC789"/>
    <mergeCell ref="AA784:AC784"/>
    <mergeCell ref="AE784:AG784"/>
    <mergeCell ref="AI784:AK784"/>
    <mergeCell ref="AQ784:AS784"/>
    <mergeCell ref="AU784:AW784"/>
    <mergeCell ref="AY784:BA784"/>
    <mergeCell ref="BC784:BE784"/>
    <mergeCell ref="AU805:AW805"/>
    <mergeCell ref="AU806:AW806"/>
    <mergeCell ref="AU807:AW807"/>
    <mergeCell ref="BG807:BI807"/>
    <mergeCell ref="BF824:BI824"/>
    <mergeCell ref="BF825:BI825"/>
    <mergeCell ref="BF826:BI826"/>
    <mergeCell ref="AT829:AW829"/>
    <mergeCell ref="AX829:BA829"/>
    <mergeCell ref="BB829:BE829"/>
    <mergeCell ref="AY797:BA797"/>
    <mergeCell ref="AI785:AK785"/>
    <mergeCell ref="AQ785:AS785"/>
    <mergeCell ref="BF390:BI390"/>
    <mergeCell ref="BF374:BI374"/>
    <mergeCell ref="R375:U375"/>
    <mergeCell ref="V375:Y375"/>
    <mergeCell ref="Z375:AC375"/>
    <mergeCell ref="AD375:AG375"/>
    <mergeCell ref="AH375:AK375"/>
    <mergeCell ref="BF354:BI354"/>
    <mergeCell ref="BB355:BE355"/>
    <mergeCell ref="BF375:BI375"/>
    <mergeCell ref="S345:U345"/>
    <mergeCell ref="BC338:BE338"/>
    <mergeCell ref="AY368:BA368"/>
    <mergeCell ref="BC368:BE368"/>
    <mergeCell ref="BG371:BI371"/>
    <mergeCell ref="AY345:BA345"/>
    <mergeCell ref="BC337:BE337"/>
    <mergeCell ref="AU372:AW372"/>
    <mergeCell ref="AY372:BA372"/>
    <mergeCell ref="AX355:BA355"/>
    <mergeCell ref="R355:U355"/>
    <mergeCell ref="V355:Y355"/>
    <mergeCell ref="Z355:AC355"/>
    <mergeCell ref="W370:Y370"/>
    <mergeCell ref="AX375:BA375"/>
    <mergeCell ref="S371:U371"/>
    <mergeCell ref="W371:Y371"/>
    <mergeCell ref="AA371:AC371"/>
    <mergeCell ref="BF355:BI355"/>
    <mergeCell ref="AU385:AW385"/>
    <mergeCell ref="C925:J925"/>
    <mergeCell ref="C926:J926"/>
    <mergeCell ref="C927:J927"/>
    <mergeCell ref="C928:J928"/>
    <mergeCell ref="C929:J929"/>
    <mergeCell ref="C930:J930"/>
    <mergeCell ref="S52:Z52"/>
    <mergeCell ref="AQ52:AX52"/>
    <mergeCell ref="C908:J908"/>
    <mergeCell ref="C909:J909"/>
    <mergeCell ref="C910:J910"/>
    <mergeCell ref="C911:J911"/>
    <mergeCell ref="C912:J912"/>
    <mergeCell ref="C913:J913"/>
    <mergeCell ref="C914:J914"/>
    <mergeCell ref="C915:J915"/>
    <mergeCell ref="C916:J916"/>
    <mergeCell ref="C917:J917"/>
    <mergeCell ref="C918:J918"/>
    <mergeCell ref="C919:J919"/>
    <mergeCell ref="C920:J920"/>
    <mergeCell ref="C921:J921"/>
    <mergeCell ref="S257:U257"/>
    <mergeCell ref="S264:U264"/>
    <mergeCell ref="S383:U383"/>
    <mergeCell ref="S315:U315"/>
    <mergeCell ref="S316:U316"/>
    <mergeCell ref="AQ266:AS266"/>
    <mergeCell ref="R267:U267"/>
    <mergeCell ref="D330:N330"/>
    <mergeCell ref="S794:U794"/>
    <mergeCell ref="AX848:BA848"/>
    <mergeCell ref="AU842:AW842"/>
    <mergeCell ref="AY842:BA842"/>
    <mergeCell ref="T814:U814"/>
    <mergeCell ref="V814:W814"/>
    <mergeCell ref="AP355:AS355"/>
    <mergeCell ref="D276:N276"/>
    <mergeCell ref="S276:U276"/>
    <mergeCell ref="AF813:AG813"/>
    <mergeCell ref="R809:U809"/>
    <mergeCell ref="R307:U307"/>
    <mergeCell ref="V307:Y307"/>
    <mergeCell ref="Z307:AC307"/>
    <mergeCell ref="AD307:AG307"/>
    <mergeCell ref="AD320:AG320"/>
    <mergeCell ref="AH320:AK320"/>
    <mergeCell ref="AP320:AS320"/>
    <mergeCell ref="V389:Y389"/>
    <mergeCell ref="Z389:AC389"/>
    <mergeCell ref="AD389:AG389"/>
    <mergeCell ref="AH389:AK389"/>
    <mergeCell ref="AP389:AS389"/>
    <mergeCell ref="AT389:AW389"/>
    <mergeCell ref="AX389:BA389"/>
    <mergeCell ref="AT388:AW388"/>
    <mergeCell ref="AX388:BA388"/>
    <mergeCell ref="Z809:AC809"/>
    <mergeCell ref="AD809:AG809"/>
    <mergeCell ref="AE385:AG385"/>
    <mergeCell ref="R374:U374"/>
    <mergeCell ref="V374:Y374"/>
    <mergeCell ref="S803:U803"/>
    <mergeCell ref="S804:U804"/>
    <mergeCell ref="AE789:AG789"/>
    <mergeCell ref="C922:J922"/>
    <mergeCell ref="C923:J923"/>
    <mergeCell ref="C924:J924"/>
    <mergeCell ref="AX843:BA843"/>
    <mergeCell ref="AP824:AS824"/>
    <mergeCell ref="AT824:AW824"/>
    <mergeCell ref="AX824:BA824"/>
    <mergeCell ref="AP826:AS826"/>
    <mergeCell ref="AT826:AW826"/>
    <mergeCell ref="AX826:BA826"/>
    <mergeCell ref="AP822:AQ822"/>
    <mergeCell ref="AR822:AS822"/>
    <mergeCell ref="AT822:AU822"/>
    <mergeCell ref="AV822:AW822"/>
    <mergeCell ref="AX822:AY822"/>
    <mergeCell ref="AP834:AS834"/>
    <mergeCell ref="AT834:AW834"/>
    <mergeCell ref="V859:Y859"/>
    <mergeCell ref="AX858:BA858"/>
    <mergeCell ref="AP860:AS860"/>
    <mergeCell ref="AT860:AW860"/>
    <mergeCell ref="AX860:BA860"/>
    <mergeCell ref="AH886:AK886"/>
    <mergeCell ref="R882:U882"/>
    <mergeCell ref="Z882:AC882"/>
    <mergeCell ref="AH835:AK835"/>
    <mergeCell ref="AX850:BA850"/>
    <mergeCell ref="J822:L822"/>
    <mergeCell ref="AH885:AK885"/>
    <mergeCell ref="AT845:AW845"/>
    <mergeCell ref="AP885:AS885"/>
    <mergeCell ref="AT885:AW885"/>
    <mergeCell ref="AX885:BA885"/>
    <mergeCell ref="AI787:AK787"/>
    <mergeCell ref="AQ787:AS787"/>
    <mergeCell ref="AU787:AW787"/>
    <mergeCell ref="AY787:BA787"/>
    <mergeCell ref="AP854:AS854"/>
    <mergeCell ref="AT854:AW854"/>
    <mergeCell ref="AX854:BA854"/>
    <mergeCell ref="AH831:AK831"/>
    <mergeCell ref="AT843:AW843"/>
    <mergeCell ref="X810:Y810"/>
    <mergeCell ref="Z810:AA810"/>
    <mergeCell ref="AB810:AC810"/>
    <mergeCell ref="AD810:AE810"/>
    <mergeCell ref="AF810:AG810"/>
    <mergeCell ref="AE794:AG794"/>
    <mergeCell ref="AD885:AG885"/>
    <mergeCell ref="W794:Y794"/>
    <mergeCell ref="AA794:AC794"/>
    <mergeCell ref="AA797:AC797"/>
    <mergeCell ref="AY807:BA807"/>
    <mergeCell ref="AI794:AK794"/>
    <mergeCell ref="V847:Y847"/>
    <mergeCell ref="Z847:AC847"/>
    <mergeCell ref="AD847:AG847"/>
    <mergeCell ref="AT852:AW852"/>
    <mergeCell ref="AX852:BA852"/>
    <mergeCell ref="S792:U792"/>
    <mergeCell ref="W792:Y792"/>
    <mergeCell ref="AA792:AC792"/>
    <mergeCell ref="AE792:AG792"/>
    <mergeCell ref="AI792:AK792"/>
    <mergeCell ref="AQ792:AS792"/>
    <mergeCell ref="AU792:AW792"/>
    <mergeCell ref="AY792:BA792"/>
    <mergeCell ref="AY789:BA789"/>
    <mergeCell ref="AI788:AK788"/>
    <mergeCell ref="S789:U789"/>
    <mergeCell ref="W789:Y789"/>
    <mergeCell ref="AX756:BB756"/>
    <mergeCell ref="AS754:AT754"/>
    <mergeCell ref="AU395:AW395"/>
    <mergeCell ref="AY395:BA395"/>
    <mergeCell ref="AU735:AV735"/>
    <mergeCell ref="AW735:AX735"/>
    <mergeCell ref="AY735:AZ735"/>
    <mergeCell ref="AQ736:AR736"/>
    <mergeCell ref="AS736:AT736"/>
    <mergeCell ref="AU736:AV736"/>
    <mergeCell ref="AQ752:AR752"/>
    <mergeCell ref="AQ727:AR727"/>
    <mergeCell ref="S788:U788"/>
    <mergeCell ref="W788:Y788"/>
    <mergeCell ref="AA788:AC788"/>
    <mergeCell ref="AE788:AG788"/>
    <mergeCell ref="S763:X763"/>
    <mergeCell ref="S764:X764"/>
    <mergeCell ref="S765:X765"/>
    <mergeCell ref="S766:X766"/>
    <mergeCell ref="AY730:AZ730"/>
    <mergeCell ref="AQ733:AZ733"/>
    <mergeCell ref="AQ734:AR734"/>
    <mergeCell ref="AS734:AT734"/>
    <mergeCell ref="AU734:AV734"/>
    <mergeCell ref="AW734:AX734"/>
    <mergeCell ref="AY734:AZ734"/>
    <mergeCell ref="AU754:AV754"/>
    <mergeCell ref="AW754:AX754"/>
    <mergeCell ref="AH390:AK390"/>
    <mergeCell ref="AP390:AS390"/>
    <mergeCell ref="R388:U388"/>
    <mergeCell ref="V388:Y388"/>
    <mergeCell ref="Z388:AC388"/>
    <mergeCell ref="AD388:AG388"/>
    <mergeCell ref="AH388:AK388"/>
    <mergeCell ref="AP388:AS388"/>
    <mergeCell ref="AQ720:AR720"/>
    <mergeCell ref="AS720:AT720"/>
    <mergeCell ref="AU720:AV720"/>
    <mergeCell ref="AU753:AV753"/>
    <mergeCell ref="AW753:AX753"/>
    <mergeCell ref="AW752:AX752"/>
    <mergeCell ref="AQ753:AR753"/>
    <mergeCell ref="Z744:AA744"/>
    <mergeCell ref="AP423:AS423"/>
    <mergeCell ref="AT423:AW423"/>
    <mergeCell ref="AX423:BA423"/>
    <mergeCell ref="AJ744:AK744"/>
    <mergeCell ref="Z745:AA745"/>
    <mergeCell ref="AQ747:AR747"/>
    <mergeCell ref="AS747:AT747"/>
    <mergeCell ref="AU747:AV747"/>
    <mergeCell ref="AW747:AX747"/>
    <mergeCell ref="Z752:AA752"/>
    <mergeCell ref="AB752:AC752"/>
    <mergeCell ref="AD752:AE752"/>
    <mergeCell ref="AF752:AG752"/>
    <mergeCell ref="AW736:AX736"/>
    <mergeCell ref="AQ754:AR754"/>
    <mergeCell ref="AY304:BA304"/>
    <mergeCell ref="AQ716:AZ716"/>
    <mergeCell ref="AQ717:AR717"/>
    <mergeCell ref="AS717:AT717"/>
    <mergeCell ref="AU717:AV717"/>
    <mergeCell ref="AW717:AX717"/>
    <mergeCell ref="AY717:AZ717"/>
    <mergeCell ref="AY713:AZ713"/>
    <mergeCell ref="AW751:AX751"/>
    <mergeCell ref="AY751:AZ751"/>
    <mergeCell ref="BA744:BB744"/>
    <mergeCell ref="BA734:BB734"/>
    <mergeCell ref="AY744:AZ744"/>
    <mergeCell ref="BA751:BB751"/>
    <mergeCell ref="AX319:BA319"/>
    <mergeCell ref="AQ348:AS348"/>
    <mergeCell ref="AX307:BA307"/>
    <mergeCell ref="AS730:AT730"/>
    <mergeCell ref="AU730:AV730"/>
    <mergeCell ref="AW730:AX730"/>
    <mergeCell ref="AY754:AZ754"/>
    <mergeCell ref="AQ751:AR751"/>
    <mergeCell ref="AS751:AT751"/>
    <mergeCell ref="AU751:AV751"/>
    <mergeCell ref="AQ395:AS395"/>
    <mergeCell ref="AQ746:AR746"/>
    <mergeCell ref="AS746:AT746"/>
    <mergeCell ref="AU746:AV746"/>
    <mergeCell ref="AW746:AX746"/>
    <mergeCell ref="AY746:AZ746"/>
    <mergeCell ref="S311:U311"/>
    <mergeCell ref="AU710:AV710"/>
    <mergeCell ref="AW710:AX710"/>
    <mergeCell ref="AY710:AZ710"/>
    <mergeCell ref="BA710:BB710"/>
    <mergeCell ref="AQ711:AR711"/>
    <mergeCell ref="AS711:AT711"/>
    <mergeCell ref="AU711:AV711"/>
    <mergeCell ref="AW711:AX711"/>
    <mergeCell ref="AY711:AZ711"/>
    <mergeCell ref="AQ712:AR712"/>
    <mergeCell ref="AS737:AT737"/>
    <mergeCell ref="AU737:AV737"/>
    <mergeCell ref="AW737:AX737"/>
    <mergeCell ref="AW744:AX744"/>
    <mergeCell ref="AY737:AZ737"/>
    <mergeCell ref="AQ729:AR729"/>
    <mergeCell ref="AS729:AT729"/>
    <mergeCell ref="AY341:BA341"/>
    <mergeCell ref="AB744:AC744"/>
    <mergeCell ref="AD744:AE744"/>
    <mergeCell ref="AF744:AG744"/>
    <mergeCell ref="AS745:AT745"/>
    <mergeCell ref="AU745:AV745"/>
    <mergeCell ref="AW745:AX745"/>
    <mergeCell ref="AY745:AZ745"/>
    <mergeCell ref="BA727:BB727"/>
    <mergeCell ref="AY719:AZ719"/>
    <mergeCell ref="AW720:AX720"/>
    <mergeCell ref="AY720:AZ720"/>
    <mergeCell ref="AQ726:AZ726"/>
    <mergeCell ref="AU383:AW383"/>
    <mergeCell ref="AQ735:AR735"/>
    <mergeCell ref="BB388:BE388"/>
    <mergeCell ref="D206:N206"/>
    <mergeCell ref="S206:AK206"/>
    <mergeCell ref="D264:N264"/>
    <mergeCell ref="AA303:AC303"/>
    <mergeCell ref="S208:AK208"/>
    <mergeCell ref="R238:U238"/>
    <mergeCell ref="AP238:AS238"/>
    <mergeCell ref="S240:U240"/>
    <mergeCell ref="W303:Y303"/>
    <mergeCell ref="Z284:AC284"/>
    <mergeCell ref="AD284:AG284"/>
    <mergeCell ref="AH284:AK284"/>
    <mergeCell ref="R258:U258"/>
    <mergeCell ref="D270:N270"/>
    <mergeCell ref="S270:U270"/>
    <mergeCell ref="AQ270:AS270"/>
    <mergeCell ref="W311:Y311"/>
    <mergeCell ref="R306:U306"/>
    <mergeCell ref="AX354:BA354"/>
    <mergeCell ref="AH744:AI744"/>
    <mergeCell ref="BG152:BI152"/>
    <mergeCell ref="BG156:BI156"/>
    <mergeCell ref="BG154:BI154"/>
    <mergeCell ref="BC178:BE178"/>
    <mergeCell ref="BC168:BE168"/>
    <mergeCell ref="BC146:BE146"/>
    <mergeCell ref="BG165:BI165"/>
    <mergeCell ref="AA154:AC154"/>
    <mergeCell ref="BB319:BE319"/>
    <mergeCell ref="BF319:BI319"/>
    <mergeCell ref="AQ224:AS224"/>
    <mergeCell ref="S221:U221"/>
    <mergeCell ref="S242:U242"/>
    <mergeCell ref="AQ242:AS242"/>
    <mergeCell ref="R243:U243"/>
    <mergeCell ref="AP243:AS243"/>
    <mergeCell ref="AA304:AC304"/>
    <mergeCell ref="AE304:AG304"/>
    <mergeCell ref="R281:U281"/>
    <mergeCell ref="V281:Y281"/>
    <mergeCell ref="Z281:AC281"/>
    <mergeCell ref="AD281:AG281"/>
    <mergeCell ref="AH281:AK281"/>
    <mergeCell ref="AQ176:AS176"/>
    <mergeCell ref="AU176:AW176"/>
    <mergeCell ref="S217:AK217"/>
    <mergeCell ref="AQ217:BI217"/>
    <mergeCell ref="AP190:AS190"/>
    <mergeCell ref="AT306:AW306"/>
    <mergeCell ref="AA316:AC316"/>
    <mergeCell ref="AP267:AS267"/>
    <mergeCell ref="R268:U268"/>
    <mergeCell ref="AQ227:AS227"/>
    <mergeCell ref="AP228:AS228"/>
    <mergeCell ref="AP255:AS255"/>
    <mergeCell ref="AP225:AS225"/>
    <mergeCell ref="D240:N240"/>
    <mergeCell ref="AE302:AG302"/>
    <mergeCell ref="R282:U282"/>
    <mergeCell ref="AP252:AS252"/>
    <mergeCell ref="BG142:BI142"/>
    <mergeCell ref="BG144:BI144"/>
    <mergeCell ref="BG172:BI172"/>
    <mergeCell ref="AY160:BA160"/>
    <mergeCell ref="AY166:BA166"/>
    <mergeCell ref="BC166:BE166"/>
    <mergeCell ref="AY158:BA158"/>
    <mergeCell ref="BC167:BE167"/>
    <mergeCell ref="AY165:BA165"/>
    <mergeCell ref="BC156:BE156"/>
    <mergeCell ref="BG196:BI196"/>
    <mergeCell ref="BC170:BE170"/>
    <mergeCell ref="AU144:AW144"/>
    <mergeCell ref="AY144:BA144"/>
    <mergeCell ref="AU150:AW150"/>
    <mergeCell ref="BG166:BI166"/>
    <mergeCell ref="AY176:BA176"/>
    <mergeCell ref="BC176:BE176"/>
    <mergeCell ref="BG176:BI176"/>
    <mergeCell ref="BG148:BI148"/>
    <mergeCell ref="AT190:AW190"/>
    <mergeCell ref="AY192:BA192"/>
    <mergeCell ref="BC192:BE192"/>
    <mergeCell ref="S166:U166"/>
    <mergeCell ref="BA717:BB717"/>
    <mergeCell ref="AQ718:AR718"/>
    <mergeCell ref="AS718:AT718"/>
    <mergeCell ref="AU718:AV718"/>
    <mergeCell ref="S272:U272"/>
    <mergeCell ref="AQ272:AS272"/>
    <mergeCell ref="R273:U273"/>
    <mergeCell ref="AP273:AS273"/>
    <mergeCell ref="R274:U274"/>
    <mergeCell ref="AP274:AS274"/>
    <mergeCell ref="W302:Y302"/>
    <mergeCell ref="R244:U244"/>
    <mergeCell ref="AP244:AS244"/>
    <mergeCell ref="AA300:AC300"/>
    <mergeCell ref="AE300:AG300"/>
    <mergeCell ref="D234:N234"/>
    <mergeCell ref="D246:N246"/>
    <mergeCell ref="AU328:AW328"/>
    <mergeCell ref="AQ341:AS341"/>
    <mergeCell ref="AU341:AW341"/>
    <mergeCell ref="AP375:AS375"/>
    <mergeCell ref="AT375:AW375"/>
    <mergeCell ref="AP268:AS268"/>
    <mergeCell ref="Z374:AC374"/>
    <mergeCell ref="AD374:AG374"/>
    <mergeCell ref="AH374:AK374"/>
    <mergeCell ref="AP374:AS374"/>
    <mergeCell ref="AT374:AW374"/>
    <mergeCell ref="AX374:BA374"/>
    <mergeCell ref="BB374:BE374"/>
    <mergeCell ref="AX320:BA320"/>
    <mergeCell ref="S329:U329"/>
    <mergeCell ref="AQ737:AR737"/>
    <mergeCell ref="AU729:AV729"/>
    <mergeCell ref="AW729:AX729"/>
    <mergeCell ref="AY729:AZ729"/>
    <mergeCell ref="AS735:AT735"/>
    <mergeCell ref="AH745:AI745"/>
    <mergeCell ref="AD387:AG387"/>
    <mergeCell ref="S376:U376"/>
    <mergeCell ref="AY381:BA381"/>
    <mergeCell ref="W380:Y380"/>
    <mergeCell ref="S386:U386"/>
    <mergeCell ref="AQ381:AS381"/>
    <mergeCell ref="R389:U389"/>
    <mergeCell ref="AQ710:AR710"/>
    <mergeCell ref="AS710:AT710"/>
    <mergeCell ref="Z734:AA734"/>
    <mergeCell ref="AB734:AC734"/>
    <mergeCell ref="AD734:AE734"/>
    <mergeCell ref="AF734:AG734"/>
    <mergeCell ref="AH734:AI734"/>
    <mergeCell ref="Z718:AA718"/>
    <mergeCell ref="AB718:AC718"/>
    <mergeCell ref="AD718:AE718"/>
    <mergeCell ref="AF718:AG718"/>
    <mergeCell ref="AH718:AI718"/>
    <mergeCell ref="Z719:AA719"/>
    <mergeCell ref="AB719:AC719"/>
    <mergeCell ref="AF717:AG717"/>
    <mergeCell ref="AH717:AI717"/>
    <mergeCell ref="AF711:AG711"/>
    <mergeCell ref="AH711:AI711"/>
    <mergeCell ref="S695:T695"/>
    <mergeCell ref="AY702:AZ702"/>
    <mergeCell ref="AQ703:AR703"/>
    <mergeCell ref="AS703:AT703"/>
    <mergeCell ref="AU703:AV703"/>
    <mergeCell ref="AW703:AX703"/>
    <mergeCell ref="AY703:AZ703"/>
    <mergeCell ref="AQ709:AZ709"/>
    <mergeCell ref="AY747:AZ747"/>
    <mergeCell ref="AS712:AT712"/>
    <mergeCell ref="AU712:AV712"/>
    <mergeCell ref="AW712:AX712"/>
    <mergeCell ref="AY712:AZ712"/>
    <mergeCell ref="AQ713:AR713"/>
    <mergeCell ref="AS713:AT713"/>
    <mergeCell ref="AU713:AV713"/>
    <mergeCell ref="AW713:AX713"/>
    <mergeCell ref="AH751:AI751"/>
    <mergeCell ref="AJ751:AK751"/>
    <mergeCell ref="AY727:AZ727"/>
    <mergeCell ref="AQ728:AR728"/>
    <mergeCell ref="AS728:AT728"/>
    <mergeCell ref="AU728:AV728"/>
    <mergeCell ref="AW728:AX728"/>
    <mergeCell ref="AY728:AZ728"/>
    <mergeCell ref="AQ730:AR730"/>
    <mergeCell ref="AW718:AX718"/>
    <mergeCell ref="AY718:AZ718"/>
    <mergeCell ref="AQ719:AR719"/>
    <mergeCell ref="AS719:AT719"/>
    <mergeCell ref="AU719:AV719"/>
    <mergeCell ref="AW719:AX719"/>
    <mergeCell ref="AQ743:AZ743"/>
    <mergeCell ref="AB746:AC746"/>
    <mergeCell ref="AD746:AE746"/>
    <mergeCell ref="AF746:AG746"/>
    <mergeCell ref="AH746:AI746"/>
    <mergeCell ref="Z747:AA747"/>
    <mergeCell ref="AB747:AC747"/>
    <mergeCell ref="AB753:AC753"/>
    <mergeCell ref="AD753:AE753"/>
    <mergeCell ref="AF753:AG753"/>
    <mergeCell ref="AH753:AI753"/>
    <mergeCell ref="AB751:AC751"/>
    <mergeCell ref="AD751:AE751"/>
    <mergeCell ref="AF751:AG751"/>
    <mergeCell ref="AG756:AK756"/>
    <mergeCell ref="BA693:BB693"/>
    <mergeCell ref="AQ699:AZ699"/>
    <mergeCell ref="AQ700:AR700"/>
    <mergeCell ref="AS700:AT700"/>
    <mergeCell ref="AU700:AV700"/>
    <mergeCell ref="AW700:AX700"/>
    <mergeCell ref="AY700:AZ700"/>
    <mergeCell ref="BA700:BB700"/>
    <mergeCell ref="AQ701:AR701"/>
    <mergeCell ref="AS701:AT701"/>
    <mergeCell ref="AU701:AV701"/>
    <mergeCell ref="AW701:AX701"/>
    <mergeCell ref="AY701:AZ701"/>
    <mergeCell ref="AQ702:AR702"/>
    <mergeCell ref="AS702:AT702"/>
    <mergeCell ref="AU702:AV702"/>
    <mergeCell ref="AD747:AE747"/>
    <mergeCell ref="AW702:AX702"/>
    <mergeCell ref="AF747:AG747"/>
    <mergeCell ref="AH747:AI747"/>
    <mergeCell ref="AJ727:AK727"/>
    <mergeCell ref="Z728:AA728"/>
    <mergeCell ref="AB728:AC728"/>
    <mergeCell ref="AD728:AE728"/>
    <mergeCell ref="AF728:AG728"/>
    <mergeCell ref="AH728:AI728"/>
    <mergeCell ref="Z729:AA729"/>
    <mergeCell ref="AB729:AC729"/>
    <mergeCell ref="AD729:AE729"/>
    <mergeCell ref="AF729:AG729"/>
    <mergeCell ref="AH729:AI729"/>
    <mergeCell ref="Z730:AA730"/>
    <mergeCell ref="AB730:AC730"/>
    <mergeCell ref="AD730:AE730"/>
    <mergeCell ref="AF730:AG730"/>
    <mergeCell ref="AH730:AI730"/>
    <mergeCell ref="Z733:AI733"/>
    <mergeCell ref="AJ734:AK734"/>
    <mergeCell ref="AF735:AG735"/>
    <mergeCell ref="AH735:AI735"/>
    <mergeCell ref="Z736:AA736"/>
    <mergeCell ref="AB736:AC736"/>
    <mergeCell ref="AD736:AE736"/>
    <mergeCell ref="AF736:AG736"/>
    <mergeCell ref="AH736:AI736"/>
    <mergeCell ref="Z737:AA737"/>
    <mergeCell ref="AB737:AC737"/>
    <mergeCell ref="AD737:AE737"/>
    <mergeCell ref="AF737:AG737"/>
    <mergeCell ref="Z746:AA746"/>
    <mergeCell ref="AD720:AE720"/>
    <mergeCell ref="AF720:AG720"/>
    <mergeCell ref="AH720:AI720"/>
    <mergeCell ref="Z726:AI726"/>
    <mergeCell ref="Z727:AA727"/>
    <mergeCell ref="AB727:AC727"/>
    <mergeCell ref="AD727:AE727"/>
    <mergeCell ref="AF727:AG727"/>
    <mergeCell ref="AH727:AI727"/>
    <mergeCell ref="Z712:AA712"/>
    <mergeCell ref="AB712:AC712"/>
    <mergeCell ref="AD712:AE712"/>
    <mergeCell ref="AF712:AG712"/>
    <mergeCell ref="AH712:AI712"/>
    <mergeCell ref="Z713:AA713"/>
    <mergeCell ref="AB713:AC713"/>
    <mergeCell ref="AD713:AE713"/>
    <mergeCell ref="AF713:AG713"/>
    <mergeCell ref="AH713:AI713"/>
    <mergeCell ref="Z716:AI716"/>
    <mergeCell ref="Z717:AA717"/>
    <mergeCell ref="AB717:AC717"/>
    <mergeCell ref="AD717:AE717"/>
    <mergeCell ref="AD719:AE719"/>
    <mergeCell ref="AJ717:AK717"/>
    <mergeCell ref="AU381:AW381"/>
    <mergeCell ref="W372:Y372"/>
    <mergeCell ref="AA372:AC372"/>
    <mergeCell ref="S341:U341"/>
    <mergeCell ref="U719:V719"/>
    <mergeCell ref="M720:N720"/>
    <mergeCell ref="O720:P720"/>
    <mergeCell ref="Q720:R720"/>
    <mergeCell ref="S720:T720"/>
    <mergeCell ref="U720:V720"/>
    <mergeCell ref="M726:V726"/>
    <mergeCell ref="M727:N727"/>
    <mergeCell ref="O727:P727"/>
    <mergeCell ref="Q727:R727"/>
    <mergeCell ref="S727:T727"/>
    <mergeCell ref="AJ693:AK693"/>
    <mergeCell ref="AJ700:AK700"/>
    <mergeCell ref="Z709:AI709"/>
    <mergeCell ref="Z710:AA710"/>
    <mergeCell ref="AB710:AC710"/>
    <mergeCell ref="AD710:AE710"/>
    <mergeCell ref="AF710:AG710"/>
    <mergeCell ref="AH710:AI710"/>
    <mergeCell ref="AJ710:AK710"/>
    <mergeCell ref="Z711:AA711"/>
    <mergeCell ref="AB711:AC711"/>
    <mergeCell ref="AD711:AE711"/>
    <mergeCell ref="AF719:AG719"/>
    <mergeCell ref="AH719:AI719"/>
    <mergeCell ref="Z720:AA720"/>
    <mergeCell ref="AB720:AC720"/>
    <mergeCell ref="AR18:BJ18"/>
    <mergeCell ref="S50:U50"/>
    <mergeCell ref="S300:U300"/>
    <mergeCell ref="W300:Y300"/>
    <mergeCell ref="S146:U146"/>
    <mergeCell ref="W146:Y146"/>
    <mergeCell ref="AA146:AC146"/>
    <mergeCell ref="AU62:BI62"/>
    <mergeCell ref="S60:U60"/>
    <mergeCell ref="AU314:AW314"/>
    <mergeCell ref="AY314:BA314"/>
    <mergeCell ref="W328:Y328"/>
    <mergeCell ref="AA328:AC328"/>
    <mergeCell ref="AQ330:AS330"/>
    <mergeCell ref="W327:Y327"/>
    <mergeCell ref="AU329:AW329"/>
    <mergeCell ref="S150:U150"/>
    <mergeCell ref="AH319:AK319"/>
    <mergeCell ref="R320:U320"/>
    <mergeCell ref="S312:U312"/>
    <mergeCell ref="W312:Y312"/>
    <mergeCell ref="AT307:AW307"/>
    <mergeCell ref="W315:Y315"/>
    <mergeCell ref="S314:U314"/>
    <mergeCell ref="AP307:AS307"/>
    <mergeCell ref="AA312:AC312"/>
    <mergeCell ref="S234:U234"/>
    <mergeCell ref="AQ234:AS234"/>
    <mergeCell ref="R232:U232"/>
    <mergeCell ref="V320:Y320"/>
    <mergeCell ref="AT319:AW319"/>
    <mergeCell ref="AP319:AS319"/>
    <mergeCell ref="BE462:BG462"/>
    <mergeCell ref="U457:W457"/>
    <mergeCell ref="AE371:AG371"/>
    <mergeCell ref="AD355:AG355"/>
    <mergeCell ref="AH355:AK355"/>
    <mergeCell ref="AA327:AC327"/>
    <mergeCell ref="AQ327:AS327"/>
    <mergeCell ref="AQ345:AS345"/>
    <mergeCell ref="S352:U352"/>
    <mergeCell ref="W352:Y352"/>
    <mergeCell ref="W324:Y324"/>
    <mergeCell ref="AA324:AC324"/>
    <mergeCell ref="W329:Y329"/>
    <mergeCell ref="AH321:AK321"/>
    <mergeCell ref="AQ328:AS328"/>
    <mergeCell ref="R321:U321"/>
    <mergeCell ref="BB307:BE307"/>
    <mergeCell ref="S330:U330"/>
    <mergeCell ref="AU371:AW371"/>
    <mergeCell ref="AA370:AC370"/>
    <mergeCell ref="AE370:AG370"/>
    <mergeCell ref="AU368:AW368"/>
    <mergeCell ref="R319:U319"/>
    <mergeCell ref="V319:Y319"/>
    <mergeCell ref="Z319:AC319"/>
    <mergeCell ref="AD319:AG319"/>
    <mergeCell ref="W346:Y346"/>
    <mergeCell ref="AA346:AC346"/>
    <mergeCell ref="AQ346:AS346"/>
    <mergeCell ref="AU346:AW346"/>
    <mergeCell ref="AA344:AC344"/>
    <mergeCell ref="W349:Y349"/>
    <mergeCell ref="AQ300:AS300"/>
    <mergeCell ref="AW463:AY463"/>
    <mergeCell ref="BA463:BC463"/>
    <mergeCell ref="AW457:AY457"/>
    <mergeCell ref="W407:Y407"/>
    <mergeCell ref="AA407:AC407"/>
    <mergeCell ref="AW454:AY454"/>
    <mergeCell ref="AQ324:AS324"/>
    <mergeCell ref="AU386:AW386"/>
    <mergeCell ref="W330:Y330"/>
    <mergeCell ref="AA396:AC396"/>
    <mergeCell ref="AE372:AG372"/>
    <mergeCell ref="AI372:AK372"/>
    <mergeCell ref="AQ372:AS372"/>
    <mergeCell ref="Z321:AC321"/>
    <mergeCell ref="AD321:AG321"/>
    <mergeCell ref="AY412:BA412"/>
    <mergeCell ref="AA337:AC337"/>
    <mergeCell ref="Z320:AC320"/>
    <mergeCell ref="AQ368:AS368"/>
    <mergeCell ref="V321:Y321"/>
    <mergeCell ref="AU345:AW345"/>
    <mergeCell ref="AI338:AK338"/>
    <mergeCell ref="AA338:AC338"/>
    <mergeCell ref="AA385:AC385"/>
    <mergeCell ref="AQ385:AS385"/>
    <mergeCell ref="BB423:BE423"/>
    <mergeCell ref="AI371:AK371"/>
    <mergeCell ref="S317:U317"/>
    <mergeCell ref="AP229:AS229"/>
    <mergeCell ref="AQ223:AS223"/>
    <mergeCell ref="AQ253:AS253"/>
    <mergeCell ref="R255:U255"/>
    <mergeCell ref="S246:U246"/>
    <mergeCell ref="AQ246:AS246"/>
    <mergeCell ref="AQ304:AS304"/>
    <mergeCell ref="R230:U230"/>
    <mergeCell ref="AP230:AS230"/>
    <mergeCell ref="AI302:AK302"/>
    <mergeCell ref="R229:U229"/>
    <mergeCell ref="S236:U236"/>
    <mergeCell ref="AQ236:AS236"/>
    <mergeCell ref="R237:U237"/>
    <mergeCell ref="AP237:AS237"/>
    <mergeCell ref="AQ315:AS315"/>
    <mergeCell ref="AH306:AK306"/>
    <mergeCell ref="AE315:AG315"/>
    <mergeCell ref="AE314:AG314"/>
    <mergeCell ref="S227:U227"/>
    <mergeCell ref="S302:U302"/>
    <mergeCell ref="AQ316:AS316"/>
    <mergeCell ref="R259:U259"/>
    <mergeCell ref="AP259:AS259"/>
    <mergeCell ref="R260:U260"/>
    <mergeCell ref="AP260:AS260"/>
    <mergeCell ref="R262:U262"/>
    <mergeCell ref="AP262:AS262"/>
    <mergeCell ref="AP258:AS258"/>
    <mergeCell ref="S266:U266"/>
    <mergeCell ref="R228:U228"/>
    <mergeCell ref="V282:Y282"/>
    <mergeCell ref="AH282:AK282"/>
    <mergeCell ref="R283:U283"/>
    <mergeCell ref="V283:Y283"/>
    <mergeCell ref="H672:J672"/>
    <mergeCell ref="H670:J670"/>
    <mergeCell ref="AU668:AW668"/>
    <mergeCell ref="AY668:BA668"/>
    <mergeCell ref="BC668:BE668"/>
    <mergeCell ref="C18:N18"/>
    <mergeCell ref="Q18:U18"/>
    <mergeCell ref="W18:AE18"/>
    <mergeCell ref="AI629:AK629"/>
    <mergeCell ref="AA345:AC345"/>
    <mergeCell ref="AY324:BA324"/>
    <mergeCell ref="S326:U326"/>
    <mergeCell ref="W326:Y326"/>
    <mergeCell ref="AA326:AC326"/>
    <mergeCell ref="AQ326:AS326"/>
    <mergeCell ref="AU326:AW326"/>
    <mergeCell ref="AY326:BA326"/>
    <mergeCell ref="AY337:BA337"/>
    <mergeCell ref="S338:U338"/>
    <mergeCell ref="W338:Y338"/>
    <mergeCell ref="AQ338:AS338"/>
    <mergeCell ref="AU338:AW338"/>
    <mergeCell ref="AG18:AQ18"/>
    <mergeCell ref="V306:Y306"/>
    <mergeCell ref="AT320:AW320"/>
    <mergeCell ref="Z306:AC306"/>
    <mergeCell ref="AD306:AG306"/>
    <mergeCell ref="S72:U72"/>
    <mergeCell ref="S78:U78"/>
    <mergeCell ref="AQ72:AS72"/>
    <mergeCell ref="AQ110:AS110"/>
    <mergeCell ref="AU110:BI110"/>
    <mergeCell ref="W88:AK88"/>
    <mergeCell ref="AU88:BI88"/>
    <mergeCell ref="S670:AK670"/>
    <mergeCell ref="AQ670:BI670"/>
    <mergeCell ref="BA454:BC454"/>
    <mergeCell ref="BB320:BE320"/>
    <mergeCell ref="H671:J671"/>
    <mergeCell ref="BG668:BI668"/>
    <mergeCell ref="AI170:AK170"/>
    <mergeCell ref="W314:Y314"/>
    <mergeCell ref="AA314:AC314"/>
    <mergeCell ref="AE311:AG311"/>
    <mergeCell ref="AI311:AK311"/>
    <mergeCell ref="AQ629:AS629"/>
    <mergeCell ref="U488:W488"/>
    <mergeCell ref="Y488:AA488"/>
    <mergeCell ref="AC488:AE488"/>
    <mergeCell ref="AG488:AI488"/>
    <mergeCell ref="BG368:BI368"/>
    <mergeCell ref="BG338:BI338"/>
    <mergeCell ref="BF321:BI321"/>
    <mergeCell ref="BB373:BE373"/>
    <mergeCell ref="S348:U348"/>
    <mergeCell ref="AA410:AC410"/>
    <mergeCell ref="AQ410:AS410"/>
    <mergeCell ref="AU410:AW410"/>
    <mergeCell ref="AY410:BA410"/>
    <mergeCell ref="S76:U76"/>
    <mergeCell ref="AQ80:AS80"/>
    <mergeCell ref="BG122:BI122"/>
    <mergeCell ref="AI122:AK122"/>
    <mergeCell ref="AQ122:AS122"/>
    <mergeCell ref="W56:AK56"/>
    <mergeCell ref="D80:N80"/>
    <mergeCell ref="W60:AK60"/>
    <mergeCell ref="AQ60:AS60"/>
    <mergeCell ref="W58:AK58"/>
    <mergeCell ref="AQ78:AS78"/>
    <mergeCell ref="AU78:BI78"/>
    <mergeCell ref="W76:AK76"/>
    <mergeCell ref="W78:AK78"/>
    <mergeCell ref="BC122:BE122"/>
    <mergeCell ref="AU97:BI97"/>
    <mergeCell ref="AY122:BA122"/>
    <mergeCell ref="S106:U106"/>
    <mergeCell ref="W97:AK97"/>
    <mergeCell ref="AQ106:AS106"/>
    <mergeCell ref="S70:U70"/>
    <mergeCell ref="D72:N72"/>
    <mergeCell ref="AU76:BI76"/>
    <mergeCell ref="S80:U80"/>
    <mergeCell ref="D110:N110"/>
    <mergeCell ref="AQ56:AS56"/>
    <mergeCell ref="W70:AK70"/>
    <mergeCell ref="AQ70:AS70"/>
    <mergeCell ref="AD122:AG122"/>
    <mergeCell ref="Z122:AC122"/>
    <mergeCell ref="V122:Y122"/>
    <mergeCell ref="R122:U122"/>
    <mergeCell ref="S62:U62"/>
    <mergeCell ref="W62:AK62"/>
    <mergeCell ref="S58:U58"/>
    <mergeCell ref="AQ76:AS76"/>
    <mergeCell ref="BC126:BE126"/>
    <mergeCell ref="BG126:BI126"/>
    <mergeCell ref="AU122:AW122"/>
    <mergeCell ref="S393:U393"/>
    <mergeCell ref="S251:U251"/>
    <mergeCell ref="AY311:BA311"/>
    <mergeCell ref="BC312:BE312"/>
    <mergeCell ref="S25:U25"/>
    <mergeCell ref="S27:U27"/>
    <mergeCell ref="S29:AK29"/>
    <mergeCell ref="S44:U44"/>
    <mergeCell ref="AQ44:AS44"/>
    <mergeCell ref="S46:U46"/>
    <mergeCell ref="AQ46:AS46"/>
    <mergeCell ref="S66:U66"/>
    <mergeCell ref="W66:AK66"/>
    <mergeCell ref="AQ66:AS66"/>
    <mergeCell ref="AU66:BI66"/>
    <mergeCell ref="S68:U68"/>
    <mergeCell ref="W68:AK68"/>
    <mergeCell ref="AQ68:AS68"/>
    <mergeCell ref="AU68:BI68"/>
    <mergeCell ref="S56:U56"/>
    <mergeCell ref="W50:AK50"/>
    <mergeCell ref="AU60:BI60"/>
    <mergeCell ref="AQ62:AS62"/>
    <mergeCell ref="S31:AK31"/>
    <mergeCell ref="AQ36:BI36"/>
    <mergeCell ref="AQ58:AS58"/>
    <mergeCell ref="AY128:BA128"/>
    <mergeCell ref="AU58:BI58"/>
    <mergeCell ref="AQ50:AS50"/>
    <mergeCell ref="AI380:AK380"/>
    <mergeCell ref="AQ380:AS380"/>
    <mergeCell ref="W348:Y348"/>
    <mergeCell ref="AA348:AC348"/>
    <mergeCell ref="AY352:BA352"/>
    <mergeCell ref="AE368:AG368"/>
    <mergeCell ref="AI368:AK368"/>
    <mergeCell ref="Z373:AC373"/>
    <mergeCell ref="AD373:AG373"/>
    <mergeCell ref="AP373:AS373"/>
    <mergeCell ref="AT373:AW373"/>
    <mergeCell ref="AT387:AW387"/>
    <mergeCell ref="AX387:BA387"/>
    <mergeCell ref="AU56:BI56"/>
    <mergeCell ref="W154:Y154"/>
    <mergeCell ref="AE303:AG303"/>
    <mergeCell ref="Z283:AC283"/>
    <mergeCell ref="AU72:BI72"/>
    <mergeCell ref="BC142:BE142"/>
    <mergeCell ref="AY174:BA174"/>
    <mergeCell ref="W72:AK72"/>
    <mergeCell ref="D94:BI94"/>
    <mergeCell ref="D93:BI93"/>
    <mergeCell ref="AU80:BI80"/>
    <mergeCell ref="D83:BI84"/>
    <mergeCell ref="W80:AK80"/>
    <mergeCell ref="D92:BI92"/>
    <mergeCell ref="AU70:BI70"/>
    <mergeCell ref="S126:U126"/>
    <mergeCell ref="W126:Y126"/>
    <mergeCell ref="AE142:AG142"/>
    <mergeCell ref="AA134:AC134"/>
    <mergeCell ref="S138:U138"/>
    <mergeCell ref="W138:Y138"/>
    <mergeCell ref="AE316:AG316"/>
    <mergeCell ref="W317:Y317"/>
    <mergeCell ref="V387:Y387"/>
    <mergeCell ref="Z387:AC387"/>
    <mergeCell ref="W385:Y385"/>
    <mergeCell ref="AY331:BA331"/>
    <mergeCell ref="AU348:AW348"/>
    <mergeCell ref="AY348:BA348"/>
    <mergeCell ref="AQ349:AS349"/>
    <mergeCell ref="AA331:AC331"/>
    <mergeCell ref="W140:Y140"/>
    <mergeCell ref="S160:U160"/>
    <mergeCell ref="W166:Y166"/>
    <mergeCell ref="W164:Y164"/>
    <mergeCell ref="W142:Y142"/>
    <mergeCell ref="Z172:AC172"/>
    <mergeCell ref="AY146:BA146"/>
    <mergeCell ref="AI148:AK148"/>
    <mergeCell ref="AQ156:AS156"/>
    <mergeCell ref="S170:U170"/>
    <mergeCell ref="S164:U164"/>
    <mergeCell ref="S165:U165"/>
    <mergeCell ref="W148:Y148"/>
    <mergeCell ref="AU166:AW166"/>
    <mergeCell ref="W170:Y170"/>
    <mergeCell ref="S182:U182"/>
    <mergeCell ref="S418:U418"/>
    <mergeCell ref="S414:U414"/>
    <mergeCell ref="W397:Y397"/>
    <mergeCell ref="AA418:AC418"/>
    <mergeCell ref="AQ418:AS418"/>
    <mergeCell ref="AU418:AW418"/>
    <mergeCell ref="AA413:AC413"/>
    <mergeCell ref="U464:W464"/>
    <mergeCell ref="AW468:AY468"/>
    <mergeCell ref="BA468:BC468"/>
    <mergeCell ref="W414:Y414"/>
    <mergeCell ref="AA414:AC414"/>
    <mergeCell ref="AQ414:AS414"/>
    <mergeCell ref="BA462:BC462"/>
    <mergeCell ref="AG459:AI459"/>
    <mergeCell ref="U458:W458"/>
    <mergeCell ref="U462:W462"/>
    <mergeCell ref="Y462:AA462"/>
    <mergeCell ref="AC458:AE458"/>
    <mergeCell ref="AS459:AU459"/>
    <mergeCell ref="AW459:AY459"/>
    <mergeCell ref="AY418:BA418"/>
    <mergeCell ref="AG467:AI467"/>
    <mergeCell ref="S421:U421"/>
    <mergeCell ref="W421:Y421"/>
    <mergeCell ref="AE421:AG421"/>
    <mergeCell ref="S410:U410"/>
    <mergeCell ref="W410:Y410"/>
    <mergeCell ref="AY415:BA415"/>
    <mergeCell ref="S412:U412"/>
    <mergeCell ref="W412:Y412"/>
    <mergeCell ref="AU413:AW413"/>
    <mergeCell ref="BI454:BK454"/>
    <mergeCell ref="BI472:BK472"/>
    <mergeCell ref="BI474:BK474"/>
    <mergeCell ref="AK454:AO454"/>
    <mergeCell ref="W649:Y649"/>
    <mergeCell ref="AA649:AC649"/>
    <mergeCell ref="AE649:AG649"/>
    <mergeCell ref="AI649:AK649"/>
    <mergeCell ref="AQ649:AS649"/>
    <mergeCell ref="AU649:AW649"/>
    <mergeCell ref="BG649:BI649"/>
    <mergeCell ref="AA646:AC646"/>
    <mergeCell ref="AA647:AC647"/>
    <mergeCell ref="AE647:AG647"/>
    <mergeCell ref="W621:Y621"/>
    <mergeCell ref="AA621:AC621"/>
    <mergeCell ref="AI648:AK648"/>
    <mergeCell ref="AQ648:AS648"/>
    <mergeCell ref="AU648:AW648"/>
    <mergeCell ref="U481:AI481"/>
    <mergeCell ref="AS481:BG481"/>
    <mergeCell ref="U482:W482"/>
    <mergeCell ref="Y482:AA482"/>
    <mergeCell ref="BI458:BK458"/>
    <mergeCell ref="BI459:BK459"/>
    <mergeCell ref="BA459:BC459"/>
    <mergeCell ref="Y454:AA454"/>
    <mergeCell ref="AE632:AG632"/>
    <mergeCell ref="AI632:AK632"/>
    <mergeCell ref="U489:W489"/>
    <mergeCell ref="U487:W487"/>
    <mergeCell ref="BA464:BC464"/>
    <mergeCell ref="BC652:BE652"/>
    <mergeCell ref="BG652:BI652"/>
    <mergeCell ref="AE644:AG644"/>
    <mergeCell ref="AI644:AK644"/>
    <mergeCell ref="AQ644:AS644"/>
    <mergeCell ref="AU644:AW644"/>
    <mergeCell ref="AY644:BA644"/>
    <mergeCell ref="BC644:BE644"/>
    <mergeCell ref="BG644:BI644"/>
    <mergeCell ref="AA645:AC645"/>
    <mergeCell ref="AE645:AG645"/>
    <mergeCell ref="AI645:AK645"/>
    <mergeCell ref="AQ645:AS645"/>
    <mergeCell ref="AU645:AW645"/>
    <mergeCell ref="AI647:AK647"/>
    <mergeCell ref="AQ647:AS647"/>
    <mergeCell ref="AU647:AW647"/>
    <mergeCell ref="AY647:BA647"/>
    <mergeCell ref="BC647:BE647"/>
    <mergeCell ref="BG645:BI645"/>
    <mergeCell ref="BC651:BE651"/>
    <mergeCell ref="AU651:AW651"/>
    <mergeCell ref="AY651:BA651"/>
    <mergeCell ref="AA651:AC651"/>
    <mergeCell ref="BC649:BE649"/>
    <mergeCell ref="BG651:BI651"/>
    <mergeCell ref="BG646:BI646"/>
    <mergeCell ref="BC648:BE648"/>
    <mergeCell ref="BG648:BI648"/>
    <mergeCell ref="BG647:BI647"/>
    <mergeCell ref="W652:Y652"/>
    <mergeCell ref="AA652:AC652"/>
    <mergeCell ref="AE652:AG652"/>
    <mergeCell ref="AI652:AK652"/>
    <mergeCell ref="AQ652:AS652"/>
    <mergeCell ref="AU652:AW652"/>
    <mergeCell ref="AY652:BA652"/>
    <mergeCell ref="O651:Q651"/>
    <mergeCell ref="O644:Q644"/>
    <mergeCell ref="AE651:AG651"/>
    <mergeCell ref="AI651:AK651"/>
    <mergeCell ref="AQ651:AS651"/>
    <mergeCell ref="S648:U648"/>
    <mergeCell ref="W648:Y648"/>
    <mergeCell ref="O632:Q632"/>
    <mergeCell ref="W639:Y639"/>
    <mergeCell ref="AA639:AC639"/>
    <mergeCell ref="S651:U651"/>
    <mergeCell ref="S647:U647"/>
    <mergeCell ref="W647:Y647"/>
    <mergeCell ref="S646:U646"/>
    <mergeCell ref="W646:Y646"/>
    <mergeCell ref="S649:U649"/>
    <mergeCell ref="AY649:BA649"/>
    <mergeCell ref="W651:Y651"/>
    <mergeCell ref="S644:U644"/>
    <mergeCell ref="W644:Y644"/>
    <mergeCell ref="AA648:AC648"/>
    <mergeCell ref="AE648:AG648"/>
    <mergeCell ref="AY648:BA648"/>
    <mergeCell ref="BA428:BH428"/>
    <mergeCell ref="AW472:AY472"/>
    <mergeCell ref="U461:AI461"/>
    <mergeCell ref="AC454:AE454"/>
    <mergeCell ref="AC459:AE459"/>
    <mergeCell ref="AG478:AI478"/>
    <mergeCell ref="AS461:BG461"/>
    <mergeCell ref="AC462:AE462"/>
    <mergeCell ref="AG462:AI462"/>
    <mergeCell ref="AK462:AO462"/>
    <mergeCell ref="AS462:AU462"/>
    <mergeCell ref="U459:W459"/>
    <mergeCell ref="AK463:AO463"/>
    <mergeCell ref="U463:W463"/>
    <mergeCell ref="Y463:AA463"/>
    <mergeCell ref="AC463:AE463"/>
    <mergeCell ref="AG463:AI463"/>
    <mergeCell ref="AW462:AY462"/>
    <mergeCell ref="AC477:AE477"/>
    <mergeCell ref="AG477:AI477"/>
    <mergeCell ref="AS477:AU477"/>
    <mergeCell ref="AW477:AY477"/>
    <mergeCell ref="AC472:AE472"/>
    <mergeCell ref="Y473:AA473"/>
    <mergeCell ref="U467:W467"/>
    <mergeCell ref="Y467:AA467"/>
    <mergeCell ref="AC467:AE467"/>
    <mergeCell ref="BE468:BG468"/>
    <mergeCell ref="BE464:BG464"/>
    <mergeCell ref="BE454:BG454"/>
    <mergeCell ref="AW458:AY458"/>
    <mergeCell ref="Y457:AA457"/>
    <mergeCell ref="U454:W454"/>
    <mergeCell ref="AW464:AY464"/>
    <mergeCell ref="AG472:AI472"/>
    <mergeCell ref="AK472:AO472"/>
    <mergeCell ref="AS472:AU472"/>
    <mergeCell ref="U469:W469"/>
    <mergeCell ref="Y469:AA469"/>
    <mergeCell ref="AC482:AE482"/>
    <mergeCell ref="AC473:AE473"/>
    <mergeCell ref="AG473:AI473"/>
    <mergeCell ref="AK473:AO473"/>
    <mergeCell ref="AS473:AU473"/>
    <mergeCell ref="Y464:AA464"/>
    <mergeCell ref="AC464:AE464"/>
    <mergeCell ref="AG464:AI464"/>
    <mergeCell ref="AK464:AO464"/>
    <mergeCell ref="AS464:AU464"/>
    <mergeCell ref="AW473:AY473"/>
    <mergeCell ref="AS463:AU463"/>
    <mergeCell ref="AS467:AU467"/>
    <mergeCell ref="AG458:AI458"/>
    <mergeCell ref="AS458:AU458"/>
    <mergeCell ref="BI509:BK509"/>
    <mergeCell ref="BI492:BK492"/>
    <mergeCell ref="U493:W493"/>
    <mergeCell ref="Y493:AA493"/>
    <mergeCell ref="AC493:AE493"/>
    <mergeCell ref="AG493:AI493"/>
    <mergeCell ref="AK493:AO493"/>
    <mergeCell ref="AS493:AU493"/>
    <mergeCell ref="AW493:AY493"/>
    <mergeCell ref="BA493:BC493"/>
    <mergeCell ref="U492:W492"/>
    <mergeCell ref="AC494:AE494"/>
    <mergeCell ref="AG494:AI494"/>
    <mergeCell ref="AK494:AO494"/>
    <mergeCell ref="AS494:AU494"/>
    <mergeCell ref="AW494:AY494"/>
    <mergeCell ref="AS488:AU488"/>
    <mergeCell ref="Y489:AA489"/>
    <mergeCell ref="AC489:AE489"/>
    <mergeCell ref="BI493:BK493"/>
    <mergeCell ref="U490:W490"/>
    <mergeCell ref="Y494:AA494"/>
    <mergeCell ref="U500:W500"/>
    <mergeCell ref="U503:W503"/>
    <mergeCell ref="Y503:AA503"/>
    <mergeCell ref="AC503:AE503"/>
    <mergeCell ref="AW537:AY537"/>
    <mergeCell ref="BA537:BC537"/>
    <mergeCell ref="M553:O553"/>
    <mergeCell ref="Q553:S553"/>
    <mergeCell ref="U553:W553"/>
    <mergeCell ref="AS538:AU538"/>
    <mergeCell ref="AW538:AY538"/>
    <mergeCell ref="AS537:AU537"/>
    <mergeCell ref="Q550:S550"/>
    <mergeCell ref="AK492:AO492"/>
    <mergeCell ref="AS492:AU492"/>
    <mergeCell ref="AW492:AY492"/>
    <mergeCell ref="BA492:BC492"/>
    <mergeCell ref="U509:W509"/>
    <mergeCell ref="Y509:AA509"/>
    <mergeCell ref="AC509:AE509"/>
    <mergeCell ref="AG512:AI512"/>
    <mergeCell ref="U513:W513"/>
    <mergeCell ref="Y513:AA513"/>
    <mergeCell ref="AC513:AE513"/>
    <mergeCell ref="AK529:AO529"/>
    <mergeCell ref="U519:W519"/>
    <mergeCell ref="BA519:BC519"/>
    <mergeCell ref="U518:W518"/>
    <mergeCell ref="Y518:AA518"/>
    <mergeCell ref="W606:Y606"/>
    <mergeCell ref="AA598:AC598"/>
    <mergeCell ref="I571:K571"/>
    <mergeCell ref="M571:O571"/>
    <mergeCell ref="I583:K583"/>
    <mergeCell ref="M583:O583"/>
    <mergeCell ref="I551:K551"/>
    <mergeCell ref="M551:O551"/>
    <mergeCell ref="I564:K564"/>
    <mergeCell ref="M564:O564"/>
    <mergeCell ref="I573:K573"/>
    <mergeCell ref="M573:O573"/>
    <mergeCell ref="Q573:S573"/>
    <mergeCell ref="U573:W573"/>
    <mergeCell ref="Y573:AA573"/>
    <mergeCell ref="I574:K574"/>
    <mergeCell ref="M574:O574"/>
    <mergeCell ref="Q574:S574"/>
    <mergeCell ref="U574:W574"/>
    <mergeCell ref="Y574:AA574"/>
    <mergeCell ref="I572:K572"/>
    <mergeCell ref="M572:O572"/>
    <mergeCell ref="Q572:S572"/>
    <mergeCell ref="U572:W572"/>
    <mergeCell ref="Y572:AA572"/>
    <mergeCell ref="I560:K560"/>
    <mergeCell ref="M560:O560"/>
    <mergeCell ref="I562:K562"/>
    <mergeCell ref="I565:K565"/>
    <mergeCell ref="M565:O565"/>
    <mergeCell ref="I567:K567"/>
    <mergeCell ref="M567:O567"/>
    <mergeCell ref="I577:K577"/>
    <mergeCell ref="M577:O577"/>
    <mergeCell ref="I579:K579"/>
    <mergeCell ref="M579:O579"/>
    <mergeCell ref="Q579:S579"/>
    <mergeCell ref="U579:W579"/>
    <mergeCell ref="Y579:AA579"/>
    <mergeCell ref="AA611:AC611"/>
    <mergeCell ref="W598:Y598"/>
    <mergeCell ref="I581:K581"/>
    <mergeCell ref="M581:O581"/>
    <mergeCell ref="I582:K582"/>
    <mergeCell ref="M582:O582"/>
    <mergeCell ref="U550:W550"/>
    <mergeCell ref="Y550:AA550"/>
    <mergeCell ref="I568:K568"/>
    <mergeCell ref="M568:O568"/>
    <mergeCell ref="Q568:S568"/>
    <mergeCell ref="U568:W568"/>
    <mergeCell ref="Y568:AA568"/>
    <mergeCell ref="I569:K569"/>
    <mergeCell ref="M569:O569"/>
    <mergeCell ref="Q569:S569"/>
    <mergeCell ref="U569:W569"/>
    <mergeCell ref="Y569:AA569"/>
    <mergeCell ref="U571:W571"/>
    <mergeCell ref="I570:K570"/>
    <mergeCell ref="M570:O570"/>
    <mergeCell ref="I550:K550"/>
    <mergeCell ref="M550:O550"/>
    <mergeCell ref="Y571:AA571"/>
    <mergeCell ref="I576:K576"/>
    <mergeCell ref="I578:K578"/>
    <mergeCell ref="M578:O578"/>
    <mergeCell ref="Q578:S578"/>
    <mergeCell ref="U578:W578"/>
    <mergeCell ref="Y578:AA578"/>
    <mergeCell ref="I580:K580"/>
    <mergeCell ref="M580:O580"/>
    <mergeCell ref="Q580:S580"/>
    <mergeCell ref="U580:W580"/>
    <mergeCell ref="O626:Q626"/>
    <mergeCell ref="O629:Q629"/>
    <mergeCell ref="AA640:AC640"/>
    <mergeCell ref="AE640:AG640"/>
    <mergeCell ref="AI640:AK640"/>
    <mergeCell ref="AQ640:AS640"/>
    <mergeCell ref="AY630:BA630"/>
    <mergeCell ref="BC630:BE630"/>
    <mergeCell ref="AE626:AG626"/>
    <mergeCell ref="AA622:AC622"/>
    <mergeCell ref="AY626:BA626"/>
    <mergeCell ref="BC627:BE627"/>
    <mergeCell ref="O630:Q630"/>
    <mergeCell ref="W591:Y591"/>
    <mergeCell ref="AA596:AC596"/>
    <mergeCell ref="C602:Q602"/>
    <mergeCell ref="AY611:BA611"/>
    <mergeCell ref="S622:U622"/>
    <mergeCell ref="W622:Y622"/>
    <mergeCell ref="AE611:AG611"/>
    <mergeCell ref="AI611:AK611"/>
    <mergeCell ref="S621:U621"/>
    <mergeCell ref="S611:U611"/>
    <mergeCell ref="AA644:AC644"/>
    <mergeCell ref="AY645:BA645"/>
    <mergeCell ref="BC645:BE645"/>
    <mergeCell ref="S628:U628"/>
    <mergeCell ref="W628:Y628"/>
    <mergeCell ref="AA628:AC628"/>
    <mergeCell ref="AE628:AG628"/>
    <mergeCell ref="S629:U629"/>
    <mergeCell ref="W629:Y629"/>
    <mergeCell ref="AA629:AC629"/>
    <mergeCell ref="AE629:AG629"/>
    <mergeCell ref="S639:U639"/>
    <mergeCell ref="S632:U632"/>
    <mergeCell ref="AQ628:AS628"/>
    <mergeCell ref="AI631:AK631"/>
    <mergeCell ref="AE631:AG631"/>
    <mergeCell ref="AQ632:AS632"/>
    <mergeCell ref="AU632:AW632"/>
    <mergeCell ref="AY632:BA632"/>
    <mergeCell ref="S645:U645"/>
    <mergeCell ref="W645:Y645"/>
    <mergeCell ref="W640:Y640"/>
    <mergeCell ref="W632:Y632"/>
    <mergeCell ref="W630:Y630"/>
    <mergeCell ref="AA630:AC630"/>
    <mergeCell ref="AA632:AC632"/>
    <mergeCell ref="S630:U630"/>
    <mergeCell ref="BG626:BI626"/>
    <mergeCell ref="AY627:BA627"/>
    <mergeCell ref="AI626:AK626"/>
    <mergeCell ref="AE646:AG646"/>
    <mergeCell ref="AI646:AK646"/>
    <mergeCell ref="AQ646:AS646"/>
    <mergeCell ref="AU646:AW646"/>
    <mergeCell ref="AY646:BA646"/>
    <mergeCell ref="BC646:BE646"/>
    <mergeCell ref="AU627:AW627"/>
    <mergeCell ref="AE639:AG639"/>
    <mergeCell ref="AI639:AK639"/>
    <mergeCell ref="AQ639:AS639"/>
    <mergeCell ref="AU639:AW639"/>
    <mergeCell ref="AY639:BA639"/>
    <mergeCell ref="BC639:BE639"/>
    <mergeCell ref="AU630:AW630"/>
    <mergeCell ref="AI630:AK630"/>
    <mergeCell ref="AI628:AK628"/>
    <mergeCell ref="AE630:AG630"/>
    <mergeCell ref="BC640:BE640"/>
    <mergeCell ref="AU640:AW640"/>
    <mergeCell ref="AY640:BA640"/>
    <mergeCell ref="BG629:BI629"/>
    <mergeCell ref="BG639:BI639"/>
    <mergeCell ref="AQ630:AS630"/>
    <mergeCell ref="BG632:BI632"/>
    <mergeCell ref="BG628:BI628"/>
    <mergeCell ref="AQ622:AS622"/>
    <mergeCell ref="BC611:BE611"/>
    <mergeCell ref="O628:Q628"/>
    <mergeCell ref="O631:Q631"/>
    <mergeCell ref="W626:Y626"/>
    <mergeCell ref="AA626:AC626"/>
    <mergeCell ref="W612:Y612"/>
    <mergeCell ref="S599:U599"/>
    <mergeCell ref="BG640:BI640"/>
    <mergeCell ref="AI621:AK621"/>
    <mergeCell ref="AE621:AG621"/>
    <mergeCell ref="AE610:AG610"/>
    <mergeCell ref="S602:U602"/>
    <mergeCell ref="BG630:BI630"/>
    <mergeCell ref="BC631:BE631"/>
    <mergeCell ref="BG631:BI631"/>
    <mergeCell ref="W631:Y631"/>
    <mergeCell ref="AA631:AC631"/>
    <mergeCell ref="BC628:BE628"/>
    <mergeCell ref="AU628:AW628"/>
    <mergeCell ref="AY628:BA628"/>
    <mergeCell ref="AQ631:AS631"/>
    <mergeCell ref="AU631:AW631"/>
    <mergeCell ref="AU622:AW622"/>
    <mergeCell ref="AY622:BA622"/>
    <mergeCell ref="AQ611:AS611"/>
    <mergeCell ref="AU611:AW611"/>
    <mergeCell ref="BG627:BI627"/>
    <mergeCell ref="BC632:BE632"/>
    <mergeCell ref="AI627:AK627"/>
    <mergeCell ref="BC626:BE626"/>
    <mergeCell ref="AE622:AG622"/>
    <mergeCell ref="AI622:AK622"/>
    <mergeCell ref="BC621:BE621"/>
    <mergeCell ref="S631:U631"/>
    <mergeCell ref="S627:U627"/>
    <mergeCell ref="AU626:AW626"/>
    <mergeCell ref="AY631:BA631"/>
    <mergeCell ref="AU629:AW629"/>
    <mergeCell ref="AY629:BA629"/>
    <mergeCell ref="BC629:BE629"/>
    <mergeCell ref="AS519:AU519"/>
    <mergeCell ref="AW519:AY519"/>
    <mergeCell ref="BI537:BK537"/>
    <mergeCell ref="BE539:BG539"/>
    <mergeCell ref="BE537:BG537"/>
    <mergeCell ref="BE538:BG538"/>
    <mergeCell ref="AS539:AU539"/>
    <mergeCell ref="AC527:AE527"/>
    <mergeCell ref="U524:W524"/>
    <mergeCell ref="U529:W529"/>
    <mergeCell ref="W589:Y589"/>
    <mergeCell ref="AA589:AC589"/>
    <mergeCell ref="S596:U596"/>
    <mergeCell ref="Q581:S581"/>
    <mergeCell ref="U581:W581"/>
    <mergeCell ref="Y581:AA581"/>
    <mergeCell ref="Q582:S582"/>
    <mergeCell ref="W596:Y596"/>
    <mergeCell ref="BG622:BI622"/>
    <mergeCell ref="AQ627:AS627"/>
    <mergeCell ref="S626:U626"/>
    <mergeCell ref="BG611:BI611"/>
    <mergeCell ref="W627:Y627"/>
    <mergeCell ref="AA627:AC627"/>
    <mergeCell ref="AE627:AG627"/>
    <mergeCell ref="AE609:AG609"/>
    <mergeCell ref="BC622:BE622"/>
    <mergeCell ref="Y527:AA527"/>
    <mergeCell ref="AS533:AU533"/>
    <mergeCell ref="AS527:AU527"/>
    <mergeCell ref="AA599:AC599"/>
    <mergeCell ref="BG621:BI621"/>
    <mergeCell ref="AI609:AK609"/>
    <mergeCell ref="AQ609:AS609"/>
    <mergeCell ref="AU609:AW609"/>
    <mergeCell ref="AC538:AE538"/>
    <mergeCell ref="Y529:AA529"/>
    <mergeCell ref="Y563:AA563"/>
    <mergeCell ref="AG538:AI538"/>
    <mergeCell ref="Y533:AA533"/>
    <mergeCell ref="AC533:AE533"/>
    <mergeCell ref="AG533:AI533"/>
    <mergeCell ref="BI538:BK538"/>
    <mergeCell ref="BI539:BK539"/>
    <mergeCell ref="S544:AK544"/>
    <mergeCell ref="BA533:BC533"/>
    <mergeCell ref="BA534:BC534"/>
    <mergeCell ref="BE534:BG534"/>
    <mergeCell ref="U533:W533"/>
    <mergeCell ref="Y580:AA580"/>
    <mergeCell ref="S609:U609"/>
    <mergeCell ref="W609:Y609"/>
    <mergeCell ref="Q548:S548"/>
    <mergeCell ref="Q565:S565"/>
    <mergeCell ref="S546:AK546"/>
    <mergeCell ref="U549:W549"/>
    <mergeCell ref="Y549:AA549"/>
    <mergeCell ref="U548:W548"/>
    <mergeCell ref="AA592:AC592"/>
    <mergeCell ref="AE592:AG592"/>
    <mergeCell ref="U576:W576"/>
    <mergeCell ref="Y576:AA576"/>
    <mergeCell ref="U565:W565"/>
    <mergeCell ref="W611:Y611"/>
    <mergeCell ref="AQ621:AS621"/>
    <mergeCell ref="AU621:AW621"/>
    <mergeCell ref="AY621:BA621"/>
    <mergeCell ref="BC609:BE609"/>
    <mergeCell ref="BG609:BI609"/>
    <mergeCell ref="U558:W558"/>
    <mergeCell ref="S588:U588"/>
    <mergeCell ref="AA607:AC607"/>
    <mergeCell ref="AE607:AG607"/>
    <mergeCell ref="AI607:AK607"/>
    <mergeCell ref="W597:Y597"/>
    <mergeCell ref="Q571:S571"/>
    <mergeCell ref="S605:U605"/>
    <mergeCell ref="Q551:S551"/>
    <mergeCell ref="U551:W551"/>
    <mergeCell ref="Y551:AA551"/>
    <mergeCell ref="Q563:S563"/>
    <mergeCell ref="Q564:S564"/>
    <mergeCell ref="Q560:S560"/>
    <mergeCell ref="AI599:AK599"/>
    <mergeCell ref="AE604:AG604"/>
    <mergeCell ref="S598:U598"/>
    <mergeCell ref="Y553:AA553"/>
    <mergeCell ref="AS514:AU514"/>
    <mergeCell ref="AW514:AY514"/>
    <mergeCell ref="U522:W522"/>
    <mergeCell ref="BE522:BG522"/>
    <mergeCell ref="BE513:BG513"/>
    <mergeCell ref="AC487:AE487"/>
    <mergeCell ref="AC518:AE518"/>
    <mergeCell ref="AG518:AI518"/>
    <mergeCell ref="AK518:AO518"/>
    <mergeCell ref="AS518:AU518"/>
    <mergeCell ref="AW518:AY518"/>
    <mergeCell ref="BA518:BC518"/>
    <mergeCell ref="BE527:BG527"/>
    <mergeCell ref="BG380:BI380"/>
    <mergeCell ref="AY380:BA380"/>
    <mergeCell ref="BG146:BI146"/>
    <mergeCell ref="AQ158:AS158"/>
    <mergeCell ref="AE162:AK162"/>
    <mergeCell ref="AE158:AG158"/>
    <mergeCell ref="AI158:AK158"/>
    <mergeCell ref="AQ160:AS160"/>
    <mergeCell ref="BC158:BE158"/>
    <mergeCell ref="BG158:BI158"/>
    <mergeCell ref="S162:U162"/>
    <mergeCell ref="AY152:BA152"/>
    <mergeCell ref="S152:U152"/>
    <mergeCell ref="AU152:AW152"/>
    <mergeCell ref="AS516:BG516"/>
    <mergeCell ref="S168:U168"/>
    <mergeCell ref="AQ148:AS148"/>
    <mergeCell ref="AU148:AW148"/>
    <mergeCell ref="AU174:AW174"/>
    <mergeCell ref="BE503:BG503"/>
    <mergeCell ref="BI494:BK494"/>
    <mergeCell ref="AU128:AW128"/>
    <mergeCell ref="AA132:AC132"/>
    <mergeCell ref="AA156:AC156"/>
    <mergeCell ref="AY140:BA140"/>
    <mergeCell ref="BC140:BE140"/>
    <mergeCell ref="AQ150:AS150"/>
    <mergeCell ref="AE140:AG140"/>
    <mergeCell ref="AI140:AK140"/>
    <mergeCell ref="AU140:AW140"/>
    <mergeCell ref="BG160:BI160"/>
    <mergeCell ref="BC160:BE160"/>
    <mergeCell ref="AA166:AC166"/>
    <mergeCell ref="AE166:AG166"/>
    <mergeCell ref="W165:Y165"/>
    <mergeCell ref="AA164:AC164"/>
    <mergeCell ref="BC164:BE164"/>
    <mergeCell ref="AQ168:AS168"/>
    <mergeCell ref="AI165:AK165"/>
    <mergeCell ref="AE165:AG165"/>
    <mergeCell ref="AI168:AK168"/>
    <mergeCell ref="U484:W484"/>
    <mergeCell ref="Y484:AA484"/>
    <mergeCell ref="AC484:AE484"/>
    <mergeCell ref="U483:W483"/>
    <mergeCell ref="Y483:AA483"/>
    <mergeCell ref="AC483:AE483"/>
    <mergeCell ref="AG483:AI483"/>
    <mergeCell ref="AK483:AO483"/>
    <mergeCell ref="AS483:AU483"/>
    <mergeCell ref="AG454:AI454"/>
    <mergeCell ref="AY150:BA150"/>
    <mergeCell ref="AA150:AC150"/>
    <mergeCell ref="W152:Y152"/>
    <mergeCell ref="AA152:AC152"/>
    <mergeCell ref="AE152:AG152"/>
    <mergeCell ref="AY156:BA156"/>
    <mergeCell ref="BC152:BE152"/>
    <mergeCell ref="AU154:AW154"/>
    <mergeCell ref="AE154:AG154"/>
    <mergeCell ref="AA142:AC142"/>
    <mergeCell ref="W150:Y150"/>
    <mergeCell ref="S136:AK136"/>
    <mergeCell ref="AA128:AC128"/>
    <mergeCell ref="W128:Y128"/>
    <mergeCell ref="AU146:AW146"/>
    <mergeCell ref="AI154:AK154"/>
    <mergeCell ref="AQ154:AS154"/>
    <mergeCell ref="S132:U132"/>
    <mergeCell ref="S134:U134"/>
    <mergeCell ref="AU156:AW156"/>
    <mergeCell ref="AI142:AK142"/>
    <mergeCell ref="AQ136:BI136"/>
    <mergeCell ref="AY138:BA138"/>
    <mergeCell ref="BC138:BE138"/>
    <mergeCell ref="BG140:BI140"/>
    <mergeCell ref="S156:U156"/>
    <mergeCell ref="W156:Y156"/>
    <mergeCell ref="AY148:BA148"/>
    <mergeCell ref="AQ142:AS142"/>
    <mergeCell ref="AU142:AW142"/>
    <mergeCell ref="AE144:AG144"/>
    <mergeCell ref="S148:U148"/>
    <mergeCell ref="AU126:AW126"/>
    <mergeCell ref="AY126:BA126"/>
    <mergeCell ref="S158:U158"/>
    <mergeCell ref="W158:Y158"/>
    <mergeCell ref="AI126:AK126"/>
    <mergeCell ref="AQ126:AS126"/>
    <mergeCell ref="S128:U128"/>
    <mergeCell ref="AQ128:AS128"/>
    <mergeCell ref="S142:U142"/>
    <mergeCell ref="W132:Y132"/>
    <mergeCell ref="BC162:BI162"/>
    <mergeCell ref="AQ146:AS146"/>
    <mergeCell ref="AQ152:AS152"/>
    <mergeCell ref="AI152:AK152"/>
    <mergeCell ref="AU160:AW160"/>
    <mergeCell ref="AU158:AW158"/>
    <mergeCell ref="D184:N184"/>
    <mergeCell ref="AU167:AW167"/>
    <mergeCell ref="AA126:AC126"/>
    <mergeCell ref="AE126:AG126"/>
    <mergeCell ref="AQ132:AS132"/>
    <mergeCell ref="AU182:AW182"/>
    <mergeCell ref="AI182:AK182"/>
    <mergeCell ref="AQ178:AS178"/>
    <mergeCell ref="AE146:AG146"/>
    <mergeCell ref="W168:Y168"/>
    <mergeCell ref="AA168:AC168"/>
    <mergeCell ref="AE168:AG168"/>
    <mergeCell ref="AA148:AC148"/>
    <mergeCell ref="AE148:AG148"/>
    <mergeCell ref="AU168:AW168"/>
    <mergeCell ref="AQ165:AS165"/>
    <mergeCell ref="R172:U172"/>
    <mergeCell ref="W134:Y134"/>
    <mergeCell ref="AE128:AG128"/>
    <mergeCell ref="AI128:AK128"/>
    <mergeCell ref="AA144:AC144"/>
    <mergeCell ref="AA140:AC140"/>
    <mergeCell ref="AQ140:AS140"/>
    <mergeCell ref="AQ138:AS138"/>
    <mergeCell ref="AU138:AW138"/>
    <mergeCell ref="S144:U144"/>
    <mergeCell ref="AA182:AC182"/>
    <mergeCell ref="AE182:AG182"/>
    <mergeCell ref="W160:Y160"/>
    <mergeCell ref="W144:Y144"/>
    <mergeCell ref="AE156:AG156"/>
    <mergeCell ref="AI156:AK156"/>
    <mergeCell ref="AE150:AG150"/>
    <mergeCell ref="AE174:AG174"/>
    <mergeCell ref="S167:U167"/>
    <mergeCell ref="AA138:AC138"/>
    <mergeCell ref="AE138:AG138"/>
    <mergeCell ref="AE178:AG178"/>
    <mergeCell ref="S140:U140"/>
    <mergeCell ref="AQ172:AS172"/>
    <mergeCell ref="AU170:AW170"/>
    <mergeCell ref="AA165:AC165"/>
    <mergeCell ref="AU164:AW164"/>
    <mergeCell ref="W182:Y182"/>
    <mergeCell ref="S154:U154"/>
    <mergeCell ref="W162:Y162"/>
    <mergeCell ref="AA162:AC162"/>
    <mergeCell ref="BG132:BI132"/>
    <mergeCell ref="BG134:BI134"/>
    <mergeCell ref="BG128:BI128"/>
    <mergeCell ref="BG167:BI167"/>
    <mergeCell ref="AE134:AG134"/>
    <mergeCell ref="AI134:AK134"/>
    <mergeCell ref="AU134:AW134"/>
    <mergeCell ref="AY134:BA134"/>
    <mergeCell ref="BC134:BE134"/>
    <mergeCell ref="AI144:AK144"/>
    <mergeCell ref="AQ144:AS144"/>
    <mergeCell ref="AA160:AC160"/>
    <mergeCell ref="AE160:AG160"/>
    <mergeCell ref="AI160:AK160"/>
    <mergeCell ref="AI146:AK146"/>
    <mergeCell ref="BC150:BE150"/>
    <mergeCell ref="BC144:BE144"/>
    <mergeCell ref="BC148:BE148"/>
    <mergeCell ref="AY154:BA154"/>
    <mergeCell ref="BC154:BE154"/>
    <mergeCell ref="AQ134:AS134"/>
    <mergeCell ref="BC132:BE132"/>
    <mergeCell ref="AE132:AG132"/>
    <mergeCell ref="AI132:AK132"/>
    <mergeCell ref="AU132:AW132"/>
    <mergeCell ref="AY132:BA132"/>
    <mergeCell ref="AY142:BA142"/>
    <mergeCell ref="BC128:BE128"/>
    <mergeCell ref="AY164:BA164"/>
    <mergeCell ref="AU165:AW165"/>
    <mergeCell ref="AI167:AK167"/>
    <mergeCell ref="AQ167:AS167"/>
    <mergeCell ref="AI190:AK190"/>
    <mergeCell ref="AA158:AC158"/>
    <mergeCell ref="AU178:AW178"/>
    <mergeCell ref="AY178:BA178"/>
    <mergeCell ref="AY170:BA170"/>
    <mergeCell ref="BC174:BE174"/>
    <mergeCell ref="BG168:BI168"/>
    <mergeCell ref="BC165:BE165"/>
    <mergeCell ref="AY172:BA172"/>
    <mergeCell ref="AX190:BA190"/>
    <mergeCell ref="BB190:BE190"/>
    <mergeCell ref="AU180:AW180"/>
    <mergeCell ref="AY180:BA180"/>
    <mergeCell ref="BC180:BE180"/>
    <mergeCell ref="BG180:BI180"/>
    <mergeCell ref="AI172:AK172"/>
    <mergeCell ref="AA178:AC178"/>
    <mergeCell ref="AI178:AK178"/>
    <mergeCell ref="AQ170:AS170"/>
    <mergeCell ref="AU172:AW172"/>
    <mergeCell ref="AY167:BA167"/>
    <mergeCell ref="AA167:AC167"/>
    <mergeCell ref="AE167:AG167"/>
    <mergeCell ref="BG164:BI164"/>
    <mergeCell ref="BG198:BI198"/>
    <mergeCell ref="AQ198:BE198"/>
    <mergeCell ref="S176:U176"/>
    <mergeCell ref="W176:Y176"/>
    <mergeCell ref="AA176:AC176"/>
    <mergeCell ref="AE176:AG176"/>
    <mergeCell ref="AI176:AK176"/>
    <mergeCell ref="AI164:AK164"/>
    <mergeCell ref="AE164:AG164"/>
    <mergeCell ref="V172:Y172"/>
    <mergeCell ref="AI166:AK166"/>
    <mergeCell ref="AQ166:AS166"/>
    <mergeCell ref="BG178:BI178"/>
    <mergeCell ref="AA174:AC174"/>
    <mergeCell ref="S174:U174"/>
    <mergeCell ref="AQ164:AS164"/>
    <mergeCell ref="AD172:AG172"/>
    <mergeCell ref="AA170:AC170"/>
    <mergeCell ref="AE170:AG170"/>
    <mergeCell ref="S180:U180"/>
    <mergeCell ref="W180:Y180"/>
    <mergeCell ref="W178:Y178"/>
    <mergeCell ref="W174:Y174"/>
    <mergeCell ref="AI174:AK174"/>
    <mergeCell ref="AQ174:AS174"/>
    <mergeCell ref="BG174:BI174"/>
    <mergeCell ref="BG170:BI170"/>
    <mergeCell ref="BC172:BE172"/>
    <mergeCell ref="AQ182:AS182"/>
    <mergeCell ref="W167:Y167"/>
    <mergeCell ref="AY168:BA168"/>
    <mergeCell ref="AI194:AK194"/>
    <mergeCell ref="AI204:AK204"/>
    <mergeCell ref="AA180:AC180"/>
    <mergeCell ref="AE180:AG180"/>
    <mergeCell ref="AI180:AK180"/>
    <mergeCell ref="AQ180:AS180"/>
    <mergeCell ref="S178:U178"/>
    <mergeCell ref="AQ208:BI208"/>
    <mergeCell ref="AE192:AG192"/>
    <mergeCell ref="AI196:AK196"/>
    <mergeCell ref="AI200:AK200"/>
    <mergeCell ref="BG304:BI304"/>
    <mergeCell ref="AU303:AW303"/>
    <mergeCell ref="AY303:BA303"/>
    <mergeCell ref="BC314:BE314"/>
    <mergeCell ref="BC303:BE303"/>
    <mergeCell ref="AQ240:AS240"/>
    <mergeCell ref="BG204:BI204"/>
    <mergeCell ref="AY182:BA182"/>
    <mergeCell ref="BC182:BE182"/>
    <mergeCell ref="BG182:BI182"/>
    <mergeCell ref="BC311:BE311"/>
    <mergeCell ref="BF307:BI307"/>
    <mergeCell ref="AU300:AW300"/>
    <mergeCell ref="AY300:BA300"/>
    <mergeCell ref="AU302:AW302"/>
    <mergeCell ref="BC300:BE300"/>
    <mergeCell ref="BG300:BI300"/>
    <mergeCell ref="BG200:BI200"/>
    <mergeCell ref="AI304:AK304"/>
    <mergeCell ref="AQ192:AS192"/>
    <mergeCell ref="AH307:AK307"/>
    <mergeCell ref="AA302:AC302"/>
    <mergeCell ref="BF318:BI318"/>
    <mergeCell ref="AX318:BA318"/>
    <mergeCell ref="BB318:BE318"/>
    <mergeCell ref="AQ344:AS344"/>
    <mergeCell ref="AY371:BA371"/>
    <mergeCell ref="AQ311:AS311"/>
    <mergeCell ref="BG311:BI311"/>
    <mergeCell ref="BF285:BI285"/>
    <mergeCell ref="AP232:AS232"/>
    <mergeCell ref="AH305:AK305"/>
    <mergeCell ref="BF305:BI305"/>
    <mergeCell ref="BG302:BI302"/>
    <mergeCell ref="AQ254:AS254"/>
    <mergeCell ref="BG370:BI370"/>
    <mergeCell ref="BF281:BI281"/>
    <mergeCell ref="BF284:BI284"/>
    <mergeCell ref="AI300:AK300"/>
    <mergeCell ref="AQ302:AS302"/>
    <mergeCell ref="AQ312:AS312"/>
    <mergeCell ref="AY312:BA312"/>
    <mergeCell ref="BF320:BI320"/>
    <mergeCell ref="AQ314:AS314"/>
    <mergeCell ref="AQ264:AS264"/>
    <mergeCell ref="BG312:BI312"/>
    <mergeCell ref="BC316:BE316"/>
    <mergeCell ref="AY317:BA317"/>
    <mergeCell ref="BC317:BE317"/>
    <mergeCell ref="AQ317:AS317"/>
    <mergeCell ref="AU331:AW331"/>
    <mergeCell ref="BG303:BI303"/>
    <mergeCell ref="BC302:BE302"/>
    <mergeCell ref="AU304:AW304"/>
    <mergeCell ref="BB281:BE281"/>
    <mergeCell ref="BB284:BE284"/>
    <mergeCell ref="AQ335:AS335"/>
    <mergeCell ref="AY335:BA335"/>
    <mergeCell ref="AH285:AK285"/>
    <mergeCell ref="AP285:AS285"/>
    <mergeCell ref="AT285:AW285"/>
    <mergeCell ref="AX285:BA285"/>
    <mergeCell ref="BB285:BE285"/>
    <mergeCell ref="AP281:AS281"/>
    <mergeCell ref="AT281:AW281"/>
    <mergeCell ref="AX281:BA281"/>
    <mergeCell ref="AA335:AC335"/>
    <mergeCell ref="AE324:AG324"/>
    <mergeCell ref="AE330:AG330"/>
    <mergeCell ref="AE331:AG331"/>
    <mergeCell ref="BC335:BE335"/>
    <mergeCell ref="AU317:AW317"/>
    <mergeCell ref="AD283:AG283"/>
    <mergeCell ref="AH283:AK283"/>
    <mergeCell ref="BC330:BE330"/>
    <mergeCell ref="BC331:BE331"/>
    <mergeCell ref="AU311:AW311"/>
    <mergeCell ref="AA311:AC311"/>
    <mergeCell ref="AU316:AW316"/>
    <mergeCell ref="AY316:BA316"/>
    <mergeCell ref="AY329:BA329"/>
    <mergeCell ref="AU324:AW324"/>
    <mergeCell ref="AU312:AW312"/>
    <mergeCell ref="AP305:AS305"/>
    <mergeCell ref="AT305:AW305"/>
    <mergeCell ref="AA315:AC315"/>
    <mergeCell ref="S194:U194"/>
    <mergeCell ref="W194:Y194"/>
    <mergeCell ref="Z190:AC190"/>
    <mergeCell ref="R225:U225"/>
    <mergeCell ref="BC304:BE304"/>
    <mergeCell ref="S303:U303"/>
    <mergeCell ref="AQ303:AS303"/>
    <mergeCell ref="AA192:AC192"/>
    <mergeCell ref="W192:Y192"/>
    <mergeCell ref="S192:U192"/>
    <mergeCell ref="AI192:AK192"/>
    <mergeCell ref="R305:U305"/>
    <mergeCell ref="V305:Y305"/>
    <mergeCell ref="Z305:AC305"/>
    <mergeCell ref="AI198:AK198"/>
    <mergeCell ref="AD190:AG190"/>
    <mergeCell ref="R190:U190"/>
    <mergeCell ref="V190:Y190"/>
    <mergeCell ref="Z285:AC285"/>
    <mergeCell ref="AD285:AG285"/>
    <mergeCell ref="AY302:BA302"/>
    <mergeCell ref="AI303:AK303"/>
    <mergeCell ref="AU192:AW192"/>
    <mergeCell ref="S198:AG198"/>
    <mergeCell ref="W304:Y304"/>
    <mergeCell ref="AQ194:AS194"/>
    <mergeCell ref="AA194:AC194"/>
    <mergeCell ref="AE194:AG194"/>
    <mergeCell ref="S304:U304"/>
    <mergeCell ref="AQ206:BI206"/>
    <mergeCell ref="BB305:BE305"/>
    <mergeCell ref="AD305:AG305"/>
    <mergeCell ref="AX305:BA305"/>
    <mergeCell ref="S370:U370"/>
    <mergeCell ref="S344:U344"/>
    <mergeCell ref="AY338:BA338"/>
    <mergeCell ref="S337:U337"/>
    <mergeCell ref="AY328:BA328"/>
    <mergeCell ref="W345:Y345"/>
    <mergeCell ref="AA349:AC349"/>
    <mergeCell ref="W341:Y341"/>
    <mergeCell ref="AA341:AC341"/>
    <mergeCell ref="W337:Y337"/>
    <mergeCell ref="AA329:AC329"/>
    <mergeCell ref="AQ329:AS329"/>
    <mergeCell ref="AP321:AS321"/>
    <mergeCell ref="AT321:AW321"/>
    <mergeCell ref="W316:Y316"/>
    <mergeCell ref="S327:U327"/>
    <mergeCell ref="AU315:AW315"/>
    <mergeCell ref="AY315:BA315"/>
    <mergeCell ref="AU352:AW352"/>
    <mergeCell ref="W344:Y344"/>
    <mergeCell ref="R356:U356"/>
    <mergeCell ref="V356:Y356"/>
    <mergeCell ref="AE312:AG312"/>
    <mergeCell ref="AI312:AK312"/>
    <mergeCell ref="AP306:AS306"/>
    <mergeCell ref="AX306:BA306"/>
    <mergeCell ref="BB306:BE306"/>
    <mergeCell ref="S324:U324"/>
    <mergeCell ref="R373:U373"/>
    <mergeCell ref="S368:U368"/>
    <mergeCell ref="S346:U346"/>
    <mergeCell ref="AQ343:AS343"/>
    <mergeCell ref="AU343:AW343"/>
    <mergeCell ref="S349:U349"/>
    <mergeCell ref="AU370:AW370"/>
    <mergeCell ref="AQ331:AS331"/>
    <mergeCell ref="AE335:AG335"/>
    <mergeCell ref="S372:U372"/>
    <mergeCell ref="S328:U328"/>
    <mergeCell ref="AA330:AC330"/>
    <mergeCell ref="AQ371:AS371"/>
    <mergeCell ref="AY370:BA370"/>
    <mergeCell ref="AY346:BA346"/>
    <mergeCell ref="AY349:BA349"/>
    <mergeCell ref="AU349:AW349"/>
    <mergeCell ref="AQ370:AS370"/>
    <mergeCell ref="AA343:AC343"/>
    <mergeCell ref="AQ337:AS337"/>
    <mergeCell ref="AU337:AW337"/>
    <mergeCell ref="AI370:AK370"/>
    <mergeCell ref="W368:Y368"/>
    <mergeCell ref="AE337:AG337"/>
    <mergeCell ref="AE338:AG338"/>
    <mergeCell ref="S335:U335"/>
    <mergeCell ref="AA352:AC352"/>
    <mergeCell ref="AE352:AG352"/>
    <mergeCell ref="AI352:AK352"/>
    <mergeCell ref="AQ352:AS352"/>
    <mergeCell ref="W417:Y417"/>
    <mergeCell ref="S407:U407"/>
    <mergeCell ref="W413:Y413"/>
    <mergeCell ref="AY386:BA386"/>
    <mergeCell ref="BC386:BE386"/>
    <mergeCell ref="S384:U384"/>
    <mergeCell ref="W384:Y384"/>
    <mergeCell ref="AA384:AC384"/>
    <mergeCell ref="AE384:AG384"/>
    <mergeCell ref="AQ384:AS384"/>
    <mergeCell ref="AU384:AW384"/>
    <mergeCell ref="AY384:BA384"/>
    <mergeCell ref="BC384:BE384"/>
    <mergeCell ref="AE383:AG383"/>
    <mergeCell ref="AA383:AC383"/>
    <mergeCell ref="BC385:BE385"/>
    <mergeCell ref="S380:U380"/>
    <mergeCell ref="AA398:AC398"/>
    <mergeCell ref="AU414:AW414"/>
    <mergeCell ref="AY414:BA414"/>
    <mergeCell ref="AY398:BA398"/>
    <mergeCell ref="S400:U400"/>
    <mergeCell ref="W400:Y400"/>
    <mergeCell ref="AA400:AC400"/>
    <mergeCell ref="AQ400:AS400"/>
    <mergeCell ref="AU400:AW400"/>
    <mergeCell ref="AY400:BA400"/>
    <mergeCell ref="AA406:AC406"/>
    <mergeCell ref="S406:U406"/>
    <mergeCell ref="W406:Y406"/>
    <mergeCell ref="AU406:AW406"/>
    <mergeCell ref="AQ412:AS412"/>
    <mergeCell ref="AC457:AE457"/>
    <mergeCell ref="AG457:AI457"/>
    <mergeCell ref="AS457:AU457"/>
    <mergeCell ref="BA458:BC458"/>
    <mergeCell ref="AS454:AU454"/>
    <mergeCell ref="BG372:BI372"/>
    <mergeCell ref="S417:U417"/>
    <mergeCell ref="AY406:BA406"/>
    <mergeCell ref="BF387:BI387"/>
    <mergeCell ref="AH387:AK387"/>
    <mergeCell ref="AP387:AS387"/>
    <mergeCell ref="AC469:AE469"/>
    <mergeCell ref="AG469:AI469"/>
    <mergeCell ref="BI462:BK462"/>
    <mergeCell ref="BI464:BK464"/>
    <mergeCell ref="AK459:AO459"/>
    <mergeCell ref="BI463:BK463"/>
    <mergeCell ref="AQ413:AS413"/>
    <mergeCell ref="AQ407:AS407"/>
    <mergeCell ref="AU407:AW407"/>
    <mergeCell ref="AY407:BA407"/>
    <mergeCell ref="BE463:BG463"/>
    <mergeCell ref="BA467:BC467"/>
    <mergeCell ref="BE467:BG467"/>
    <mergeCell ref="Y468:AA468"/>
    <mergeCell ref="BE469:BG469"/>
    <mergeCell ref="BE459:BG459"/>
    <mergeCell ref="Y458:AA458"/>
    <mergeCell ref="BA457:BC457"/>
    <mergeCell ref="Y459:AA459"/>
    <mergeCell ref="BE457:BG457"/>
    <mergeCell ref="W398:Y398"/>
    <mergeCell ref="BF425:BI425"/>
    <mergeCell ref="AP424:AS424"/>
    <mergeCell ref="AT424:AW424"/>
    <mergeCell ref="AX424:BA424"/>
    <mergeCell ref="BB424:BE424"/>
    <mergeCell ref="BF424:BI424"/>
    <mergeCell ref="AQ404:AS404"/>
    <mergeCell ref="AW539:AY539"/>
    <mergeCell ref="BA539:BC539"/>
    <mergeCell ref="AG487:AI487"/>
    <mergeCell ref="AS487:AU487"/>
    <mergeCell ref="AW487:AY487"/>
    <mergeCell ref="U514:W514"/>
    <mergeCell ref="U527:W527"/>
    <mergeCell ref="AK538:AO538"/>
    <mergeCell ref="AG482:AI482"/>
    <mergeCell ref="AK482:AO482"/>
    <mergeCell ref="AS482:AU482"/>
    <mergeCell ref="U479:W479"/>
    <mergeCell ref="Y479:AA479"/>
    <mergeCell ref="AG479:AI479"/>
    <mergeCell ref="AS479:AU479"/>
    <mergeCell ref="AW479:AY479"/>
    <mergeCell ref="AG484:AI484"/>
    <mergeCell ref="AK484:AO484"/>
    <mergeCell ref="AS484:AU484"/>
    <mergeCell ref="BA487:BC487"/>
    <mergeCell ref="AW533:AY533"/>
    <mergeCell ref="U523:W523"/>
    <mergeCell ref="AG524:AI524"/>
    <mergeCell ref="AG529:AI529"/>
    <mergeCell ref="U516:AI516"/>
    <mergeCell ref="U494:W494"/>
    <mergeCell ref="AK509:AO509"/>
    <mergeCell ref="AW509:AY509"/>
    <mergeCell ref="BA509:BC509"/>
    <mergeCell ref="AK528:AO528"/>
    <mergeCell ref="BE533:BG533"/>
    <mergeCell ref="AC490:AE490"/>
    <mergeCell ref="AG490:AI490"/>
    <mergeCell ref="AS528:AU528"/>
    <mergeCell ref="BE523:BG523"/>
    <mergeCell ref="AW522:AY522"/>
    <mergeCell ref="BE524:BG524"/>
    <mergeCell ref="BI473:BK473"/>
    <mergeCell ref="BE489:BG489"/>
    <mergeCell ref="BA538:BC538"/>
    <mergeCell ref="U517:W517"/>
    <mergeCell ref="Y517:AA517"/>
    <mergeCell ref="AC517:AE517"/>
    <mergeCell ref="AG517:AI517"/>
    <mergeCell ref="AK517:AO517"/>
    <mergeCell ref="AG509:AI509"/>
    <mergeCell ref="BA494:BC494"/>
    <mergeCell ref="AC479:AE479"/>
    <mergeCell ref="BI529:BK529"/>
    <mergeCell ref="BI519:BK519"/>
    <mergeCell ref="BI527:BK527"/>
    <mergeCell ref="BE532:BG532"/>
    <mergeCell ref="BE529:BG529"/>
    <mergeCell ref="BE528:BG528"/>
    <mergeCell ref="BI518:BK518"/>
    <mergeCell ref="Y514:AA514"/>
    <mergeCell ref="AC514:AE514"/>
    <mergeCell ref="BI517:BK517"/>
    <mergeCell ref="BI483:BK483"/>
    <mergeCell ref="BI482:BK482"/>
    <mergeCell ref="BE509:BG509"/>
    <mergeCell ref="AS509:AU509"/>
    <mergeCell ref="AS524:AU524"/>
    <mergeCell ref="BI484:BK484"/>
    <mergeCell ref="AG523:AI523"/>
    <mergeCell ref="AS523:AU523"/>
    <mergeCell ref="AW524:AY524"/>
    <mergeCell ref="AW489:AY489"/>
    <mergeCell ref="AW484:AY484"/>
    <mergeCell ref="BA484:BC484"/>
    <mergeCell ref="AS478:AU478"/>
    <mergeCell ref="AW478:AY478"/>
    <mergeCell ref="BA478:BC478"/>
    <mergeCell ref="BE479:BG479"/>
    <mergeCell ref="BA524:BC524"/>
    <mergeCell ref="BA523:BC523"/>
    <mergeCell ref="BI504:BK504"/>
    <mergeCell ref="AK502:AO502"/>
    <mergeCell ref="AS502:AU502"/>
    <mergeCell ref="AW502:AY502"/>
    <mergeCell ref="BA502:BC502"/>
    <mergeCell ref="BE502:BG502"/>
    <mergeCell ref="BI502:BK502"/>
    <mergeCell ref="BA517:BC517"/>
    <mergeCell ref="BA513:BC513"/>
    <mergeCell ref="AK503:AO503"/>
    <mergeCell ref="AS503:AU503"/>
    <mergeCell ref="AW503:AY503"/>
    <mergeCell ref="BA503:BC503"/>
    <mergeCell ref="AC478:AE478"/>
    <mergeCell ref="BE494:BG494"/>
    <mergeCell ref="BE492:BG492"/>
    <mergeCell ref="BE487:BG487"/>
    <mergeCell ref="BE484:BG484"/>
    <mergeCell ref="Y492:AA492"/>
    <mergeCell ref="AC492:AE492"/>
    <mergeCell ref="AG492:AI492"/>
    <mergeCell ref="AW483:AY483"/>
    <mergeCell ref="BA483:BC483"/>
    <mergeCell ref="BE483:BG483"/>
    <mergeCell ref="BA489:BC489"/>
    <mergeCell ref="Y487:AA487"/>
    <mergeCell ref="AC512:AE512"/>
    <mergeCell ref="BA479:BC479"/>
    <mergeCell ref="Y512:AA512"/>
    <mergeCell ref="BE518:BG518"/>
    <mergeCell ref="BE517:BG517"/>
    <mergeCell ref="AS517:AU517"/>
    <mergeCell ref="Y490:AA490"/>
    <mergeCell ref="AW482:AY482"/>
    <mergeCell ref="BA482:BC482"/>
    <mergeCell ref="BE482:BG482"/>
    <mergeCell ref="Y500:AA500"/>
    <mergeCell ref="AC500:AE500"/>
    <mergeCell ref="AG500:AI500"/>
    <mergeCell ref="U501:AI501"/>
    <mergeCell ref="AS501:BG501"/>
    <mergeCell ref="U502:W502"/>
    <mergeCell ref="Y502:AA502"/>
    <mergeCell ref="AC502:AE502"/>
    <mergeCell ref="AG502:AI502"/>
    <mergeCell ref="AG527:AI527"/>
    <mergeCell ref="AK519:AO519"/>
    <mergeCell ref="AW517:AY517"/>
    <mergeCell ref="AG522:AI522"/>
    <mergeCell ref="AC519:AE519"/>
    <mergeCell ref="BE519:BG519"/>
    <mergeCell ref="BE493:BG493"/>
    <mergeCell ref="BA529:BC529"/>
    <mergeCell ref="Y523:AA523"/>
    <mergeCell ref="U526:AI526"/>
    <mergeCell ref="AG528:AI528"/>
    <mergeCell ref="AA591:AC591"/>
    <mergeCell ref="S592:U592"/>
    <mergeCell ref="S589:U589"/>
    <mergeCell ref="U532:W532"/>
    <mergeCell ref="Y532:AA532"/>
    <mergeCell ref="AC532:AE532"/>
    <mergeCell ref="AG532:AI532"/>
    <mergeCell ref="AS532:AU532"/>
    <mergeCell ref="AW532:AY532"/>
    <mergeCell ref="AS534:AU534"/>
    <mergeCell ref="AW534:AY534"/>
    <mergeCell ref="Q577:S577"/>
    <mergeCell ref="Q549:S549"/>
    <mergeCell ref="Q567:S567"/>
    <mergeCell ref="Q570:S570"/>
    <mergeCell ref="Q558:S558"/>
    <mergeCell ref="Q559:S559"/>
    <mergeCell ref="BA532:BC532"/>
    <mergeCell ref="Y577:AA577"/>
    <mergeCell ref="Q562:S562"/>
    <mergeCell ref="U562:W562"/>
    <mergeCell ref="AA612:AC612"/>
    <mergeCell ref="AE612:AG612"/>
    <mergeCell ref="AI612:AK612"/>
    <mergeCell ref="AQ612:AS612"/>
    <mergeCell ref="W592:Y592"/>
    <mergeCell ref="AI594:AK594"/>
    <mergeCell ref="AE591:AG591"/>
    <mergeCell ref="Y548:AA548"/>
    <mergeCell ref="U539:W539"/>
    <mergeCell ref="Y539:AA539"/>
    <mergeCell ref="AC539:AE539"/>
    <mergeCell ref="AG539:AI539"/>
    <mergeCell ref="U534:W534"/>
    <mergeCell ref="Y534:AA534"/>
    <mergeCell ref="AC534:AE534"/>
    <mergeCell ref="AG534:AI534"/>
    <mergeCell ref="U538:W538"/>
    <mergeCell ref="AI605:AK605"/>
    <mergeCell ref="AK537:AO537"/>
    <mergeCell ref="AK539:AO539"/>
    <mergeCell ref="AE598:AG598"/>
    <mergeCell ref="Y538:AA538"/>
    <mergeCell ref="AG537:AI537"/>
    <mergeCell ref="U582:W582"/>
    <mergeCell ref="Y582:AA582"/>
    <mergeCell ref="U570:W570"/>
    <mergeCell ref="U577:W577"/>
    <mergeCell ref="W594:Y594"/>
    <mergeCell ref="S606:U606"/>
    <mergeCell ref="U563:W563"/>
    <mergeCell ref="AI588:AK588"/>
    <mergeCell ref="Y570:AA570"/>
    <mergeCell ref="Y562:AA562"/>
    <mergeCell ref="U564:W564"/>
    <mergeCell ref="Y564:AA564"/>
    <mergeCell ref="U560:W560"/>
    <mergeCell ref="Y560:AA560"/>
    <mergeCell ref="AE596:AG596"/>
    <mergeCell ref="AI596:AK596"/>
    <mergeCell ref="AA594:AC594"/>
    <mergeCell ref="S594:U594"/>
    <mergeCell ref="S603:U603"/>
    <mergeCell ref="W603:Y603"/>
    <mergeCell ref="AA603:AC603"/>
    <mergeCell ref="AI591:AK591"/>
    <mergeCell ref="AE603:AG603"/>
    <mergeCell ref="AI592:AK592"/>
    <mergeCell ref="Q583:S583"/>
    <mergeCell ref="U583:W583"/>
    <mergeCell ref="Y583:AA583"/>
    <mergeCell ref="Y565:AA565"/>
    <mergeCell ref="U567:W567"/>
    <mergeCell ref="Y567:AA567"/>
    <mergeCell ref="Q576:S576"/>
    <mergeCell ref="D661:F661"/>
    <mergeCell ref="H660:J660"/>
    <mergeCell ref="H661:J661"/>
    <mergeCell ref="S660:AK660"/>
    <mergeCell ref="S661:AK661"/>
    <mergeCell ref="AQ660:BI660"/>
    <mergeCell ref="AQ661:BI661"/>
    <mergeCell ref="AU612:AW612"/>
    <mergeCell ref="AY612:BA612"/>
    <mergeCell ref="BC612:BE612"/>
    <mergeCell ref="BG612:BI612"/>
    <mergeCell ref="AE589:AG589"/>
    <mergeCell ref="AI589:AK589"/>
    <mergeCell ref="S590:U590"/>
    <mergeCell ref="W590:Y590"/>
    <mergeCell ref="AA590:AC590"/>
    <mergeCell ref="AE590:AG590"/>
    <mergeCell ref="AI590:AK590"/>
    <mergeCell ref="S591:U591"/>
    <mergeCell ref="AA606:AC606"/>
    <mergeCell ref="AE606:AG606"/>
    <mergeCell ref="AA609:AC609"/>
    <mergeCell ref="AY609:BA609"/>
    <mergeCell ref="AE599:AG599"/>
    <mergeCell ref="BC610:BE610"/>
    <mergeCell ref="AA604:AC604"/>
    <mergeCell ref="AI598:AK598"/>
    <mergeCell ref="S597:U597"/>
    <mergeCell ref="D660:F660"/>
    <mergeCell ref="O627:Q627"/>
    <mergeCell ref="S612:U612"/>
    <mergeCell ref="AQ626:AS626"/>
    <mergeCell ref="AI668:AK668"/>
    <mergeCell ref="AW474:AY474"/>
    <mergeCell ref="BE512:BG512"/>
    <mergeCell ref="AS512:AU512"/>
    <mergeCell ref="AQ668:AS668"/>
    <mergeCell ref="BG610:BI610"/>
    <mergeCell ref="S413:U413"/>
    <mergeCell ref="BI528:BK528"/>
    <mergeCell ref="W602:Y602"/>
    <mergeCell ref="AA602:AC602"/>
    <mergeCell ref="AE602:AG602"/>
    <mergeCell ref="AI602:AK602"/>
    <mergeCell ref="W599:Y599"/>
    <mergeCell ref="AI603:AK603"/>
    <mergeCell ref="AI610:AK610"/>
    <mergeCell ref="AA597:AC597"/>
    <mergeCell ref="AE597:AG597"/>
    <mergeCell ref="AI597:AK597"/>
    <mergeCell ref="S607:U607"/>
    <mergeCell ref="W607:Y607"/>
    <mergeCell ref="AE594:AG594"/>
    <mergeCell ref="S604:U604"/>
    <mergeCell ref="W604:Y604"/>
    <mergeCell ref="U528:W528"/>
    <mergeCell ref="Y528:AA528"/>
    <mergeCell ref="AC528:AE528"/>
    <mergeCell ref="AQ415:AS415"/>
    <mergeCell ref="AU415:AW415"/>
    <mergeCell ref="AI604:AK604"/>
    <mergeCell ref="W605:Y605"/>
    <mergeCell ref="AA605:AC605"/>
    <mergeCell ref="AE605:AG605"/>
    <mergeCell ref="D674:F674"/>
    <mergeCell ref="H674:J674"/>
    <mergeCell ref="S674:AK674"/>
    <mergeCell ref="AQ674:BI674"/>
    <mergeCell ref="S289:U289"/>
    <mergeCell ref="AI606:AK606"/>
    <mergeCell ref="S610:U610"/>
    <mergeCell ref="W610:Y610"/>
    <mergeCell ref="AA610:AC610"/>
    <mergeCell ref="Y524:AA524"/>
    <mergeCell ref="AC524:AE524"/>
    <mergeCell ref="AQ610:AS610"/>
    <mergeCell ref="AU610:AW610"/>
    <mergeCell ref="AY610:BA610"/>
    <mergeCell ref="U536:AI536"/>
    <mergeCell ref="AS536:BG536"/>
    <mergeCell ref="U537:W537"/>
    <mergeCell ref="Y537:AA537"/>
    <mergeCell ref="AC537:AE537"/>
    <mergeCell ref="W588:Y588"/>
    <mergeCell ref="AA588:AC588"/>
    <mergeCell ref="AE588:AG588"/>
    <mergeCell ref="S415:U415"/>
    <mergeCell ref="W415:Y415"/>
    <mergeCell ref="AA415:AC415"/>
    <mergeCell ref="W418:Y418"/>
    <mergeCell ref="S668:U668"/>
    <mergeCell ref="W668:Y668"/>
    <mergeCell ref="AA668:AC668"/>
    <mergeCell ref="AE668:AG668"/>
    <mergeCell ref="U468:W468"/>
    <mergeCell ref="BE473:BG473"/>
    <mergeCell ref="D2:J2"/>
    <mergeCell ref="U2:AA2"/>
    <mergeCell ref="BA289:BH289"/>
    <mergeCell ref="S419:U419"/>
    <mergeCell ref="W419:Y419"/>
    <mergeCell ref="AA419:AC419"/>
    <mergeCell ref="AQ419:AS419"/>
    <mergeCell ref="AU419:AW419"/>
    <mergeCell ref="AY419:BA419"/>
    <mergeCell ref="S184:AK184"/>
    <mergeCell ref="S186:AK186"/>
    <mergeCell ref="AQ184:BI184"/>
    <mergeCell ref="AQ186:BI186"/>
    <mergeCell ref="AU344:AW344"/>
    <mergeCell ref="AY344:BA344"/>
    <mergeCell ref="AA417:AC417"/>
    <mergeCell ref="AQ417:AS417"/>
    <mergeCell ref="AU417:AW417"/>
    <mergeCell ref="AY417:BA417"/>
    <mergeCell ref="AH318:AK318"/>
    <mergeCell ref="AP318:AS318"/>
    <mergeCell ref="W99:AK99"/>
    <mergeCell ref="W100:AK100"/>
    <mergeCell ref="W101:AK101"/>
    <mergeCell ref="S99:U99"/>
    <mergeCell ref="S100:U100"/>
    <mergeCell ref="S101:U101"/>
    <mergeCell ref="AU99:BI99"/>
    <mergeCell ref="AU100:BI100"/>
    <mergeCell ref="AU101:BI101"/>
    <mergeCell ref="V373:Y373"/>
    <mergeCell ref="AA368:AC368"/>
    <mergeCell ref="BA477:BC477"/>
    <mergeCell ref="BE477:BG477"/>
    <mergeCell ref="Y477:AA477"/>
    <mergeCell ref="AS469:AU469"/>
    <mergeCell ref="AW469:AY469"/>
    <mergeCell ref="AC468:AE468"/>
    <mergeCell ref="AG468:AI468"/>
    <mergeCell ref="BE478:BG478"/>
    <mergeCell ref="U477:W477"/>
    <mergeCell ref="U478:W478"/>
    <mergeCell ref="Y478:AA478"/>
    <mergeCell ref="BA472:BC472"/>
    <mergeCell ref="BE472:BG472"/>
    <mergeCell ref="AW467:AY467"/>
    <mergeCell ref="BE458:BG458"/>
    <mergeCell ref="U471:AI471"/>
    <mergeCell ref="AS471:BG471"/>
    <mergeCell ref="U472:W472"/>
    <mergeCell ref="Y472:AA472"/>
    <mergeCell ref="AS468:AU468"/>
    <mergeCell ref="BA469:BC469"/>
    <mergeCell ref="U474:W474"/>
    <mergeCell ref="Y474:AA474"/>
    <mergeCell ref="AC474:AE474"/>
    <mergeCell ref="AG474:AI474"/>
    <mergeCell ref="AK474:AO474"/>
    <mergeCell ref="AS474:AU474"/>
    <mergeCell ref="BA474:BC474"/>
    <mergeCell ref="BE474:BG474"/>
    <mergeCell ref="U473:W473"/>
    <mergeCell ref="AK458:AO458"/>
    <mergeCell ref="BA473:BC473"/>
    <mergeCell ref="AU412:AW412"/>
    <mergeCell ref="AE386:AG386"/>
    <mergeCell ref="AQ406:AS406"/>
    <mergeCell ref="S404:U404"/>
    <mergeCell ref="AA404:AC404"/>
    <mergeCell ref="W386:Y386"/>
    <mergeCell ref="AU393:AW393"/>
    <mergeCell ref="AQ393:AS393"/>
    <mergeCell ref="S396:U396"/>
    <mergeCell ref="W396:Y396"/>
    <mergeCell ref="R387:U387"/>
    <mergeCell ref="R390:U390"/>
    <mergeCell ref="AA412:AC412"/>
    <mergeCell ref="W393:Y393"/>
    <mergeCell ref="AY397:BA397"/>
    <mergeCell ref="AY413:BA413"/>
    <mergeCell ref="AA397:AC397"/>
    <mergeCell ref="AQ397:AS397"/>
    <mergeCell ref="S398:U398"/>
    <mergeCell ref="AU397:AW397"/>
    <mergeCell ref="AY393:BA393"/>
    <mergeCell ref="S395:U395"/>
    <mergeCell ref="AA393:AC393"/>
    <mergeCell ref="BC383:BE383"/>
    <mergeCell ref="S385:U385"/>
    <mergeCell ref="AA386:AC386"/>
    <mergeCell ref="R318:U318"/>
    <mergeCell ref="V318:Y318"/>
    <mergeCell ref="Z318:AC318"/>
    <mergeCell ref="AD318:AG318"/>
    <mergeCell ref="AT318:AW318"/>
    <mergeCell ref="R354:U354"/>
    <mergeCell ref="V354:Y354"/>
    <mergeCell ref="Z354:AC354"/>
    <mergeCell ref="AD354:AG354"/>
    <mergeCell ref="AH354:AK354"/>
    <mergeCell ref="AE333:AG333"/>
    <mergeCell ref="S334:U334"/>
    <mergeCell ref="AA334:AC334"/>
    <mergeCell ref="AE334:AG334"/>
    <mergeCell ref="AQ334:AS334"/>
    <mergeCell ref="AY334:BA334"/>
    <mergeCell ref="BC334:BE334"/>
    <mergeCell ref="W383:Y383"/>
    <mergeCell ref="S343:U343"/>
    <mergeCell ref="AH373:AK373"/>
    <mergeCell ref="S331:U331"/>
    <mergeCell ref="W331:Y331"/>
    <mergeCell ref="AQ386:AS386"/>
    <mergeCell ref="BC381:BE381"/>
    <mergeCell ref="AY385:BA385"/>
    <mergeCell ref="S381:U381"/>
    <mergeCell ref="W381:Y381"/>
    <mergeCell ref="AE380:AG380"/>
    <mergeCell ref="AQ383:AS383"/>
    <mergeCell ref="AS526:BG526"/>
    <mergeCell ref="AC523:AE523"/>
    <mergeCell ref="AW527:AY527"/>
    <mergeCell ref="BA527:BC527"/>
    <mergeCell ref="AW512:AY512"/>
    <mergeCell ref="BA512:BC512"/>
    <mergeCell ref="BA514:BC514"/>
    <mergeCell ref="BE514:BG514"/>
    <mergeCell ref="AG513:AI513"/>
    <mergeCell ref="AS513:AU513"/>
    <mergeCell ref="AW513:AY513"/>
    <mergeCell ref="AG514:AI514"/>
    <mergeCell ref="AG489:AI489"/>
    <mergeCell ref="AS489:AU489"/>
    <mergeCell ref="AW488:AY488"/>
    <mergeCell ref="BA488:BC488"/>
    <mergeCell ref="BE488:BG488"/>
    <mergeCell ref="U491:AI491"/>
    <mergeCell ref="AS491:BG491"/>
    <mergeCell ref="AS522:AU522"/>
    <mergeCell ref="Y522:AA522"/>
    <mergeCell ref="AC522:AE522"/>
    <mergeCell ref="AG519:AI519"/>
    <mergeCell ref="AW523:AY523"/>
    <mergeCell ref="BA522:BC522"/>
    <mergeCell ref="AK527:AO527"/>
    <mergeCell ref="U504:W504"/>
    <mergeCell ref="Y504:AA504"/>
    <mergeCell ref="Y519:AA519"/>
    <mergeCell ref="AW504:AY504"/>
    <mergeCell ref="BA504:BC504"/>
    <mergeCell ref="BE504:BG504"/>
    <mergeCell ref="I561:K561"/>
    <mergeCell ref="M561:O561"/>
    <mergeCell ref="Q561:S561"/>
    <mergeCell ref="U561:W561"/>
    <mergeCell ref="Y561:AA561"/>
    <mergeCell ref="I554:K554"/>
    <mergeCell ref="M554:O554"/>
    <mergeCell ref="I555:K555"/>
    <mergeCell ref="M555:O555"/>
    <mergeCell ref="I552:K552"/>
    <mergeCell ref="I558:K558"/>
    <mergeCell ref="M558:O558"/>
    <mergeCell ref="I559:K559"/>
    <mergeCell ref="M559:O559"/>
    <mergeCell ref="Q555:S555"/>
    <mergeCell ref="U555:W555"/>
    <mergeCell ref="Y555:AA555"/>
    <mergeCell ref="U559:W559"/>
    <mergeCell ref="Y558:AA558"/>
    <mergeCell ref="Y552:AA552"/>
    <mergeCell ref="Y559:AA559"/>
    <mergeCell ref="Q554:S554"/>
    <mergeCell ref="U554:W554"/>
    <mergeCell ref="Y554:AA554"/>
    <mergeCell ref="M552:O552"/>
    <mergeCell ref="Q552:S552"/>
    <mergeCell ref="U552:W552"/>
    <mergeCell ref="I553:K553"/>
    <mergeCell ref="I548:K548"/>
    <mergeCell ref="M548:O548"/>
    <mergeCell ref="I549:K549"/>
    <mergeCell ref="M549:O549"/>
    <mergeCell ref="U512:W512"/>
    <mergeCell ref="I563:K563"/>
    <mergeCell ref="M692:V692"/>
    <mergeCell ref="M699:V699"/>
    <mergeCell ref="M700:N700"/>
    <mergeCell ref="O700:P700"/>
    <mergeCell ref="Q700:R700"/>
    <mergeCell ref="S700:T700"/>
    <mergeCell ref="U700:V700"/>
    <mergeCell ref="M701:N701"/>
    <mergeCell ref="O701:P701"/>
    <mergeCell ref="S110:U110"/>
    <mergeCell ref="W110:AK110"/>
    <mergeCell ref="M693:N693"/>
    <mergeCell ref="M694:N694"/>
    <mergeCell ref="M695:N695"/>
    <mergeCell ref="M696:N696"/>
    <mergeCell ref="O694:P694"/>
    <mergeCell ref="O695:P695"/>
    <mergeCell ref="O696:P696"/>
    <mergeCell ref="Q694:R694"/>
    <mergeCell ref="Q695:R695"/>
    <mergeCell ref="O693:P693"/>
    <mergeCell ref="Q693:R693"/>
    <mergeCell ref="S693:T693"/>
    <mergeCell ref="U693:V693"/>
    <mergeCell ref="U694:V694"/>
    <mergeCell ref="U695:V695"/>
    <mergeCell ref="U696:V696"/>
    <mergeCell ref="S696:T696"/>
    <mergeCell ref="M562:O562"/>
    <mergeCell ref="S694:T694"/>
    <mergeCell ref="Q696:R696"/>
    <mergeCell ref="Q701:R701"/>
    <mergeCell ref="S701:T701"/>
    <mergeCell ref="U701:V701"/>
    <mergeCell ref="M702:N702"/>
    <mergeCell ref="O702:P702"/>
    <mergeCell ref="Q702:R702"/>
    <mergeCell ref="S702:T702"/>
    <mergeCell ref="U702:V702"/>
    <mergeCell ref="M703:N703"/>
    <mergeCell ref="O703:P703"/>
    <mergeCell ref="Q703:R703"/>
    <mergeCell ref="S703:T703"/>
    <mergeCell ref="U703:V703"/>
    <mergeCell ref="S640:U640"/>
    <mergeCell ref="M576:O576"/>
    <mergeCell ref="M563:O563"/>
    <mergeCell ref="O652:Q652"/>
    <mergeCell ref="S652:U652"/>
    <mergeCell ref="S710:T710"/>
    <mergeCell ref="U710:V710"/>
    <mergeCell ref="Q728:R728"/>
    <mergeCell ref="S728:T728"/>
    <mergeCell ref="U728:V728"/>
    <mergeCell ref="M718:N718"/>
    <mergeCell ref="O718:P718"/>
    <mergeCell ref="M719:N719"/>
    <mergeCell ref="O719:P719"/>
    <mergeCell ref="Q719:R719"/>
    <mergeCell ref="S719:T719"/>
    <mergeCell ref="S717:T717"/>
    <mergeCell ref="U717:V717"/>
    <mergeCell ref="M716:V716"/>
    <mergeCell ref="U718:V718"/>
    <mergeCell ref="M717:N717"/>
    <mergeCell ref="O717:P717"/>
    <mergeCell ref="Q717:R717"/>
    <mergeCell ref="S718:T718"/>
    <mergeCell ref="Q718:R718"/>
    <mergeCell ref="Q736:R736"/>
    <mergeCell ref="S736:T736"/>
    <mergeCell ref="U736:V736"/>
    <mergeCell ref="M733:V733"/>
    <mergeCell ref="M734:N734"/>
    <mergeCell ref="O734:P734"/>
    <mergeCell ref="Q734:R734"/>
    <mergeCell ref="S734:T734"/>
    <mergeCell ref="U734:V734"/>
    <mergeCell ref="M711:N711"/>
    <mergeCell ref="O711:P711"/>
    <mergeCell ref="Q711:R711"/>
    <mergeCell ref="S711:T711"/>
    <mergeCell ref="U711:V711"/>
    <mergeCell ref="M712:N712"/>
    <mergeCell ref="O712:P712"/>
    <mergeCell ref="Q712:R712"/>
    <mergeCell ref="S712:T712"/>
    <mergeCell ref="U712:V712"/>
    <mergeCell ref="M713:N713"/>
    <mergeCell ref="O713:P713"/>
    <mergeCell ref="Q713:R713"/>
    <mergeCell ref="S713:T713"/>
    <mergeCell ref="U713:V713"/>
    <mergeCell ref="U727:V727"/>
    <mergeCell ref="M728:N728"/>
    <mergeCell ref="O728:P728"/>
    <mergeCell ref="M753:N753"/>
    <mergeCell ref="O753:P753"/>
    <mergeCell ref="Q753:R753"/>
    <mergeCell ref="S753:T753"/>
    <mergeCell ref="U753:V753"/>
    <mergeCell ref="M737:N737"/>
    <mergeCell ref="O737:P737"/>
    <mergeCell ref="Q737:R737"/>
    <mergeCell ref="AS696:AT696"/>
    <mergeCell ref="U737:V737"/>
    <mergeCell ref="M743:V743"/>
    <mergeCell ref="M744:N744"/>
    <mergeCell ref="O744:P744"/>
    <mergeCell ref="Q744:R744"/>
    <mergeCell ref="S744:T744"/>
    <mergeCell ref="U744:V744"/>
    <mergeCell ref="M745:N745"/>
    <mergeCell ref="O745:P745"/>
    <mergeCell ref="Q745:R745"/>
    <mergeCell ref="S745:T745"/>
    <mergeCell ref="U745:V745"/>
    <mergeCell ref="S746:T746"/>
    <mergeCell ref="U746:V746"/>
    <mergeCell ref="M729:N729"/>
    <mergeCell ref="S752:T752"/>
    <mergeCell ref="U752:V752"/>
    <mergeCell ref="M750:V750"/>
    <mergeCell ref="M751:N751"/>
    <mergeCell ref="O751:P751"/>
    <mergeCell ref="Q751:R751"/>
    <mergeCell ref="S751:T751"/>
    <mergeCell ref="U751:V751"/>
    <mergeCell ref="M754:N754"/>
    <mergeCell ref="O754:P754"/>
    <mergeCell ref="Q754:R754"/>
    <mergeCell ref="S754:T754"/>
    <mergeCell ref="U754:V754"/>
    <mergeCell ref="M746:N746"/>
    <mergeCell ref="O746:P746"/>
    <mergeCell ref="Q746:R746"/>
    <mergeCell ref="M747:N747"/>
    <mergeCell ref="O747:P747"/>
    <mergeCell ref="Q747:R747"/>
    <mergeCell ref="S747:T747"/>
    <mergeCell ref="U747:V747"/>
    <mergeCell ref="M752:N752"/>
    <mergeCell ref="O752:P752"/>
    <mergeCell ref="Q752:R752"/>
    <mergeCell ref="O729:P729"/>
    <mergeCell ref="Q729:R729"/>
    <mergeCell ref="S729:T729"/>
    <mergeCell ref="U729:V729"/>
    <mergeCell ref="M730:N730"/>
    <mergeCell ref="O730:P730"/>
    <mergeCell ref="Q730:R730"/>
    <mergeCell ref="S730:T730"/>
    <mergeCell ref="U730:V730"/>
    <mergeCell ref="M735:N735"/>
    <mergeCell ref="O735:P735"/>
    <mergeCell ref="Q735:R735"/>
    <mergeCell ref="S735:T735"/>
    <mergeCell ref="U735:V735"/>
    <mergeCell ref="M736:N736"/>
    <mergeCell ref="O736:P736"/>
    <mergeCell ref="BC380:BE380"/>
    <mergeCell ref="AA381:AC381"/>
    <mergeCell ref="AE381:AG381"/>
    <mergeCell ref="AI381:AK381"/>
    <mergeCell ref="BF356:BI356"/>
    <mergeCell ref="Z282:AC282"/>
    <mergeCell ref="AD282:AG282"/>
    <mergeCell ref="R284:U284"/>
    <mergeCell ref="V284:Y284"/>
    <mergeCell ref="R285:U285"/>
    <mergeCell ref="V285:Y285"/>
    <mergeCell ref="AA380:AC380"/>
    <mergeCell ref="BB387:BE387"/>
    <mergeCell ref="BF373:BI373"/>
    <mergeCell ref="BC370:BE370"/>
    <mergeCell ref="AP282:AS282"/>
    <mergeCell ref="AT282:AW282"/>
    <mergeCell ref="AX282:BA282"/>
    <mergeCell ref="BB282:BE282"/>
    <mergeCell ref="BF282:BI282"/>
    <mergeCell ref="AP283:AS283"/>
    <mergeCell ref="AT283:AW283"/>
    <mergeCell ref="AX283:BA283"/>
    <mergeCell ref="BB283:BE283"/>
    <mergeCell ref="BF283:BI283"/>
    <mergeCell ref="AP284:AS284"/>
    <mergeCell ref="AT284:AW284"/>
    <mergeCell ref="AX284:BA284"/>
    <mergeCell ref="AX356:BA356"/>
    <mergeCell ref="BB356:BE356"/>
    <mergeCell ref="AY383:BA383"/>
    <mergeCell ref="AU380:AW380"/>
    <mergeCell ref="AQ692:AZ692"/>
    <mergeCell ref="AQ693:AR693"/>
    <mergeCell ref="AS693:AT693"/>
    <mergeCell ref="AU693:AV693"/>
    <mergeCell ref="BA528:BC528"/>
    <mergeCell ref="AC529:AE529"/>
    <mergeCell ref="AS529:AU529"/>
    <mergeCell ref="AW529:AY529"/>
    <mergeCell ref="AD700:AE700"/>
    <mergeCell ref="AF700:AG700"/>
    <mergeCell ref="AH700:AI700"/>
    <mergeCell ref="AS694:AT694"/>
    <mergeCell ref="AU694:AV694"/>
    <mergeCell ref="AW694:AX694"/>
    <mergeCell ref="AY694:AZ694"/>
    <mergeCell ref="AQ695:AR695"/>
    <mergeCell ref="AW528:AY528"/>
    <mergeCell ref="AQ683:BB683"/>
    <mergeCell ref="AQ684:BB684"/>
    <mergeCell ref="AQ685:BB685"/>
    <mergeCell ref="AQ686:BB686"/>
    <mergeCell ref="Z692:AI692"/>
    <mergeCell ref="Z693:AA693"/>
    <mergeCell ref="AB693:AC693"/>
    <mergeCell ref="AD693:AE693"/>
    <mergeCell ref="Z699:AI699"/>
    <mergeCell ref="Z700:AA700"/>
    <mergeCell ref="AB700:AC700"/>
    <mergeCell ref="Z683:AK683"/>
    <mergeCell ref="Z684:AK684"/>
    <mergeCell ref="Z685:AK685"/>
    <mergeCell ref="Z686:AK686"/>
    <mergeCell ref="AY696:AZ696"/>
    <mergeCell ref="AF693:AG693"/>
    <mergeCell ref="AH693:AI693"/>
    <mergeCell ref="Z694:AA694"/>
    <mergeCell ref="AB694:AC694"/>
    <mergeCell ref="AD694:AE694"/>
    <mergeCell ref="AF694:AG694"/>
    <mergeCell ref="AH694:AI694"/>
    <mergeCell ref="AB701:AC701"/>
    <mergeCell ref="AD701:AE701"/>
    <mergeCell ref="AF701:AG701"/>
    <mergeCell ref="AH701:AI701"/>
    <mergeCell ref="Z696:AA696"/>
    <mergeCell ref="AB696:AC696"/>
    <mergeCell ref="AD696:AE696"/>
    <mergeCell ref="AF696:AG696"/>
    <mergeCell ref="AH696:AI696"/>
    <mergeCell ref="Z701:AA701"/>
    <mergeCell ref="W800:Y800"/>
    <mergeCell ref="W801:Y801"/>
    <mergeCell ref="W802:Y802"/>
    <mergeCell ref="W803:Y803"/>
    <mergeCell ref="W804:Y804"/>
    <mergeCell ref="W805:Y805"/>
    <mergeCell ref="S799:U799"/>
    <mergeCell ref="W799:Y799"/>
    <mergeCell ref="V809:Y809"/>
    <mergeCell ref="AB695:AC695"/>
    <mergeCell ref="AD695:AE695"/>
    <mergeCell ref="AF695:AG695"/>
    <mergeCell ref="AH695:AI695"/>
    <mergeCell ref="S793:U793"/>
    <mergeCell ref="AQ696:AR696"/>
    <mergeCell ref="AU696:AV696"/>
    <mergeCell ref="AW696:AX696"/>
    <mergeCell ref="Z702:AA702"/>
    <mergeCell ref="AB702:AC702"/>
    <mergeCell ref="AD702:AE702"/>
    <mergeCell ref="AF702:AG702"/>
    <mergeCell ref="AH702:AI702"/>
    <mergeCell ref="Z703:AA703"/>
    <mergeCell ref="AB703:AC703"/>
    <mergeCell ref="AD703:AE703"/>
    <mergeCell ref="AF703:AG703"/>
    <mergeCell ref="AH703:AI703"/>
    <mergeCell ref="S737:T737"/>
    <mergeCell ref="M709:V709"/>
    <mergeCell ref="M710:N710"/>
    <mergeCell ref="O710:P710"/>
    <mergeCell ref="Q710:R710"/>
    <mergeCell ref="S783:U783"/>
    <mergeCell ref="W783:Y783"/>
    <mergeCell ref="AA783:AC783"/>
    <mergeCell ref="AE783:AG783"/>
    <mergeCell ref="AI783:AK783"/>
    <mergeCell ref="AQ783:AS783"/>
    <mergeCell ref="AU783:AW783"/>
    <mergeCell ref="AY783:BA783"/>
    <mergeCell ref="BC783:BE783"/>
    <mergeCell ref="S791:U791"/>
    <mergeCell ref="W791:Y791"/>
    <mergeCell ref="AA791:AC791"/>
    <mergeCell ref="AE791:AG791"/>
    <mergeCell ref="AI791:AK791"/>
    <mergeCell ref="AQ791:AS791"/>
    <mergeCell ref="AU791:AW791"/>
    <mergeCell ref="AY791:BA791"/>
    <mergeCell ref="BC791:BE791"/>
    <mergeCell ref="S786:U786"/>
    <mergeCell ref="W786:Y786"/>
    <mergeCell ref="AA786:AC786"/>
    <mergeCell ref="AE786:AG786"/>
    <mergeCell ref="R886:U886"/>
    <mergeCell ref="V886:Y886"/>
    <mergeCell ref="Z886:AC886"/>
    <mergeCell ref="AD886:AG886"/>
    <mergeCell ref="R885:U885"/>
    <mergeCell ref="V885:Y885"/>
    <mergeCell ref="Z885:AC885"/>
    <mergeCell ref="R848:U848"/>
    <mergeCell ref="V848:Y848"/>
    <mergeCell ref="Z848:AC848"/>
    <mergeCell ref="AD848:AG848"/>
    <mergeCell ref="AH848:AK848"/>
    <mergeCell ref="AH874:AK874"/>
    <mergeCell ref="R873:U873"/>
    <mergeCell ref="V873:Y873"/>
    <mergeCell ref="Z873:AC873"/>
    <mergeCell ref="AD873:AG873"/>
    <mergeCell ref="AH867:AK867"/>
    <mergeCell ref="AH872:AK872"/>
    <mergeCell ref="R874:U874"/>
    <mergeCell ref="V874:Y874"/>
    <mergeCell ref="Z874:AC874"/>
    <mergeCell ref="R880:U880"/>
    <mergeCell ref="V880:Y880"/>
    <mergeCell ref="Z880:AC880"/>
    <mergeCell ref="AD880:AG880"/>
    <mergeCell ref="AD874:AG874"/>
    <mergeCell ref="V869:Y869"/>
    <mergeCell ref="V857:Y857"/>
    <mergeCell ref="R872:U872"/>
    <mergeCell ref="AD868:AG868"/>
    <mergeCell ref="R869:U869"/>
    <mergeCell ref="J813:L813"/>
    <mergeCell ref="M810:N810"/>
    <mergeCell ref="M811:N811"/>
    <mergeCell ref="M812:N812"/>
    <mergeCell ref="M813:N813"/>
    <mergeCell ref="J814:L814"/>
    <mergeCell ref="J815:L815"/>
    <mergeCell ref="J816:L816"/>
    <mergeCell ref="J817:L817"/>
    <mergeCell ref="J818:L818"/>
    <mergeCell ref="Z813:AA813"/>
    <mergeCell ref="AB813:AC813"/>
    <mergeCell ref="AD813:AE813"/>
    <mergeCell ref="M814:N814"/>
    <mergeCell ref="M815:N815"/>
    <mergeCell ref="M816:N816"/>
    <mergeCell ref="M817:N817"/>
    <mergeCell ref="M818:N818"/>
    <mergeCell ref="J810:L810"/>
    <mergeCell ref="J811:L811"/>
    <mergeCell ref="J812:L812"/>
    <mergeCell ref="X814:Y814"/>
    <mergeCell ref="Z814:AA814"/>
    <mergeCell ref="T810:U810"/>
    <mergeCell ref="V810:W810"/>
    <mergeCell ref="X811:Y811"/>
    <mergeCell ref="R810:S810"/>
    <mergeCell ref="R811:S811"/>
    <mergeCell ref="T811:U811"/>
    <mergeCell ref="V811:W811"/>
    <mergeCell ref="J819:L819"/>
    <mergeCell ref="J820:L820"/>
    <mergeCell ref="J821:L821"/>
    <mergeCell ref="V829:Y829"/>
    <mergeCell ref="R831:U831"/>
    <mergeCell ref="V831:Y831"/>
    <mergeCell ref="Z831:AC831"/>
    <mergeCell ref="AD831:AG831"/>
    <mergeCell ref="R819:S819"/>
    <mergeCell ref="T819:U819"/>
    <mergeCell ref="V819:W819"/>
    <mergeCell ref="X819:Y819"/>
    <mergeCell ref="E797:K797"/>
    <mergeCell ref="S800:U800"/>
    <mergeCell ref="S801:U801"/>
    <mergeCell ref="S802:U802"/>
    <mergeCell ref="Z811:AA811"/>
    <mergeCell ref="AB811:AC811"/>
    <mergeCell ref="AD811:AE811"/>
    <mergeCell ref="AF811:AG811"/>
    <mergeCell ref="R812:S812"/>
    <mergeCell ref="T812:U812"/>
    <mergeCell ref="V812:W812"/>
    <mergeCell ref="X812:Y812"/>
    <mergeCell ref="Z812:AA812"/>
    <mergeCell ref="AB812:AC812"/>
    <mergeCell ref="AD812:AE812"/>
    <mergeCell ref="AF812:AG812"/>
    <mergeCell ref="R813:S813"/>
    <mergeCell ref="T813:U813"/>
    <mergeCell ref="V813:W813"/>
    <mergeCell ref="X813:Y813"/>
    <mergeCell ref="M819:N819"/>
    <mergeCell ref="T815:U815"/>
    <mergeCell ref="X815:Y815"/>
    <mergeCell ref="Z819:AA819"/>
    <mergeCell ref="AB819:AC819"/>
    <mergeCell ref="AD819:AE819"/>
    <mergeCell ref="AF819:AG819"/>
    <mergeCell ref="R814:S814"/>
    <mergeCell ref="R816:S816"/>
    <mergeCell ref="T816:U816"/>
    <mergeCell ref="V816:W816"/>
    <mergeCell ref="X816:Y816"/>
    <mergeCell ref="Z816:AA816"/>
    <mergeCell ref="AB816:AC816"/>
    <mergeCell ref="AD816:AE816"/>
    <mergeCell ref="AF816:AG816"/>
    <mergeCell ref="R817:S817"/>
    <mergeCell ref="T817:U817"/>
    <mergeCell ref="V817:W817"/>
    <mergeCell ref="X817:Y817"/>
    <mergeCell ref="Z817:AA817"/>
    <mergeCell ref="AB817:AC817"/>
    <mergeCell ref="AD817:AE817"/>
    <mergeCell ref="AF817:AG817"/>
    <mergeCell ref="X818:Y818"/>
    <mergeCell ref="Z818:AA818"/>
    <mergeCell ref="AB818:AC818"/>
    <mergeCell ref="AD818:AE818"/>
    <mergeCell ref="AF818:AG818"/>
    <mergeCell ref="AF814:AG814"/>
    <mergeCell ref="M820:N820"/>
    <mergeCell ref="M821:N821"/>
    <mergeCell ref="M822:N822"/>
    <mergeCell ref="R824:U824"/>
    <mergeCell ref="V824:Y824"/>
    <mergeCell ref="Z824:AC824"/>
    <mergeCell ref="AD824:AG824"/>
    <mergeCell ref="R820:S820"/>
    <mergeCell ref="T820:U820"/>
    <mergeCell ref="V820:W820"/>
    <mergeCell ref="X820:Y820"/>
    <mergeCell ref="Z820:AA820"/>
    <mergeCell ref="AB820:AC820"/>
    <mergeCell ref="AD820:AE820"/>
    <mergeCell ref="AF820:AG820"/>
    <mergeCell ref="R821:S821"/>
    <mergeCell ref="T821:U821"/>
    <mergeCell ref="V821:W821"/>
    <mergeCell ref="X821:Y821"/>
    <mergeCell ref="Z821:AA821"/>
    <mergeCell ref="AB821:AC821"/>
    <mergeCell ref="AD821:AE821"/>
    <mergeCell ref="T822:U822"/>
    <mergeCell ref="V822:W822"/>
    <mergeCell ref="X822:Y822"/>
    <mergeCell ref="Z822:AA822"/>
    <mergeCell ref="AB822:AC822"/>
    <mergeCell ref="AD822:AE822"/>
    <mergeCell ref="W807:Y807"/>
    <mergeCell ref="AA807:AC807"/>
    <mergeCell ref="AI807:AK807"/>
    <mergeCell ref="R825:U825"/>
    <mergeCell ref="V825:Y825"/>
    <mergeCell ref="Z825:AC825"/>
    <mergeCell ref="AD825:AG825"/>
    <mergeCell ref="AP825:AS825"/>
    <mergeCell ref="AT825:AW825"/>
    <mergeCell ref="AX825:BA825"/>
    <mergeCell ref="BB825:BE825"/>
    <mergeCell ref="AF821:AG821"/>
    <mergeCell ref="R822:S822"/>
    <mergeCell ref="R818:S818"/>
    <mergeCell ref="AH824:AK824"/>
    <mergeCell ref="T818:U818"/>
    <mergeCell ref="V818:W818"/>
    <mergeCell ref="R815:S815"/>
    <mergeCell ref="V815:W815"/>
    <mergeCell ref="AD867:AG867"/>
    <mergeCell ref="Z859:AC859"/>
    <mergeCell ref="AD859:AG859"/>
    <mergeCell ref="Z868:AC868"/>
    <mergeCell ref="Z869:AC869"/>
    <mergeCell ref="AD869:AG869"/>
    <mergeCell ref="R835:U835"/>
    <mergeCell ref="R836:U836"/>
    <mergeCell ref="R837:U837"/>
    <mergeCell ref="V834:Y834"/>
    <mergeCell ref="Z834:AC834"/>
    <mergeCell ref="AD834:AG834"/>
    <mergeCell ref="V835:Y835"/>
    <mergeCell ref="Z835:AC835"/>
    <mergeCell ref="AD835:AG835"/>
    <mergeCell ref="V836:Y836"/>
    <mergeCell ref="Z836:AC836"/>
    <mergeCell ref="AD836:AG836"/>
    <mergeCell ref="V837:Y837"/>
    <mergeCell ref="Z837:AC837"/>
    <mergeCell ref="AD837:AG837"/>
    <mergeCell ref="V842:Y842"/>
    <mergeCell ref="R834:U834"/>
    <mergeCell ref="R868:U868"/>
    <mergeCell ref="V868:Y868"/>
    <mergeCell ref="R859:U859"/>
    <mergeCell ref="R843:U843"/>
    <mergeCell ref="V843:Y843"/>
    <mergeCell ref="Z843:AC843"/>
    <mergeCell ref="AD843:AG843"/>
    <mergeCell ref="AH843:AK843"/>
    <mergeCell ref="R846:U846"/>
    <mergeCell ref="V846:Y846"/>
    <mergeCell ref="Z846:AC846"/>
    <mergeCell ref="AD846:AG846"/>
    <mergeCell ref="AH846:AK846"/>
    <mergeCell ref="R847:U847"/>
    <mergeCell ref="V852:Y852"/>
    <mergeCell ref="V872:Y872"/>
    <mergeCell ref="Z872:AC872"/>
    <mergeCell ref="AD872:AG872"/>
    <mergeCell ref="R850:U850"/>
    <mergeCell ref="V850:Y850"/>
    <mergeCell ref="Z850:AC850"/>
    <mergeCell ref="AD850:AG850"/>
    <mergeCell ref="R851:U851"/>
    <mergeCell ref="V851:Y851"/>
    <mergeCell ref="Z851:AC851"/>
    <mergeCell ref="AD851:AG851"/>
    <mergeCell ref="R852:U852"/>
    <mergeCell ref="R856:U856"/>
    <mergeCell ref="V856:Y856"/>
    <mergeCell ref="Z856:AC856"/>
    <mergeCell ref="AD856:AG856"/>
    <mergeCell ref="R857:U857"/>
    <mergeCell ref="R845:U845"/>
    <mergeCell ref="V845:Y845"/>
    <mergeCell ref="Z845:AC845"/>
    <mergeCell ref="AD845:AG845"/>
    <mergeCell ref="AH845:AK845"/>
    <mergeCell ref="AD852:AG852"/>
    <mergeCell ref="AH873:AK873"/>
    <mergeCell ref="R881:U881"/>
    <mergeCell ref="V881:Y881"/>
    <mergeCell ref="Z881:AC881"/>
    <mergeCell ref="AD881:AG881"/>
    <mergeCell ref="AH884:AK884"/>
    <mergeCell ref="R884:U884"/>
    <mergeCell ref="V884:Y884"/>
    <mergeCell ref="Z884:AC884"/>
    <mergeCell ref="AD884:AG884"/>
    <mergeCell ref="R876:U876"/>
    <mergeCell ref="V876:Y876"/>
    <mergeCell ref="Z876:AC876"/>
    <mergeCell ref="AD876:AG876"/>
    <mergeCell ref="AH876:AK876"/>
    <mergeCell ref="R877:U877"/>
    <mergeCell ref="V877:Y877"/>
    <mergeCell ref="Z877:AC877"/>
    <mergeCell ref="AD877:AG877"/>
    <mergeCell ref="R878:U878"/>
    <mergeCell ref="V878:Y878"/>
    <mergeCell ref="Z878:AC878"/>
    <mergeCell ref="AD878:AG878"/>
    <mergeCell ref="AI878:AK878"/>
    <mergeCell ref="AI881:AK881"/>
    <mergeCell ref="AI882:AK882"/>
    <mergeCell ref="V882:Y882"/>
    <mergeCell ref="AD882:AG882"/>
    <mergeCell ref="R883:U883"/>
    <mergeCell ref="V883:Y883"/>
    <mergeCell ref="Z883:AC883"/>
    <mergeCell ref="AD883:AG883"/>
    <mergeCell ref="R842:U842"/>
    <mergeCell ref="R829:U829"/>
    <mergeCell ref="BC315:BE315"/>
    <mergeCell ref="AA317:AC317"/>
    <mergeCell ref="AE317:AG317"/>
    <mergeCell ref="BB321:BE321"/>
    <mergeCell ref="BC352:BE352"/>
    <mergeCell ref="AD844:AG844"/>
    <mergeCell ref="AH844:AK844"/>
    <mergeCell ref="AP844:AS844"/>
    <mergeCell ref="AT844:AW844"/>
    <mergeCell ref="W793:Y793"/>
    <mergeCell ref="AA793:AC793"/>
    <mergeCell ref="AE793:AG793"/>
    <mergeCell ref="Z356:AC356"/>
    <mergeCell ref="AD356:AG356"/>
    <mergeCell ref="AH356:AK356"/>
    <mergeCell ref="AP356:AS356"/>
    <mergeCell ref="AT356:AW356"/>
    <mergeCell ref="AH834:AK834"/>
    <mergeCell ref="R826:U826"/>
    <mergeCell ref="V826:Y826"/>
    <mergeCell ref="Z826:AC826"/>
    <mergeCell ref="AD826:AG826"/>
    <mergeCell ref="W806:Y806"/>
    <mergeCell ref="AU794:AW794"/>
    <mergeCell ref="AY794:BA794"/>
    <mergeCell ref="BC794:BE794"/>
    <mergeCell ref="BC842:BE842"/>
    <mergeCell ref="AW693:AX693"/>
    <mergeCell ref="AY693:AZ693"/>
    <mergeCell ref="AQ694:AR694"/>
    <mergeCell ref="AS695:AT695"/>
    <mergeCell ref="AU695:AV695"/>
    <mergeCell ref="AW695:AX695"/>
    <mergeCell ref="AY695:AZ695"/>
    <mergeCell ref="AH869:AK869"/>
    <mergeCell ref="AI850:AK850"/>
    <mergeCell ref="AI852:AK852"/>
    <mergeCell ref="AH868:AK868"/>
    <mergeCell ref="AH847:AK847"/>
    <mergeCell ref="AQ867:AS867"/>
    <mergeCell ref="AH859:AK859"/>
    <mergeCell ref="AH860:AK860"/>
    <mergeCell ref="Z750:AI750"/>
    <mergeCell ref="Z751:AA751"/>
    <mergeCell ref="Z754:AA754"/>
    <mergeCell ref="AB754:AC754"/>
    <mergeCell ref="AD754:AE754"/>
    <mergeCell ref="AH737:AI737"/>
    <mergeCell ref="Z743:AI743"/>
    <mergeCell ref="Z735:AA735"/>
    <mergeCell ref="AB735:AC735"/>
    <mergeCell ref="AD735:AE735"/>
    <mergeCell ref="AB745:AC745"/>
    <mergeCell ref="AD745:AE745"/>
    <mergeCell ref="AF745:AG745"/>
    <mergeCell ref="AP869:AS869"/>
    <mergeCell ref="AT869:AW869"/>
    <mergeCell ref="AX869:BA869"/>
    <mergeCell ref="AQ842:AS842"/>
    <mergeCell ref="AH826:AK826"/>
    <mergeCell ref="AH825:AK825"/>
    <mergeCell ref="Z852:AC852"/>
    <mergeCell ref="BB869:BE869"/>
    <mergeCell ref="R870:U870"/>
    <mergeCell ref="V870:Y870"/>
    <mergeCell ref="Z870:AC870"/>
    <mergeCell ref="AD870:AG870"/>
    <mergeCell ref="AH870:AK870"/>
    <mergeCell ref="Z857:AC857"/>
    <mergeCell ref="AD857:AG857"/>
    <mergeCell ref="R858:U858"/>
    <mergeCell ref="V858:Y858"/>
    <mergeCell ref="Z858:AC858"/>
    <mergeCell ref="AD858:AG858"/>
    <mergeCell ref="AH858:AK858"/>
    <mergeCell ref="R854:U854"/>
    <mergeCell ref="V854:Y854"/>
    <mergeCell ref="Z854:AC854"/>
    <mergeCell ref="AD854:AG854"/>
    <mergeCell ref="R855:U855"/>
    <mergeCell ref="V855:Y855"/>
    <mergeCell ref="Z855:AC855"/>
    <mergeCell ref="AD855:AG855"/>
    <mergeCell ref="AP868:AS868"/>
    <mergeCell ref="AT868:AW868"/>
    <mergeCell ref="AX868:BA868"/>
    <mergeCell ref="BB868:BE868"/>
    <mergeCell ref="R860:U860"/>
    <mergeCell ref="V860:Y860"/>
    <mergeCell ref="Z860:AC860"/>
    <mergeCell ref="AD860:AG860"/>
    <mergeCell ref="R867:U867"/>
    <mergeCell ref="V867:Y867"/>
    <mergeCell ref="Z867:AC867"/>
    <mergeCell ref="R425:U425"/>
    <mergeCell ref="V425:Y425"/>
    <mergeCell ref="Z425:AC425"/>
    <mergeCell ref="AD425:AG425"/>
    <mergeCell ref="AH425:AK425"/>
    <mergeCell ref="Z423:AC423"/>
    <mergeCell ref="AD423:AG423"/>
    <mergeCell ref="AH423:AK423"/>
    <mergeCell ref="AP425:AS425"/>
    <mergeCell ref="AT425:AW425"/>
    <mergeCell ref="AX425:BA425"/>
    <mergeCell ref="BB425:BE425"/>
    <mergeCell ref="R423:U423"/>
    <mergeCell ref="V423:Y423"/>
    <mergeCell ref="Z695:AA695"/>
    <mergeCell ref="R844:U844"/>
    <mergeCell ref="V844:Y844"/>
    <mergeCell ref="Z844:AC844"/>
    <mergeCell ref="Z829:AC829"/>
    <mergeCell ref="AD814:AE814"/>
    <mergeCell ref="AF822:AG822"/>
    <mergeCell ref="Z842:AC842"/>
    <mergeCell ref="AD842:AG842"/>
    <mergeCell ref="AQ786:AS786"/>
    <mergeCell ref="AU786:AW786"/>
    <mergeCell ref="AI793:AK793"/>
    <mergeCell ref="Z815:AA815"/>
    <mergeCell ref="AB815:AC815"/>
    <mergeCell ref="AD815:AE815"/>
    <mergeCell ref="AF815:AG815"/>
    <mergeCell ref="AD829:AG829"/>
    <mergeCell ref="AH842:AK842"/>
    <mergeCell ref="BF765:BI765"/>
    <mergeCell ref="AX766:BC766"/>
    <mergeCell ref="AX767:BC767"/>
    <mergeCell ref="AX768:BC768"/>
    <mergeCell ref="AX769:BC769"/>
    <mergeCell ref="AX771:BC771"/>
    <mergeCell ref="AX772:BC772"/>
    <mergeCell ref="AX773:BC773"/>
    <mergeCell ref="AX774:BC774"/>
    <mergeCell ref="AQ766:AV766"/>
    <mergeCell ref="BG407:BI407"/>
    <mergeCell ref="BC400:BE400"/>
    <mergeCell ref="AC497:AE497"/>
    <mergeCell ref="AG497:AI497"/>
    <mergeCell ref="AS497:AU497"/>
    <mergeCell ref="AW497:AY497"/>
    <mergeCell ref="BA497:BC497"/>
    <mergeCell ref="Z424:AC424"/>
    <mergeCell ref="AD424:AG424"/>
    <mergeCell ref="AH424:AK424"/>
    <mergeCell ref="AA421:AC421"/>
    <mergeCell ref="AI421:AK421"/>
    <mergeCell ref="AQ421:AS421"/>
    <mergeCell ref="AU421:AW421"/>
    <mergeCell ref="AY421:BA421"/>
    <mergeCell ref="BC421:BE421"/>
    <mergeCell ref="AG503:AI503"/>
    <mergeCell ref="BI503:BK503"/>
    <mergeCell ref="AC504:AE504"/>
    <mergeCell ref="AG504:AI504"/>
    <mergeCell ref="AK504:AO504"/>
    <mergeCell ref="AS504:AU504"/>
    <mergeCell ref="BG867:BI867"/>
    <mergeCell ref="AP847:AS847"/>
    <mergeCell ref="AT847:AW847"/>
    <mergeCell ref="BG842:BI842"/>
    <mergeCell ref="AY786:BA786"/>
    <mergeCell ref="BC786:BE786"/>
    <mergeCell ref="AI786:AK786"/>
    <mergeCell ref="BF836:BI836"/>
    <mergeCell ref="AT837:AW837"/>
    <mergeCell ref="AX837:BA837"/>
    <mergeCell ref="BB837:BE837"/>
    <mergeCell ref="BF837:BI837"/>
    <mergeCell ref="BC785:BE785"/>
    <mergeCell ref="BB843:BE843"/>
    <mergeCell ref="BB824:BE824"/>
    <mergeCell ref="BB826:BE826"/>
    <mergeCell ref="AX834:BA834"/>
    <mergeCell ref="AH829:AK829"/>
    <mergeCell ref="AH836:AK836"/>
    <mergeCell ref="AH837:AK837"/>
    <mergeCell ref="AP836:AS836"/>
    <mergeCell ref="AT836:AW836"/>
    <mergeCell ref="AX836:BA836"/>
    <mergeCell ref="BB836:BE836"/>
    <mergeCell ref="AU785:AW785"/>
    <mergeCell ref="AY785:BA785"/>
    <mergeCell ref="AT858:AW858"/>
    <mergeCell ref="AP851:AS851"/>
    <mergeCell ref="AT851:AW851"/>
    <mergeCell ref="AX851:BA851"/>
    <mergeCell ref="BB851:BE851"/>
    <mergeCell ref="AP852:AS852"/>
    <mergeCell ref="BB878:BE878"/>
    <mergeCell ref="BG878:BI878"/>
    <mergeCell ref="AP880:AS880"/>
    <mergeCell ref="AT880:AW880"/>
    <mergeCell ref="AX880:BA880"/>
    <mergeCell ref="BB880:BE880"/>
    <mergeCell ref="AP881:AS881"/>
    <mergeCell ref="AT881:AW881"/>
    <mergeCell ref="Z763:AE763"/>
    <mergeCell ref="Z764:AE764"/>
    <mergeCell ref="Z765:AE765"/>
    <mergeCell ref="Z766:AE766"/>
    <mergeCell ref="Z767:AE767"/>
    <mergeCell ref="Z768:AE768"/>
    <mergeCell ref="Z769:AE769"/>
    <mergeCell ref="Z771:AE771"/>
    <mergeCell ref="Z772:AE772"/>
    <mergeCell ref="Z773:AE773"/>
    <mergeCell ref="Z774:AE774"/>
    <mergeCell ref="AX763:BC763"/>
    <mergeCell ref="AX764:BC764"/>
    <mergeCell ref="AX765:BC765"/>
    <mergeCell ref="AP873:AS873"/>
    <mergeCell ref="AT873:AW873"/>
    <mergeCell ref="AX873:BA873"/>
    <mergeCell ref="BB873:BE873"/>
    <mergeCell ref="AU867:AW867"/>
    <mergeCell ref="AY867:BA867"/>
    <mergeCell ref="BC867:BE867"/>
    <mergeCell ref="AP859:AS859"/>
    <mergeCell ref="AT859:AW859"/>
    <mergeCell ref="AX859:BA859"/>
    <mergeCell ref="AP886:AS886"/>
    <mergeCell ref="AT886:AW886"/>
    <mergeCell ref="AX886:BA886"/>
    <mergeCell ref="BB886:BE886"/>
    <mergeCell ref="BF886:BI886"/>
    <mergeCell ref="BB885:BE885"/>
    <mergeCell ref="D329:N329"/>
    <mergeCell ref="D399:N399"/>
    <mergeCell ref="S399:U399"/>
    <mergeCell ref="W399:Y399"/>
    <mergeCell ref="AA399:AC399"/>
    <mergeCell ref="AE399:AG399"/>
    <mergeCell ref="AQ399:AS399"/>
    <mergeCell ref="AU399:AW399"/>
    <mergeCell ref="AY399:BA399"/>
    <mergeCell ref="BC399:BE399"/>
    <mergeCell ref="AE400:AG400"/>
    <mergeCell ref="AE406:AG406"/>
    <mergeCell ref="AE407:AG407"/>
    <mergeCell ref="S403:U403"/>
    <mergeCell ref="AQ403:AS403"/>
    <mergeCell ref="AY403:BA403"/>
    <mergeCell ref="AQ396:AS396"/>
    <mergeCell ref="AU396:AW396"/>
    <mergeCell ref="AY396:BA396"/>
    <mergeCell ref="S397:U397"/>
    <mergeCell ref="BF868:BI868"/>
    <mergeCell ref="BF869:BI869"/>
    <mergeCell ref="AP870:AS870"/>
    <mergeCell ref="AT870:AW870"/>
    <mergeCell ref="AX870:BA870"/>
    <mergeCell ref="BB870:BE870"/>
    <mergeCell ref="BG882:BI882"/>
    <mergeCell ref="AE405:AG405"/>
    <mergeCell ref="BC403:BE403"/>
    <mergeCell ref="BC404:BE404"/>
    <mergeCell ref="BC406:BE406"/>
    <mergeCell ref="BC407:BE407"/>
    <mergeCell ref="AP882:AS882"/>
    <mergeCell ref="AT882:AW882"/>
    <mergeCell ref="AP884:AS884"/>
    <mergeCell ref="AT884:AW884"/>
    <mergeCell ref="AX884:BA884"/>
    <mergeCell ref="BB884:BE884"/>
    <mergeCell ref="BF884:BI884"/>
    <mergeCell ref="BF885:BI885"/>
    <mergeCell ref="BF870:BI870"/>
    <mergeCell ref="AP872:AS872"/>
    <mergeCell ref="AT872:AW872"/>
    <mergeCell ref="AX872:BA872"/>
    <mergeCell ref="BB872:BE872"/>
    <mergeCell ref="BF872:BI872"/>
    <mergeCell ref="BF873:BI873"/>
    <mergeCell ref="AX882:BA882"/>
    <mergeCell ref="BB882:BE882"/>
    <mergeCell ref="AP883:AS883"/>
    <mergeCell ref="AT883:AW883"/>
    <mergeCell ref="AX883:BA883"/>
    <mergeCell ref="BB883:BE883"/>
    <mergeCell ref="AP874:AS874"/>
    <mergeCell ref="AT874:AW874"/>
    <mergeCell ref="AX874:BA874"/>
    <mergeCell ref="BB874:BE874"/>
    <mergeCell ref="AI407:AK407"/>
    <mergeCell ref="AX881:BA881"/>
    <mergeCell ref="BB881:BE881"/>
    <mergeCell ref="W395:Y395"/>
    <mergeCell ref="AA395:AC395"/>
    <mergeCell ref="AQ398:AS398"/>
    <mergeCell ref="AU398:AW398"/>
    <mergeCell ref="V390:Y390"/>
    <mergeCell ref="Z390:AC390"/>
    <mergeCell ref="AD390:AG390"/>
    <mergeCell ref="BB390:BE390"/>
    <mergeCell ref="AE402:AG402"/>
    <mergeCell ref="AA403:AC403"/>
    <mergeCell ref="AE404:AG404"/>
    <mergeCell ref="AE403:AG403"/>
    <mergeCell ref="AI856:AK856"/>
    <mergeCell ref="BG856:BI856"/>
    <mergeCell ref="BG881:BI881"/>
    <mergeCell ref="BF874:BI874"/>
    <mergeCell ref="AP876:AS876"/>
    <mergeCell ref="AT876:AW876"/>
    <mergeCell ref="AX876:BA876"/>
    <mergeCell ref="BB876:BE876"/>
    <mergeCell ref="BF876:BI876"/>
    <mergeCell ref="AP877:AS877"/>
    <mergeCell ref="AT877:AW877"/>
    <mergeCell ref="AX877:BA877"/>
    <mergeCell ref="BB877:BE877"/>
    <mergeCell ref="AP878:AS878"/>
    <mergeCell ref="AT878:AW878"/>
    <mergeCell ref="AX878:BA878"/>
    <mergeCell ref="U497:W497"/>
    <mergeCell ref="Y497:AA497"/>
    <mergeCell ref="R222:U222"/>
    <mergeCell ref="BE497:BG497"/>
    <mergeCell ref="U498:W498"/>
    <mergeCell ref="Y498:AA498"/>
    <mergeCell ref="AC498:AE498"/>
    <mergeCell ref="AG498:AI498"/>
    <mergeCell ref="AS498:AU498"/>
    <mergeCell ref="AW498:AY498"/>
    <mergeCell ref="BA498:BC498"/>
    <mergeCell ref="BE498:BG498"/>
    <mergeCell ref="U499:W499"/>
    <mergeCell ref="Y499:AA499"/>
    <mergeCell ref="AC499:AE499"/>
    <mergeCell ref="AG499:AI499"/>
    <mergeCell ref="AS499:AU499"/>
    <mergeCell ref="AW499:AY499"/>
    <mergeCell ref="BA499:BC499"/>
    <mergeCell ref="BE499:BG499"/>
    <mergeCell ref="AY404:BA404"/>
    <mergeCell ref="BG421:BI421"/>
    <mergeCell ref="BG352:BI352"/>
    <mergeCell ref="AX373:BA373"/>
    <mergeCell ref="BC372:BE372"/>
    <mergeCell ref="AY343:BA343"/>
    <mergeCell ref="AU327:AW327"/>
    <mergeCell ref="AU330:AW330"/>
    <mergeCell ref="AY330:BA330"/>
    <mergeCell ref="BC371:BE371"/>
    <mergeCell ref="R424:U424"/>
    <mergeCell ref="V424:Y424"/>
    <mergeCell ref="AP222:AS222"/>
    <mergeCell ref="R252:U252"/>
  </mergeCells>
  <phoneticPr fontId="9" type="noConversion"/>
  <conditionalFormatting sqref="S183:AO183 S184 AN184:AO184 AN186:AO186 S186">
    <cfRule type="cellIs" dxfId="414" priority="1391" operator="lessThan">
      <formula>-0.05</formula>
    </cfRule>
  </conditionalFormatting>
  <conditionalFormatting sqref="S182:AL182">
    <cfRule type="cellIs" dxfId="413" priority="1390" operator="lessThan">
      <formula>-0.05</formula>
    </cfRule>
  </conditionalFormatting>
  <conditionalFormatting sqref="D58:P58">
    <cfRule type="expression" dxfId="412" priority="1389">
      <formula>IF($W$50&gt;1,0,1)</formula>
    </cfRule>
  </conditionalFormatting>
  <conditionalFormatting sqref="D60:P60">
    <cfRule type="expression" dxfId="411" priority="1388">
      <formula>IF($W$50&gt;2,0,1)</formula>
    </cfRule>
  </conditionalFormatting>
  <conditionalFormatting sqref="D62:P62">
    <cfRule type="expression" dxfId="410" priority="1386">
      <formula>IF($W$50&gt;3,0,1)</formula>
    </cfRule>
  </conditionalFormatting>
  <conditionalFormatting sqref="S58:AK58 Z142 AD142 Z154 AD154">
    <cfRule type="expression" dxfId="409" priority="1385">
      <formula>IF($S$50&gt;1,0,1)</formula>
    </cfRule>
  </conditionalFormatting>
  <conditionalFormatting sqref="S60:AK60 Z144 AD144 Z156 AD156">
    <cfRule type="expression" dxfId="408" priority="1384">
      <formula>IF($S$50&gt;2,0,1)</formula>
    </cfRule>
  </conditionalFormatting>
  <conditionalFormatting sqref="S62:AK62 Z146 AD146 Z158 AD158">
    <cfRule type="expression" dxfId="407" priority="1383">
      <formula>IF($S$50&gt;3,0,1)</formula>
    </cfRule>
  </conditionalFormatting>
  <conditionalFormatting sqref="AQ58:BI58">
    <cfRule type="expression" dxfId="406" priority="1382">
      <formula>IF($AQ$50&gt;1,0,1)</formula>
    </cfRule>
  </conditionalFormatting>
  <conditionalFormatting sqref="AQ60:BI60">
    <cfRule type="expression" dxfId="405" priority="1381">
      <formula>IF($AQ$50&gt;2,0,1)</formula>
    </cfRule>
  </conditionalFormatting>
  <conditionalFormatting sqref="AQ62:BI62">
    <cfRule type="expression" dxfId="404" priority="1380">
      <formula>IF($AQ$50&gt;3,0,1)</formula>
    </cfRule>
  </conditionalFormatting>
  <conditionalFormatting sqref="D142:P142">
    <cfRule type="expression" dxfId="403" priority="1379">
      <formula>IF($W$50&gt;1,0,1)</formula>
    </cfRule>
  </conditionalFormatting>
  <conditionalFormatting sqref="D144:P144">
    <cfRule type="expression" dxfId="402" priority="1378">
      <formula>IF($W$50&gt;2,0,1)</formula>
    </cfRule>
  </conditionalFormatting>
  <conditionalFormatting sqref="D146:P146">
    <cfRule type="expression" dxfId="401" priority="1377">
      <formula>IF($W$50&gt;3,0,1)</formula>
    </cfRule>
  </conditionalFormatting>
  <conditionalFormatting sqref="D154:P154">
    <cfRule type="expression" dxfId="400" priority="1376">
      <formula>IF($W$50&gt;1,0,1)</formula>
    </cfRule>
  </conditionalFormatting>
  <conditionalFormatting sqref="D156:P156">
    <cfRule type="expression" dxfId="399" priority="1375">
      <formula>IF($W$50&gt;2,0,1)</formula>
    </cfRule>
  </conditionalFormatting>
  <conditionalFormatting sqref="D158:P158">
    <cfRule type="expression" dxfId="398" priority="1374">
      <formula>IF($W$50&gt;3,0,1)</formula>
    </cfRule>
  </conditionalFormatting>
  <conditionalFormatting sqref="S142:V142 Z165 AD165">
    <cfRule type="expression" dxfId="397" priority="1373">
      <formula>IF($S$50&gt;1,0,1)</formula>
    </cfRule>
  </conditionalFormatting>
  <conditionalFormatting sqref="S144:V144 Z166 AD166">
    <cfRule type="expression" dxfId="396" priority="1372">
      <formula>IF($S$50&gt;2,0,1)</formula>
    </cfRule>
  </conditionalFormatting>
  <conditionalFormatting sqref="S146:V146 Z167 AD167">
    <cfRule type="expression" dxfId="395" priority="1371">
      <formula>IF($S$50&gt;3,0,1)</formula>
    </cfRule>
  </conditionalFormatting>
  <conditionalFormatting sqref="D165">
    <cfRule type="expression" dxfId="394" priority="1367">
      <formula>IF($W$50&gt;1,0,1)</formula>
    </cfRule>
  </conditionalFormatting>
  <conditionalFormatting sqref="D166">
    <cfRule type="expression" dxfId="393" priority="1366">
      <formula>IF($W$50&gt;2,0,1)</formula>
    </cfRule>
  </conditionalFormatting>
  <conditionalFormatting sqref="D167">
    <cfRule type="expression" dxfId="392" priority="1365">
      <formula>IF($W$50&gt;3,0,1)</formula>
    </cfRule>
  </conditionalFormatting>
  <conditionalFormatting sqref="S154:V154">
    <cfRule type="expression" dxfId="391" priority="1364">
      <formula>IF($S$50&gt;1,0,1)</formula>
    </cfRule>
  </conditionalFormatting>
  <conditionalFormatting sqref="S156:V156">
    <cfRule type="expression" dxfId="390" priority="1363">
      <formula>IF($S$50&gt;2,0,1)</formula>
    </cfRule>
  </conditionalFormatting>
  <conditionalFormatting sqref="S158:V158">
    <cfRule type="expression" dxfId="389" priority="1362">
      <formula>IF($S$50&gt;3,0,1)</formula>
    </cfRule>
  </conditionalFormatting>
  <conditionalFormatting sqref="S80:AL82 AP80:BI82">
    <cfRule type="expression" dxfId="388" priority="1357">
      <formula>IF($D$80="",1,0)</formula>
    </cfRule>
  </conditionalFormatting>
  <conditionalFormatting sqref="P80:R82">
    <cfRule type="expression" dxfId="387" priority="1356">
      <formula>IF($D$80="",1,0)</formula>
    </cfRule>
  </conditionalFormatting>
  <conditionalFormatting sqref="S72:AL72 AP72:BI72">
    <cfRule type="expression" dxfId="386" priority="1355">
      <formula>IF($D$72="",1,0)</formula>
    </cfRule>
  </conditionalFormatting>
  <conditionalFormatting sqref="V165">
    <cfRule type="expression" dxfId="385" priority="1353">
      <formula>IF($S$50&gt;1,0,1)</formula>
    </cfRule>
  </conditionalFormatting>
  <conditionalFormatting sqref="S166:V166">
    <cfRule type="expression" dxfId="384" priority="1352">
      <formula>IF($S$50&gt;2,0,1)</formula>
    </cfRule>
  </conditionalFormatting>
  <conditionalFormatting sqref="S167:V167">
    <cfRule type="expression" dxfId="383" priority="1351">
      <formula>IF($S$50&gt;3,0,1)</formula>
    </cfRule>
  </conditionalFormatting>
  <conditionalFormatting sqref="P72">
    <cfRule type="expression" dxfId="382" priority="1264">
      <formula>IF($D$72&gt;"",0,1)</formula>
    </cfRule>
  </conditionalFormatting>
  <conditionalFormatting sqref="W142:Y142">
    <cfRule type="expression" dxfId="381" priority="1243">
      <formula>IF($S$50&gt;1,0,1)</formula>
    </cfRule>
  </conditionalFormatting>
  <conditionalFormatting sqref="AA142:AC142">
    <cfRule type="expression" dxfId="380" priority="1242">
      <formula>IF($S$50&gt;1,0,1)</formula>
    </cfRule>
  </conditionalFormatting>
  <conditionalFormatting sqref="AE142:AG142">
    <cfRule type="expression" dxfId="379" priority="1241">
      <formula>IF($S$50&gt;1,0,1)</formula>
    </cfRule>
  </conditionalFormatting>
  <conditionalFormatting sqref="W144:Y144">
    <cfRule type="expression" dxfId="378" priority="1231">
      <formula>IF($S$50&gt;2,0,1)</formula>
    </cfRule>
  </conditionalFormatting>
  <conditionalFormatting sqref="AA144:AC144">
    <cfRule type="expression" dxfId="377" priority="1230">
      <formula>IF($S$50&gt;2,0,1)</formula>
    </cfRule>
  </conditionalFormatting>
  <conditionalFormatting sqref="AE144:AG144">
    <cfRule type="expression" dxfId="376" priority="1229">
      <formula>IF($S$50&gt;2,0,1)</formula>
    </cfRule>
  </conditionalFormatting>
  <conditionalFormatting sqref="W146:Y146">
    <cfRule type="expression" dxfId="375" priority="1228">
      <formula>IF($S$50&gt;3,0,1)</formula>
    </cfRule>
  </conditionalFormatting>
  <conditionalFormatting sqref="AA146:AC146">
    <cfRule type="expression" dxfId="374" priority="1227">
      <formula>IF($S$50&gt;3,0,1)</formula>
    </cfRule>
  </conditionalFormatting>
  <conditionalFormatting sqref="AE146:AG146">
    <cfRule type="expression" dxfId="373" priority="1226">
      <formula>IF($S$50&gt;3,0,1)</formula>
    </cfRule>
  </conditionalFormatting>
  <conditionalFormatting sqref="W156:Y156">
    <cfRule type="expression" dxfId="372" priority="1222">
      <formula>IF($S$50&gt;2,0,1)</formula>
    </cfRule>
  </conditionalFormatting>
  <conditionalFormatting sqref="AA156:AC156">
    <cfRule type="expression" dxfId="371" priority="1221">
      <formula>IF($S$50&gt;2,0,1)</formula>
    </cfRule>
  </conditionalFormatting>
  <conditionalFormatting sqref="AE156:AG156">
    <cfRule type="expression" dxfId="370" priority="1220">
      <formula>IF($S$50&gt;2,0,1)</formula>
    </cfRule>
  </conditionalFormatting>
  <conditionalFormatting sqref="W158:Y158">
    <cfRule type="expression" dxfId="369" priority="1216">
      <formula>IF($S$50&gt;3,0,1)</formula>
    </cfRule>
  </conditionalFormatting>
  <conditionalFormatting sqref="AA158:AC158">
    <cfRule type="expression" dxfId="368" priority="1215">
      <formula>IF($S$50&gt;3,0,1)</formula>
    </cfRule>
  </conditionalFormatting>
  <conditionalFormatting sqref="AE158:AG158">
    <cfRule type="expression" dxfId="367" priority="1214">
      <formula>IF($S$50&gt;3,0,1)</formula>
    </cfRule>
  </conditionalFormatting>
  <conditionalFormatting sqref="W154:Y154">
    <cfRule type="expression" dxfId="366" priority="1210">
      <formula>IF($S$50&gt;1,0,1)</formula>
    </cfRule>
  </conditionalFormatting>
  <conditionalFormatting sqref="AA154:AC154">
    <cfRule type="expression" dxfId="365" priority="1209">
      <formula>IF($S$50&gt;1,0,1)</formula>
    </cfRule>
  </conditionalFormatting>
  <conditionalFormatting sqref="AE154:AG154">
    <cfRule type="expression" dxfId="364" priority="1208">
      <formula>IF($S$50&gt;1,0,1)</formula>
    </cfRule>
  </conditionalFormatting>
  <conditionalFormatting sqref="W165:Y165">
    <cfRule type="expression" dxfId="363" priority="1187">
      <formula>IF($S$50&gt;1,0,1)</formula>
    </cfRule>
  </conditionalFormatting>
  <conditionalFormatting sqref="W167:Y167">
    <cfRule type="expression" dxfId="362" priority="1185">
      <formula>IF($S$50&gt;3,0,1)</formula>
    </cfRule>
  </conditionalFormatting>
  <conditionalFormatting sqref="AA165:AC165">
    <cfRule type="expression" dxfId="361" priority="1184">
      <formula>IF($S$50&gt;1,0,1)</formula>
    </cfRule>
  </conditionalFormatting>
  <conditionalFormatting sqref="AA167:AC167">
    <cfRule type="expression" dxfId="360" priority="1182">
      <formula>IF($S$50&gt;3,0,1)</formula>
    </cfRule>
  </conditionalFormatting>
  <conditionalFormatting sqref="AE165:AG165">
    <cfRule type="expression" dxfId="359" priority="1181">
      <formula>IF($S$50&gt;1,0,1)</formula>
    </cfRule>
  </conditionalFormatting>
  <conditionalFormatting sqref="AE167:AG167">
    <cfRule type="expression" dxfId="358" priority="1179">
      <formula>IF($S$50&gt;3,0,1)</formula>
    </cfRule>
  </conditionalFormatting>
  <conditionalFormatting sqref="W166:Y166">
    <cfRule type="expression" dxfId="357" priority="1178">
      <formula>IF($S$50&gt;2,0,1)</formula>
    </cfRule>
  </conditionalFormatting>
  <conditionalFormatting sqref="AA166:AC166">
    <cfRule type="expression" dxfId="356" priority="1177">
      <formula>IF($S$50&gt;2,0,1)</formula>
    </cfRule>
  </conditionalFormatting>
  <conditionalFormatting sqref="AE166:AG166">
    <cfRule type="expression" dxfId="355" priority="1176">
      <formula>IF($S$50&gt;2,0,1)</formula>
    </cfRule>
  </conditionalFormatting>
  <conditionalFormatting sqref="S165:U165">
    <cfRule type="expression" dxfId="354" priority="1175">
      <formula>IF($S$50&gt;1,0,1)</formula>
    </cfRule>
  </conditionalFormatting>
  <conditionalFormatting sqref="AI381:AM381">
    <cfRule type="cellIs" dxfId="353" priority="1156" operator="greaterThan">
      <formula>8760</formula>
    </cfRule>
  </conditionalFormatting>
  <conditionalFormatting sqref="AI312:AM312">
    <cfRule type="cellIs" dxfId="352" priority="1154" operator="greaterThan">
      <formula>8760</formula>
    </cfRule>
  </conditionalFormatting>
  <conditionalFormatting sqref="AQ40:BI50 AQ53:BI82 AV90:BI90 AQ96:BI96 AY52:BI52">
    <cfRule type="expression" dxfId="351" priority="1152">
      <formula>IF($AQ$36=1,1,0)</formula>
    </cfRule>
  </conditionalFormatting>
  <conditionalFormatting sqref="B291:BJ428">
    <cfRule type="expression" dxfId="350" priority="1145">
      <formula>IF($S$289=$C$440,1,IF($S$289="",1,0))</formula>
    </cfRule>
  </conditionalFormatting>
  <conditionalFormatting sqref="AM25:AM31 AM40:AM43 AM120:AM137 AM183 AM45 AM47:AM50 AM151:AM173 AM139:AM149 AM177:AM179 AM53:AM82">
    <cfRule type="expression" dxfId="349" priority="1137">
      <formula>IF($AM$2=1,0,1)</formula>
    </cfRule>
  </conditionalFormatting>
  <conditionalFormatting sqref="AN25:AN31 AN40:AN43 AN120:AN137 AN183 AN45 AN47:AN50 AN151:AN173 AN139:AN149 AN177:AN179 AN53:AN82 AN205">
    <cfRule type="expression" dxfId="348" priority="1136">
      <formula>IF($AN$2=1,0,1)</formula>
    </cfRule>
  </conditionalFormatting>
  <conditionalFormatting sqref="AO25:AO31 AO40:AO43 AO120:AO137 AO183:AO184 AO45 AO47:AO50 AO151:AO173 AO139:AO149 AO177:AO179 AO53:AO82 AO205:AO206">
    <cfRule type="expression" dxfId="347" priority="1135">
      <formula>IF($AO$2=1,0,1)</formula>
    </cfRule>
  </conditionalFormatting>
  <conditionalFormatting sqref="AM182">
    <cfRule type="expression" dxfId="346" priority="1134">
      <formula>IF($AM$2=1,0,1)</formula>
    </cfRule>
  </conditionalFormatting>
  <conditionalFormatting sqref="AN182">
    <cfRule type="expression" dxfId="345" priority="1133">
      <formula>IF($AN$2=1,0,1)</formula>
    </cfRule>
  </conditionalFormatting>
  <conditionalFormatting sqref="AO182">
    <cfRule type="expression" dxfId="344" priority="1132">
      <formula>IF($AO$2=1,0,1)</formula>
    </cfRule>
  </conditionalFormatting>
  <conditionalFormatting sqref="AM46">
    <cfRule type="expression" dxfId="343" priority="1125">
      <formula>IF($AM$2=1,0,1)</formula>
    </cfRule>
  </conditionalFormatting>
  <conditionalFormatting sqref="AN46">
    <cfRule type="expression" dxfId="342" priority="1124">
      <formula>IF($AN$2=1,0,1)</formula>
    </cfRule>
  </conditionalFormatting>
  <conditionalFormatting sqref="AO46">
    <cfRule type="expression" dxfId="341" priority="1123">
      <formula>IF($AO$2=1,0,1)</formula>
    </cfRule>
  </conditionalFormatting>
  <conditionalFormatting sqref="AM44">
    <cfRule type="expression" dxfId="340" priority="1122">
      <formula>IF($AM$2=1,0,1)</formula>
    </cfRule>
  </conditionalFormatting>
  <conditionalFormatting sqref="AN44">
    <cfRule type="expression" dxfId="339" priority="1121">
      <formula>IF($AN$2=1,0,1)</formula>
    </cfRule>
  </conditionalFormatting>
  <conditionalFormatting sqref="AO44">
    <cfRule type="expression" dxfId="338" priority="1120">
      <formula>IF($AO$2=1,0,1)</formula>
    </cfRule>
  </conditionalFormatting>
  <conditionalFormatting sqref="AZ428:BI428">
    <cfRule type="expression" dxfId="337" priority="1110">
      <formula>IF($S$289=$C$439,0,1)</formula>
    </cfRule>
  </conditionalFormatting>
  <conditionalFormatting sqref="AM668:AM672">
    <cfRule type="expression" dxfId="336" priority="1109">
      <formula>IF($AM$2=1,0,1)</formula>
    </cfRule>
  </conditionalFormatting>
  <conditionalFormatting sqref="AN668:AN672">
    <cfRule type="expression" dxfId="335" priority="1108">
      <formula>IF($AN$2=1,0,1)</formula>
    </cfRule>
  </conditionalFormatting>
  <conditionalFormatting sqref="AO668:AO672">
    <cfRule type="expression" dxfId="334" priority="1107">
      <formula>IF($AO$2=1,0,1)</formula>
    </cfRule>
  </conditionalFormatting>
  <conditionalFormatting sqref="D82">
    <cfRule type="expression" dxfId="333" priority="1105">
      <formula>IF((S72+S80)&gt;0,0,1)</formula>
    </cfRule>
  </conditionalFormatting>
  <conditionalFormatting sqref="D83:BI84">
    <cfRule type="expression" dxfId="332" priority="1104">
      <formula>IF((S72+S80)&gt;0,0,1)</formula>
    </cfRule>
  </conditionalFormatting>
  <conditionalFormatting sqref="AM150">
    <cfRule type="expression" dxfId="331" priority="1102">
      <formula>IF($AM$2=1,0,1)</formula>
    </cfRule>
  </conditionalFormatting>
  <conditionalFormatting sqref="AN150">
    <cfRule type="expression" dxfId="330" priority="1101">
      <formula>IF($AN$2=1,0,1)</formula>
    </cfRule>
  </conditionalFormatting>
  <conditionalFormatting sqref="AO150">
    <cfRule type="expression" dxfId="329" priority="1100">
      <formula>IF($AO$2=1,0,1)</formula>
    </cfRule>
  </conditionalFormatting>
  <conditionalFormatting sqref="AM138">
    <cfRule type="expression" dxfId="328" priority="1099">
      <formula>IF($AM$2=1,0,1)</formula>
    </cfRule>
  </conditionalFormatting>
  <conditionalFormatting sqref="AN138">
    <cfRule type="expression" dxfId="327" priority="1098">
      <formula>IF($AN$2=1,0,1)</formula>
    </cfRule>
  </conditionalFormatting>
  <conditionalFormatting sqref="AO138">
    <cfRule type="expression" dxfId="326" priority="1097">
      <formula>IF($AO$2=1,0,1)</formula>
    </cfRule>
  </conditionalFormatting>
  <conditionalFormatting sqref="AM174">
    <cfRule type="expression" dxfId="325" priority="1096">
      <formula>IF($AM$2=1,0,1)</formula>
    </cfRule>
  </conditionalFormatting>
  <conditionalFormatting sqref="AN174">
    <cfRule type="expression" dxfId="324" priority="1095">
      <formula>IF($AN$2=1,0,1)</formula>
    </cfRule>
  </conditionalFormatting>
  <conditionalFormatting sqref="AO174">
    <cfRule type="expression" dxfId="323" priority="1094">
      <formula>IF($AO$2=1,0,1)</formula>
    </cfRule>
  </conditionalFormatting>
  <conditionalFormatting sqref="AQ90:AT90">
    <cfRule type="expression" dxfId="322" priority="1088">
      <formula>IF($AQ$36=1,1,0)</formula>
    </cfRule>
  </conditionalFormatting>
  <conditionalFormatting sqref="AM90 AM96:AM98 AM102">
    <cfRule type="expression" dxfId="321" priority="1087">
      <formula>IF($AM$2=1,0,1)</formula>
    </cfRule>
  </conditionalFormatting>
  <conditionalFormatting sqref="AN90 AN96:AN98 AN102">
    <cfRule type="expression" dxfId="320" priority="1086">
      <formula>IF($AN$2=1,0,1)</formula>
    </cfRule>
  </conditionalFormatting>
  <conditionalFormatting sqref="AO90 AO96:AO98 AO102">
    <cfRule type="expression" dxfId="319" priority="1085">
      <formula>IF($AO$2=1,0,1)</formula>
    </cfRule>
  </conditionalFormatting>
  <conditionalFormatting sqref="AM107">
    <cfRule type="expression" dxfId="318" priority="1077">
      <formula>IF($AM$2=1,0,1)</formula>
    </cfRule>
  </conditionalFormatting>
  <conditionalFormatting sqref="AN107">
    <cfRule type="expression" dxfId="317" priority="1076">
      <formula>IF($AN$2=1,0,1)</formula>
    </cfRule>
  </conditionalFormatting>
  <conditionalFormatting sqref="AO107">
    <cfRule type="expression" dxfId="316" priority="1075">
      <formula>IF($AO$2=1,0,1)</formula>
    </cfRule>
  </conditionalFormatting>
  <conditionalFormatting sqref="AM110">
    <cfRule type="expression" dxfId="315" priority="1073">
      <formula>IF($AM$2=1,0,1)</formula>
    </cfRule>
  </conditionalFormatting>
  <conditionalFormatting sqref="AN110">
    <cfRule type="expression" dxfId="314" priority="1072">
      <formula>IF($AN$2=1,0,1)</formula>
    </cfRule>
  </conditionalFormatting>
  <conditionalFormatting sqref="AO110">
    <cfRule type="expression" dxfId="313" priority="1071">
      <formula>IF($AO$2=1,0,1)</formula>
    </cfRule>
  </conditionalFormatting>
  <conditionalFormatting sqref="AQ681:BI681">
    <cfRule type="expression" dxfId="312" priority="1070">
      <formula>IF($AQ$36=1,1,0)</formula>
    </cfRule>
  </conditionalFormatting>
  <conditionalFormatting sqref="AM103">
    <cfRule type="expression" dxfId="311" priority="1057">
      <formula>IF($AM$2=1,0,1)</formula>
    </cfRule>
  </conditionalFormatting>
  <conditionalFormatting sqref="AN103">
    <cfRule type="expression" dxfId="310" priority="1056">
      <formula>IF($AN$2=1,0,1)</formula>
    </cfRule>
  </conditionalFormatting>
  <conditionalFormatting sqref="AO103">
    <cfRule type="expression" dxfId="309" priority="1055">
      <formula>IF($AO$2=1,0,1)</formula>
    </cfRule>
  </conditionalFormatting>
  <conditionalFormatting sqref="AM106">
    <cfRule type="expression" dxfId="308" priority="1053">
      <formula>IF($AM$2=1,0,1)</formula>
    </cfRule>
  </conditionalFormatting>
  <conditionalFormatting sqref="AN106">
    <cfRule type="expression" dxfId="307" priority="1052">
      <formula>IF($AN$2=1,0,1)</formula>
    </cfRule>
  </conditionalFormatting>
  <conditionalFormatting sqref="AO106">
    <cfRule type="expression" dxfId="306" priority="1051">
      <formula>IF($AO$2=1,0,1)</formula>
    </cfRule>
  </conditionalFormatting>
  <conditionalFormatting sqref="AM108:AM109">
    <cfRule type="expression" dxfId="305" priority="1041">
      <formula>IF($AM$2=1,0,1)</formula>
    </cfRule>
  </conditionalFormatting>
  <conditionalFormatting sqref="AN108:AN109">
    <cfRule type="expression" dxfId="304" priority="1040">
      <formula>IF($AN$2=1,0,1)</formula>
    </cfRule>
  </conditionalFormatting>
  <conditionalFormatting sqref="AO108:AO109">
    <cfRule type="expression" dxfId="303" priority="1039">
      <formula>IF($AO$2=1,0,1)</formula>
    </cfRule>
  </conditionalFormatting>
  <conditionalFormatting sqref="AQ91:BI91">
    <cfRule type="expression" dxfId="302" priority="1031">
      <formula>IF($AQ$36=1,1,0)</formula>
    </cfRule>
  </conditionalFormatting>
  <conditionalFormatting sqref="AM91">
    <cfRule type="expression" dxfId="301" priority="1030">
      <formula>IF($AM$2=1,0,1)</formula>
    </cfRule>
  </conditionalFormatting>
  <conditionalFormatting sqref="AN91">
    <cfRule type="expression" dxfId="300" priority="1029">
      <formula>IF($AN$2=1,0,1)</formula>
    </cfRule>
  </conditionalFormatting>
  <conditionalFormatting sqref="AO91">
    <cfRule type="expression" dxfId="299" priority="1028">
      <formula>IF($AO$2=1,0,1)</formula>
    </cfRule>
  </conditionalFormatting>
  <conditionalFormatting sqref="S105:BI105">
    <cfRule type="expression" dxfId="298" priority="1027">
      <formula>IF($D$80="",1,0)</formula>
    </cfRule>
  </conditionalFormatting>
  <conditionalFormatting sqref="P105:R105">
    <cfRule type="expression" dxfId="297" priority="1026">
      <formula>IF($D$80="",1,0)</formula>
    </cfRule>
  </conditionalFormatting>
  <conditionalFormatting sqref="S104:BI104">
    <cfRule type="expression" dxfId="296" priority="1021">
      <formula>IF($D$80="",1,0)</formula>
    </cfRule>
  </conditionalFormatting>
  <conditionalFormatting sqref="P104:R104">
    <cfRule type="expression" dxfId="295" priority="1020">
      <formula>IF($D$80="",1,0)</formula>
    </cfRule>
  </conditionalFormatting>
  <conditionalFormatting sqref="AM111">
    <cfRule type="expression" dxfId="294" priority="1009">
      <formula>IF($AM$2=1,0,1)</formula>
    </cfRule>
  </conditionalFormatting>
  <conditionalFormatting sqref="AN111">
    <cfRule type="expression" dxfId="293" priority="1008">
      <formula>IF($AN$2=1,0,1)</formula>
    </cfRule>
  </conditionalFormatting>
  <conditionalFormatting sqref="AO111">
    <cfRule type="expression" dxfId="292" priority="1007">
      <formula>IF($AO$2=1,0,1)</formula>
    </cfRule>
  </conditionalFormatting>
  <conditionalFormatting sqref="AN208:AO208">
    <cfRule type="cellIs" dxfId="291" priority="982" operator="lessThan">
      <formula>-0.05</formula>
    </cfRule>
  </conditionalFormatting>
  <conditionalFormatting sqref="AM187">
    <cfRule type="expression" dxfId="290" priority="977">
      <formula>IF($AM$2=1,0,1)</formula>
    </cfRule>
  </conditionalFormatting>
  <conditionalFormatting sqref="AN187">
    <cfRule type="expression" dxfId="289" priority="976">
      <formula>IF($AN$2=1,0,1)</formula>
    </cfRule>
  </conditionalFormatting>
  <conditionalFormatting sqref="AO187">
    <cfRule type="expression" dxfId="288" priority="975">
      <formula>IF($AO$2=1,0,1)</formula>
    </cfRule>
  </conditionalFormatting>
  <conditionalFormatting sqref="S206 AN206:AO206">
    <cfRule type="cellIs" dxfId="287" priority="906" operator="lessThan">
      <formula>-0.05</formula>
    </cfRule>
  </conditionalFormatting>
  <conditionalFormatting sqref="S208">
    <cfRule type="cellIs" dxfId="286" priority="901" operator="lessThan">
      <formula>-0.05</formula>
    </cfRule>
  </conditionalFormatting>
  <conditionalFormatting sqref="AP205:BI205 AP207:BI207 AP206 AP208 AP181:BI181 AP183:BI187 AP178:AP180 AP182 AP160:BI164 AP154:AP158 AP102:BI103 AP111:BI111 AP108:AP110 AP168:BI174 AP159:BE159 BG154:BI159 AP165:AP167 BF165:BI167 AP177:BI177 AP106:BI107 AP176 BF176:BI176 AT176 AX176 BB176">
    <cfRule type="expression" dxfId="285" priority="848">
      <formula>IF($AQ$40=1,1,0)</formula>
    </cfRule>
  </conditionalFormatting>
  <conditionalFormatting sqref="AP120:BI152 AP153:BE153 BG153:BI153 BF153:BF159 AT222:BI222 AP222 AT252:BI252 AP252">
    <cfRule type="expression" dxfId="284" priority="847">
      <formula>IF($AQ$36=1,1,0)</formula>
    </cfRule>
  </conditionalFormatting>
  <conditionalFormatting sqref="AP97:BI98">
    <cfRule type="expression" dxfId="283" priority="846">
      <formula>IF($AQ$36=1,1,0)</formula>
    </cfRule>
  </conditionalFormatting>
  <conditionalFormatting sqref="AM99:AM101">
    <cfRule type="expression" dxfId="282" priority="842">
      <formula>IF($AM$2=1,0,1)</formula>
    </cfRule>
  </conditionalFormatting>
  <conditionalFormatting sqref="AN99:AN101">
    <cfRule type="expression" dxfId="281" priority="841">
      <formula>IF($AN$2=1,0,1)</formula>
    </cfRule>
  </conditionalFormatting>
  <conditionalFormatting sqref="AO99:AO101">
    <cfRule type="expression" dxfId="280" priority="840">
      <formula>IF($AO$2=1,0,1)</formula>
    </cfRule>
  </conditionalFormatting>
  <conditionalFormatting sqref="AP99:AT101">
    <cfRule type="expression" dxfId="279" priority="839">
      <formula>IF($AQ$36=1,1,0)</formula>
    </cfRule>
  </conditionalFormatting>
  <conditionalFormatting sqref="S104:BI105 S106:AK107">
    <cfRule type="expression" dxfId="278" priority="837">
      <formula>IF($W$100=0,1,0)</formula>
    </cfRule>
  </conditionalFormatting>
  <conditionalFormatting sqref="AQ106:BI107">
    <cfRule type="expression" dxfId="277" priority="836">
      <formula>IF($AU$100=0,1,0)</formula>
    </cfRule>
  </conditionalFormatting>
  <conditionalFormatting sqref="R206:AK208 V354:W355 Z354:AA355 AD354:AE355 AH354:AI355">
    <cfRule type="expression" dxfId="276" priority="834">
      <formula>IF($W$101=0,1,0)</formula>
    </cfRule>
  </conditionalFormatting>
  <conditionalFormatting sqref="AP205:BI205 AP207:BI207 AP206 AP208">
    <cfRule type="expression" dxfId="275" priority="833">
      <formula>IF($AU$101=0,1,0)</formula>
    </cfRule>
  </conditionalFormatting>
  <conditionalFormatting sqref="AQ759:BI761">
    <cfRule type="expression" dxfId="274" priority="822">
      <formula>IF($AQ$36=1,1,0)</formula>
    </cfRule>
  </conditionalFormatting>
  <conditionalFormatting sqref="AQ780:BI780">
    <cfRule type="expression" dxfId="273" priority="751">
      <formula>IF($AQ$36=1,1,0)</formula>
    </cfRule>
  </conditionalFormatting>
  <conditionalFormatting sqref="AQ51:BI51">
    <cfRule type="expression" dxfId="272" priority="447">
      <formula>IF($AQ$36=1,1,0)</formula>
    </cfRule>
  </conditionalFormatting>
  <conditionalFormatting sqref="AM51:AM52">
    <cfRule type="expression" dxfId="271" priority="446">
      <formula>IF($AM$2=1,0,1)</formula>
    </cfRule>
  </conditionalFormatting>
  <conditionalFormatting sqref="AN51:AN52">
    <cfRule type="expression" dxfId="270" priority="445">
      <formula>IF($AN$2=1,0,1)</formula>
    </cfRule>
  </conditionalFormatting>
  <conditionalFormatting sqref="AO51:AO52">
    <cfRule type="expression" dxfId="269" priority="444">
      <formula>IF($AO$2=1,0,1)</formula>
    </cfRule>
  </conditionalFormatting>
  <conditionalFormatting sqref="D354">
    <cfRule type="expression" dxfId="268" priority="264">
      <formula>IF($S$101=0,1,0)</formula>
    </cfRule>
  </conditionalFormatting>
  <conditionalFormatting sqref="D356">
    <cfRule type="expression" dxfId="267" priority="261">
      <formula>IF($S$101=0,1,0)</formula>
    </cfRule>
  </conditionalFormatting>
  <conditionalFormatting sqref="R354:S354">
    <cfRule type="expression" dxfId="266" priority="210">
      <formula>IF($W$101=0,1,0)</formula>
    </cfRule>
  </conditionalFormatting>
  <conditionalFormatting sqref="R354:AK354">
    <cfRule type="expression" dxfId="265" priority="209">
      <formula>IF($W$101=0,1,0)</formula>
    </cfRule>
  </conditionalFormatting>
  <conditionalFormatting sqref="D355">
    <cfRule type="expression" dxfId="264" priority="183">
      <formula>IF($S$101=0,1,0)</formula>
    </cfRule>
  </conditionalFormatting>
  <conditionalFormatting sqref="R355:S355">
    <cfRule type="expression" dxfId="263" priority="182">
      <formula>IF($W$101=0,1,0)</formula>
    </cfRule>
  </conditionalFormatting>
  <conditionalFormatting sqref="R355:AK355">
    <cfRule type="expression" dxfId="262" priority="181">
      <formula>IF($W$101=0,1,0)</formula>
    </cfRule>
  </conditionalFormatting>
  <conditionalFormatting sqref="D108:P111">
    <cfRule type="expression" dxfId="261" priority="151">
      <formula>IF($S$99=2,1,0)</formula>
    </cfRule>
  </conditionalFormatting>
  <conditionalFormatting sqref="D104:P106">
    <cfRule type="expression" dxfId="260" priority="150">
      <formula>IF($S$100=0,1,0)</formula>
    </cfRule>
  </conditionalFormatting>
  <conditionalFormatting sqref="S108:AK111">
    <cfRule type="expression" dxfId="259" priority="149">
      <formula>IF($W$99=1,1,0)</formula>
    </cfRule>
  </conditionalFormatting>
  <conditionalFormatting sqref="AQ108:BI111">
    <cfRule type="expression" dxfId="258" priority="148">
      <formula>IF($AU$99=1,1,0)</formula>
    </cfRule>
  </conditionalFormatting>
  <conditionalFormatting sqref="AQ206">
    <cfRule type="cellIs" dxfId="257" priority="144" operator="lessThan">
      <formula>-0.05</formula>
    </cfRule>
  </conditionalFormatting>
  <conditionalFormatting sqref="AQ206:BI206">
    <cfRule type="expression" dxfId="256" priority="143">
      <formula>IF($AU$101=0,1,0)</formula>
    </cfRule>
  </conditionalFormatting>
  <conditionalFormatting sqref="AQ208:BI208">
    <cfRule type="expression" dxfId="255" priority="141">
      <formula>IF($AU$101=0,1,0)</formula>
    </cfRule>
  </conditionalFormatting>
  <conditionalFormatting sqref="AM205 C189:Q206">
    <cfRule type="expression" dxfId="254" priority="140">
      <formula>IF($S$101=1,0,1)</formula>
    </cfRule>
  </conditionalFormatting>
  <conditionalFormatting sqref="R190:AK190 S192:AK197 S199:AK204 AH198:AK198">
    <cfRule type="expression" dxfId="253" priority="139">
      <formula>IF($W$101=1,0,1)</formula>
    </cfRule>
  </conditionalFormatting>
  <conditionalFormatting sqref="AP190:BI197 AP199:BI204 AP198 BF198">
    <cfRule type="expression" dxfId="252" priority="138">
      <formula>IF($AU$101=1,0,1)</formula>
    </cfRule>
  </conditionalFormatting>
  <conditionalFormatting sqref="BG198:BI198">
    <cfRule type="expression" dxfId="251" priority="102">
      <formula>IF($AQ$36=1,1,0)</formula>
    </cfRule>
    <cfRule type="expression" dxfId="250" priority="133">
      <formula>IF($AU$101=1,0,1)</formula>
    </cfRule>
  </conditionalFormatting>
  <conditionalFormatting sqref="AE337:AG337">
    <cfRule type="expression" dxfId="249" priority="105">
      <formula>IF($AQ$36=1,1,0)</formula>
    </cfRule>
  </conditionalFormatting>
  <conditionalFormatting sqref="AQ52:AX52">
    <cfRule type="expression" dxfId="248" priority="103">
      <formula>IF($AQ$36=1,1,0)</formula>
    </cfRule>
  </conditionalFormatting>
  <conditionalFormatting sqref="AN216:BI221 AN223:BI251 AN222:AO222 AN253:BI285 AN252:AO252">
    <cfRule type="expression" dxfId="247" priority="101">
      <formula>IF($AQ$36=1,1,0)</formula>
    </cfRule>
  </conditionalFormatting>
  <conditionalFormatting sqref="AO297:BI357">
    <cfRule type="expression" dxfId="246" priority="100">
      <formula>IF($AQ$36=1,1,0)</formula>
    </cfRule>
  </conditionalFormatting>
  <conditionalFormatting sqref="AO365:BI425">
    <cfRule type="expression" dxfId="245" priority="98">
      <formula>IF($AQ$36=1,1,0)</formula>
    </cfRule>
  </conditionalFormatting>
  <conditionalFormatting sqref="AM181">
    <cfRule type="expression" dxfId="244" priority="97">
      <formula>IF($AM$2=1,0,1)</formula>
    </cfRule>
  </conditionalFormatting>
  <conditionalFormatting sqref="AN181">
    <cfRule type="expression" dxfId="243" priority="96">
      <formula>IF($AN$2=1,0,1)</formula>
    </cfRule>
  </conditionalFormatting>
  <conditionalFormatting sqref="AO181">
    <cfRule type="expression" dxfId="242" priority="95">
      <formula>IF($AO$2=1,0,1)</formula>
    </cfRule>
  </conditionalFormatting>
  <conditionalFormatting sqref="AM180:AM181">
    <cfRule type="expression" dxfId="241" priority="94">
      <formula>IF($AM$2=1,0,1)</formula>
    </cfRule>
  </conditionalFormatting>
  <conditionalFormatting sqref="AN180:AN181">
    <cfRule type="expression" dxfId="240" priority="93">
      <formula>IF($AN$2=1,0,1)</formula>
    </cfRule>
  </conditionalFormatting>
  <conditionalFormatting sqref="AO180:AO181">
    <cfRule type="expression" dxfId="239" priority="92">
      <formula>IF($AO$2=1,0,1)</formula>
    </cfRule>
  </conditionalFormatting>
  <conditionalFormatting sqref="AQ182:BI182">
    <cfRule type="cellIs" dxfId="238" priority="90" operator="lessThan">
      <formula>-0.05</formula>
    </cfRule>
  </conditionalFormatting>
  <conditionalFormatting sqref="AP103:BI111">
    <cfRule type="expression" dxfId="237" priority="62">
      <formula>IF($AQ$40="",1,0)</formula>
    </cfRule>
  </conditionalFormatting>
  <conditionalFormatting sqref="AP154:AP158 BG154:BI158">
    <cfRule type="expression" dxfId="236" priority="61">
      <formula>IF($AP$120="",1,0)</formula>
    </cfRule>
  </conditionalFormatting>
  <conditionalFormatting sqref="AP199:BI208 AP198 BF198:BI198 AP177:BI186 AP176 BF176:BI176 AT176 AX176 BB176">
    <cfRule type="expression" dxfId="235" priority="60">
      <formula>IF($AQ$120="",1,0)</formula>
    </cfRule>
  </conditionalFormatting>
  <conditionalFormatting sqref="AP187:BI197">
    <cfRule type="expression" dxfId="234" priority="59">
      <formula>IF($AQ$120="",1,0)</formula>
    </cfRule>
  </conditionalFormatting>
  <conditionalFormatting sqref="AQ142:BE142">
    <cfRule type="expression" dxfId="233" priority="58">
      <formula>IF($AQ$50&gt;1,0,1)</formula>
    </cfRule>
  </conditionalFormatting>
  <conditionalFormatting sqref="AQ144:BE144">
    <cfRule type="expression" dxfId="232" priority="57">
      <formula>IF($AQ$50&gt;2,0,1)</formula>
    </cfRule>
  </conditionalFormatting>
  <conditionalFormatting sqref="AQ146:BE146">
    <cfRule type="expression" dxfId="231" priority="56">
      <formula>IF($AQ$50&gt;3,0,1)</formula>
    </cfRule>
  </conditionalFormatting>
  <conditionalFormatting sqref="AQ154:BE158">
    <cfRule type="expression" dxfId="230" priority="55">
      <formula>IF($AQ$36=1,1,0)</formula>
    </cfRule>
  </conditionalFormatting>
  <conditionalFormatting sqref="AQ154:BE154">
    <cfRule type="expression" dxfId="229" priority="54">
      <formula>IF($AQ$50&gt;1,0,1)</formula>
    </cfRule>
  </conditionalFormatting>
  <conditionalFormatting sqref="AQ156:BE156">
    <cfRule type="expression" dxfId="228" priority="53">
      <formula>IF($AQ$50&gt;2,0,1)</formula>
    </cfRule>
  </conditionalFormatting>
  <conditionalFormatting sqref="AQ158:BE158">
    <cfRule type="expression" dxfId="227" priority="52">
      <formula>IF($AQ$50&gt;3,0,1)</formula>
    </cfRule>
  </conditionalFormatting>
  <conditionalFormatting sqref="AQ165:BE165">
    <cfRule type="expression" dxfId="226" priority="51">
      <formula>IF($AQ$36=1,1,0)</formula>
    </cfRule>
  </conditionalFormatting>
  <conditionalFormatting sqref="AQ165:BE165">
    <cfRule type="expression" dxfId="225" priority="50">
      <formula>IF($AQ$50&gt;1,0,1)</formula>
    </cfRule>
  </conditionalFormatting>
  <conditionalFormatting sqref="AQ166:BE166">
    <cfRule type="expression" dxfId="224" priority="49">
      <formula>IF($AQ$36=1,1,0)</formula>
    </cfRule>
  </conditionalFormatting>
  <conditionalFormatting sqref="AQ166:BE166">
    <cfRule type="expression" dxfId="223" priority="48">
      <formula>IF($AQ$50&gt;2,0,1)</formula>
    </cfRule>
  </conditionalFormatting>
  <conditionalFormatting sqref="AQ167:BE167">
    <cfRule type="expression" dxfId="222" priority="47">
      <formula>IF($AQ$36=1,1,0)</formula>
    </cfRule>
  </conditionalFormatting>
  <conditionalFormatting sqref="AQ167:BE167">
    <cfRule type="expression" dxfId="221" priority="46">
      <formula>IF($AQ$50&gt;3,0,1)</formula>
    </cfRule>
  </conditionalFormatting>
  <conditionalFormatting sqref="AP159:BI174">
    <cfRule type="expression" dxfId="220" priority="45">
      <formula>IF($AQ$120="",1,0)</formula>
    </cfRule>
  </conditionalFormatting>
  <conditionalFormatting sqref="S198:AG198">
    <cfRule type="expression" dxfId="219" priority="43">
      <formula>IF($S$101=0,1,0)</formula>
    </cfRule>
  </conditionalFormatting>
  <conditionalFormatting sqref="AQ198:BE198">
    <cfRule type="expression" dxfId="218" priority="42">
      <formula>IF($S$101=0,1,0)</formula>
    </cfRule>
  </conditionalFormatting>
  <conditionalFormatting sqref="AM175">
    <cfRule type="expression" dxfId="217" priority="41">
      <formula>IF($AM$2=1,0,1)</formula>
    </cfRule>
  </conditionalFormatting>
  <conditionalFormatting sqref="AN175">
    <cfRule type="expression" dxfId="216" priority="40">
      <formula>IF($AN$2=1,0,1)</formula>
    </cfRule>
  </conditionalFormatting>
  <conditionalFormatting sqref="AO175">
    <cfRule type="expression" dxfId="215" priority="39">
      <formula>IF($AO$2=1,0,1)</formula>
    </cfRule>
  </conditionalFormatting>
  <conditionalFormatting sqref="AM176">
    <cfRule type="expression" dxfId="214" priority="38">
      <formula>IF($AM$2=1,0,1)</formula>
    </cfRule>
  </conditionalFormatting>
  <conditionalFormatting sqref="AN176">
    <cfRule type="expression" dxfId="213" priority="37">
      <formula>IF($AN$2=1,0,1)</formula>
    </cfRule>
  </conditionalFormatting>
  <conditionalFormatting sqref="AO176">
    <cfRule type="expression" dxfId="212" priority="36">
      <formula>IF($AO$2=1,0,1)</formula>
    </cfRule>
  </conditionalFormatting>
  <conditionalFormatting sqref="AP175:BI175">
    <cfRule type="expression" dxfId="211" priority="35">
      <formula>IF($AQ$40=1,1,0)</formula>
    </cfRule>
  </conditionalFormatting>
  <conditionalFormatting sqref="AP175:BI175">
    <cfRule type="expression" dxfId="210" priority="34">
      <formula>IF($AQ$120="",1,0)</formula>
    </cfRule>
  </conditionalFormatting>
  <conditionalFormatting sqref="AQ85:BI85 AQ87:BI87">
    <cfRule type="expression" dxfId="209" priority="33">
      <formula>IF($AQ$36=1,1,0)</formula>
    </cfRule>
  </conditionalFormatting>
  <conditionalFormatting sqref="AM85 AM87">
    <cfRule type="expression" dxfId="208" priority="32">
      <formula>IF($AM$2=1,0,1)</formula>
    </cfRule>
  </conditionalFormatting>
  <conditionalFormatting sqref="AN85 AN87">
    <cfRule type="expression" dxfId="207" priority="31">
      <formula>IF($AN$2=1,0,1)</formula>
    </cfRule>
  </conditionalFormatting>
  <conditionalFormatting sqref="AO85 AO87">
    <cfRule type="expression" dxfId="206" priority="30">
      <formula>IF($AO$2=1,0,1)</formula>
    </cfRule>
  </conditionalFormatting>
  <conditionalFormatting sqref="AT88:BI88">
    <cfRule type="expression" dxfId="205" priority="19">
      <formula>IF($AQ$36=1,1,0)</formula>
    </cfRule>
  </conditionalFormatting>
  <conditionalFormatting sqref="AM88">
    <cfRule type="expression" dxfId="204" priority="18">
      <formula>IF($AM$2=1,0,1)</formula>
    </cfRule>
  </conditionalFormatting>
  <conditionalFormatting sqref="AN88">
    <cfRule type="expression" dxfId="203" priority="17">
      <formula>IF($AN$2=1,0,1)</formula>
    </cfRule>
  </conditionalFormatting>
  <conditionalFormatting sqref="AO88">
    <cfRule type="expression" dxfId="202" priority="16">
      <formula>IF($AO$2=1,0,1)</formula>
    </cfRule>
  </conditionalFormatting>
  <conditionalFormatting sqref="AQ89:BI89">
    <cfRule type="expression" dxfId="201" priority="15">
      <formula>IF($AQ$36=1,1,0)</formula>
    </cfRule>
  </conditionalFormatting>
  <conditionalFormatting sqref="AM89">
    <cfRule type="expression" dxfId="200" priority="14">
      <formula>IF($AM$2=1,0,1)</formula>
    </cfRule>
  </conditionalFormatting>
  <conditionalFormatting sqref="AN89">
    <cfRule type="expression" dxfId="199" priority="13">
      <formula>IF($AN$2=1,0,1)</formula>
    </cfRule>
  </conditionalFormatting>
  <conditionalFormatting sqref="AO89">
    <cfRule type="expression" dxfId="198" priority="12">
      <formula>IF($AO$2=1,0,1)</formula>
    </cfRule>
  </conditionalFormatting>
  <conditionalFormatting sqref="AQ176">
    <cfRule type="expression" dxfId="197" priority="11">
      <formula>IF($AQ$40=1,1,0)</formula>
    </cfRule>
  </conditionalFormatting>
  <conditionalFormatting sqref="AQ176">
    <cfRule type="expression" dxfId="196" priority="10">
      <formula>IF($AQ$120="",1,0)</formula>
    </cfRule>
  </conditionalFormatting>
  <conditionalFormatting sqref="AU176">
    <cfRule type="expression" dxfId="195" priority="9">
      <formula>IF($AQ$40=1,1,0)</formula>
    </cfRule>
  </conditionalFormatting>
  <conditionalFormatting sqref="AU176">
    <cfRule type="expression" dxfId="194" priority="8">
      <formula>IF($AQ$120="",1,0)</formula>
    </cfRule>
  </conditionalFormatting>
  <conditionalFormatting sqref="AY176">
    <cfRule type="expression" dxfId="193" priority="7">
      <formula>IF($AQ$40=1,1,0)</formula>
    </cfRule>
  </conditionalFormatting>
  <conditionalFormatting sqref="AY176">
    <cfRule type="expression" dxfId="192" priority="6">
      <formula>IF($AQ$120="",1,0)</formula>
    </cfRule>
  </conditionalFormatting>
  <conditionalFormatting sqref="BC176">
    <cfRule type="expression" dxfId="191" priority="5">
      <formula>IF($AQ$40=1,1,0)</formula>
    </cfRule>
  </conditionalFormatting>
  <conditionalFormatting sqref="BC176">
    <cfRule type="expression" dxfId="190" priority="4">
      <formula>IF($AQ$120="",1,0)</formula>
    </cfRule>
  </conditionalFormatting>
  <conditionalFormatting sqref="AM196">
    <cfRule type="expression" dxfId="189" priority="3">
      <formula>IF($AM$2=1,0,1)</formula>
    </cfRule>
  </conditionalFormatting>
  <conditionalFormatting sqref="AN196">
    <cfRule type="expression" dxfId="188" priority="2">
      <formula>IF($AN$2=1,0,1)</formula>
    </cfRule>
  </conditionalFormatting>
  <conditionalFormatting sqref="AO196">
    <cfRule type="expression" dxfId="187" priority="1">
      <formula>IF($AO$2=1,0,1)</formula>
    </cfRule>
  </conditionalFormatting>
  <dataValidations xWindow="996" yWindow="818" count="67">
    <dataValidation type="list" allowBlank="1" showInputMessage="1" showErrorMessage="1" sqref="S29:AL29" xr:uid="{00000000-0002-0000-0200-000000000000}">
      <formula1>$C$549:$C$555</formula1>
    </dataValidation>
    <dataValidation type="list" allowBlank="1" showInputMessage="1" showErrorMessage="1" sqref="AL80:AL82 W81:AK82 W89:AL89 AU81:BI82" xr:uid="{00000000-0002-0000-0200-000001000000}">
      <formula1>$D$533:$D$534</formula1>
    </dataValidation>
    <dataValidation type="list" allowBlank="1" showInputMessage="1" showErrorMessage="1" sqref="AU76:BI76 W76:AK76" xr:uid="{00000000-0002-0000-0200-000002000000}">
      <formula1>$D$513:$D$514</formula1>
    </dataValidation>
    <dataValidation type="list" allowBlank="1" showInputMessage="1" showErrorMessage="1" sqref="AL72" xr:uid="{00000000-0002-0000-0200-000003000000}">
      <formula1>$D$488:$D$489</formula1>
    </dataValidation>
    <dataValidation type="list" allowBlank="1" showInputMessage="1" showErrorMessage="1" sqref="AU70:BI70 AU110:BI110 W110:AK110 W72:AK72 W70:AK70 AU80:BI80 AU78:BI78 W80:AK80 W78:AK78 AU72:BI72" xr:uid="{00000000-0002-0000-0200-000004000000}">
      <formula1>$AF$439:$AF$440</formula1>
    </dataValidation>
    <dataValidation type="list" allowBlank="1" showInputMessage="1" showErrorMessage="1" sqref="AU68:BI68 W68:AK68" xr:uid="{00000000-0002-0000-0200-000005000000}">
      <formula1>$D$468:$D$469</formula1>
    </dataValidation>
    <dataValidation type="list" allowBlank="1" showInputMessage="1" showErrorMessage="1" sqref="AU66:BI66 W66:AK66" xr:uid="{00000000-0002-0000-0200-000006000000}">
      <formula1>$D$458:$D$459</formula1>
    </dataValidation>
    <dataValidation type="list" allowBlank="1" showInputMessage="1" showErrorMessage="1" sqref="AQ50:AS50 S50:U50 S53:U53 AQ53:AS53" xr:uid="{00000000-0002-0000-0200-000007000000}">
      <formula1>$C$445:$C$448</formula1>
    </dataValidation>
    <dataValidation type="list" allowBlank="1" showInputMessage="1" showErrorMessage="1" sqref="W58:AK58 W56:AK56 AU60:BI60 AU58:BI58 AU56:BI56 AU62:BI62 W60:AK60 W62:AK62" xr:uid="{00000000-0002-0000-0200-000008000000}">
      <formula1>$D$626:$D$631</formula1>
    </dataValidation>
    <dataValidation type="list" allowBlank="1" showInputMessage="1" showErrorMessage="1" sqref="AL31" xr:uid="{00000000-0002-0000-0200-000009000000}">
      <formula1>$C$590:$C$592</formula1>
    </dataValidation>
    <dataValidation type="list" allowBlank="1" showInputMessage="1" showErrorMessage="1" sqref="S289:U289" xr:uid="{00000000-0002-0000-0200-00000A000000}">
      <formula1>$C$439:$C$440</formula1>
    </dataValidation>
    <dataValidation allowBlank="1" showInputMessage="1" showErrorMessage="1" prompt="Test deutsch_x000d_" sqref="AM40 AM27" xr:uid="{00000000-0002-0000-0200-00000B000000}"/>
    <dataValidation allowBlank="1" showInputMessage="1" showErrorMessage="1" prompt="Test französisch" sqref="AN40 AN27" xr:uid="{00000000-0002-0000-0200-00000C000000}"/>
    <dataValidation allowBlank="1" showInputMessage="1" showErrorMessage="1" prompt="Test italienisch_x000d_" sqref="AO40 AO27" xr:uid="{00000000-0002-0000-0200-00000D000000}"/>
    <dataValidation allowBlank="1" showInputMessage="1" showErrorMessage="1" prompt="In presenza di aggregati ausiliari supplementari nella «parte fredda» è possibile inserirli qui._x000d_" sqref="AO80"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N162"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O162" xr:uid="{00000000-0002-0000-0200-000010000000}"/>
    <dataValidation allowBlank="1" showInputMessage="1" showErrorMessage="1" prompt="Saisie du temps de marche de la machine calculé par le projeteur.  (possibilité d'intégrer l'expérience ou la situation effective)." sqref="AN178" xr:uid="{00000000-0002-0000-0200-000011000000}"/>
    <dataValidation allowBlank="1" showInputMessage="1" showErrorMessage="1" prompt="Inserimento del tempo d'esercizio della macchina calcolato dal progettista.  (Si possono far confluire le esperienze o la situazione effettiva)." sqref="AO178" xr:uid="{00000000-0002-0000-0200-000012000000}"/>
    <dataValidation allowBlank="1" showInputMessage="1" showErrorMessage="1" prompt="L'écart en % des «durées de marche du projeteur» des «durées de marche standard» est affiché à cet endroit. " sqref="AN182" xr:uid="{00000000-0002-0000-0200-000013000000}"/>
    <dataValidation allowBlank="1" showInputMessage="1" showErrorMessage="1" prompt="Qui viene indicata la differenza percentuale tra i «tempi del progettista» e i «tempi standard». " sqref="AO182" xr:uid="{00000000-0002-0000-0200-000014000000}"/>
    <dataValidation allowBlank="1" showInputMessage="1" showErrorMessage="1" prompt="Eingabe der Leistung für die Kühlung der Kälteanlage. (Auslegung)_x000d_" sqref="AM25" xr:uid="{00000000-0002-0000-0200-000015000000}"/>
    <dataValidation allowBlank="1" showInputMessage="1" showErrorMessage="1" prompt="Saisie de la puissance de réfrigération de l'installation frigorifique. (nominale)" sqref="AN25" xr:uid="{00000000-0002-0000-0200-000016000000}"/>
    <dataValidation allowBlank="1" showInputMessage="1" showErrorMessage="1" prompt="Inserimento potenza per la refrigerazione dell'impianto di refrigerazione. (installazione)_x000d_" sqref="AO25" xr:uid="{00000000-0002-0000-0200-000017000000}"/>
    <dataValidation allowBlank="1" showInputMessage="1" showErrorMessage="1" prompt="Wählen Sie aus der Liste einen Standort, an welchem ein ähnliches Klima herrscht. (Objekt steht in Biel: wählen Sie als Standort am besten Bern)_x000d_" sqref="AM29" xr:uid="{00000000-0002-0000-0200-000018000000}"/>
    <dataValidation allowBlank="1" showInputMessage="1" showErrorMessage="1" prompt="Sélectionnez une localité dans la liste avec un climat similaire. (le bien se trouve à Bienne: le mieux est de choisir Berne)" sqref="AN29" xr:uid="{00000000-0002-0000-0200-000019000000}"/>
    <dataValidation allowBlank="1" showInputMessage="1" showErrorMessage="1" prompt="Selezionare dalla lista un luogo dove c'è un clima simile. (L'oggetto si trova a Bienne: la migliore località da scegliere è Berna)_x000d_" sqref="AO29"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M31"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N31"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O31"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M50"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N50" xr:uid="{00000000-0002-0000-0200-00001F000000}"/>
    <dataValidation allowBlank="1" showInputMessage="1" showErrorMessage="1" prompt="Vengono inseriti soli i compressori effettivamente necessari. Qui non sono calcolati eventuali compressori (di riserva) per una maggiore sicurezza d'esercizio._x000d_" sqref="AO50" xr:uid="{00000000-0002-0000-0200-000020000000}"/>
    <dataValidation allowBlank="1" showInputMessage="1" showErrorMessage="1" prompt="Falls es zusätzliche Hilfsbetriebe auf der «warmen Seite» gibt, können diese hier eingetragen werden._x000d_" sqref="AM72" xr:uid="{00000000-0002-0000-0200-000021000000}"/>
    <dataValidation allowBlank="1" showInputMessage="1" showErrorMessage="1" prompt="S'il y a des unités auxiliaires supplémentaires du «côté chaud», il faut les saisir ici._x000d_" sqref="AN72" xr:uid="{00000000-0002-0000-0200-000022000000}"/>
    <dataValidation allowBlank="1" showInputMessage="1" showErrorMessage="1" prompt="In presenza di aggregati ausiliari supplementari nella «parte calda» è possibile inserirli qui._x000d_" sqref="AO72" xr:uid="{00000000-0002-0000-0200-000023000000}"/>
    <dataValidation allowBlank="1" showInputMessage="1" showErrorMessage="1" prompt="Falls es zusätzliche Hilfsbetriebe auf der «kalten Seite» gibt, können diese hier eingetragen werden._x000d_" sqref="AM80" xr:uid="{00000000-0002-0000-0200-000024000000}"/>
    <dataValidation allowBlank="1" showInputMessage="1" showErrorMessage="1" prompt="S'il y a des unités auxiliaires supplémentaires du «côté froid», il faut les saisir ici._x000d_" sqref="AN80" xr:uid="{00000000-0002-0000-0200-000025000000}"/>
    <dataValidation allowBlank="1" showInputMessage="1" showErrorMessage="1" prompt="Die Mittlere Aussentemperatur der Jahreszeit ist ein Indikator bei der Bestimmung der effektiven Betriebsweise der Kälteanlage (Kondensationstemperatur)." sqref="AM126"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N126"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O126" xr:uid="{00000000-0002-0000-0200-000028000000}"/>
    <dataValidation allowBlank="1" showInputMessage="1" showErrorMessage="1" prompt="Hier kann die mittlere Temperatur durch den Planer eingegeben werden." sqref="AM128" xr:uid="{00000000-0002-0000-0200-000029000000}"/>
    <dataValidation allowBlank="1" showInputMessage="1" showErrorMessage="1" prompt="La température moyenne peut être saisie par le projeteur à cet endroit." sqref="AN128" xr:uid="{00000000-0002-0000-0200-00002A000000}"/>
    <dataValidation allowBlank="1" showInputMessage="1" showErrorMessage="1" prompt="Qui il progettista può inserire la temperatura media." sqref="AO128"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M162" xr:uid="{00000000-0002-0000-0200-00002C000000}"/>
    <dataValidation allowBlank="1" showInputMessage="1" showErrorMessage="1" prompt="Eingabe der vom Planer berecheten Betriebszeit der Maschine.  (Möglichkeit die Erfahrungen oder situative Situation einfliessen zu lassen)." sqref="AM178" xr:uid="{00000000-0002-0000-0200-00002D000000}"/>
    <dataValidation allowBlank="1" showInputMessage="1" showErrorMessage="1" prompt="Hier wird die prozentuale Abweichung der «Laufzeiten des Planer» von den «Standard-Laufzeiten» angezeigt. " sqref="AM182 AM196" xr:uid="{00000000-0002-0000-0200-00002E000000}"/>
    <dataValidation allowBlank="1" showInputMessage="1" showErrorMessage="1" sqref="AN81:AO81 AM82:AO82 AN89:AO89" xr:uid="{00000000-0002-0000-0200-00002F000000}"/>
    <dataValidation allowBlank="1" showInputMessage="1" showErrorMessage="1" prompt="Eingabe der effektiven Leistungsaufnahme im jeweiligen Betriebspunkt (gemäss Angaben des Herstellers resp. aus den Datenblätten des Verdichters)." sqref="AM138" xr:uid="{00000000-0002-0000-0200-000030000000}"/>
    <dataValidation allowBlank="1" showInputMessage="1" showErrorMessage="1" prompt="Saisie de la puissance absorbée effective au point de fonctionnement, selon les fiches de données du compresseur-constructeur." sqref="AN138" xr:uid="{00000000-0002-0000-0200-000031000000}"/>
    <dataValidation allowBlank="1" showInputMessage="1" showErrorMessage="1" prompt="Inserire la potenza assorbita effettiva per il punto di lavoro considerato (sec. indicazioni del fabbricante, risp. dalle schede tecniche del compressore)." sqref="AO138" xr:uid="{00000000-0002-0000-0200-000032000000}"/>
    <dataValidation allowBlank="1" showInputMessage="1" showErrorMessage="1" prompt="Eingabe der effektiven Kälteleistung im jeweiligen Betriebspunkt. Quelle: Angaben Hersteller oder Datenblätter Verdichter." sqref="AM150" xr:uid="{00000000-0002-0000-0200-000033000000}"/>
    <dataValidation allowBlank="1" showInputMessage="1" showErrorMessage="1" prompt="Saisie de la puissance frigorifique effective au point de fonctionnement, selon les fiches de données du compresseur-constructeur." sqref="AN150" xr:uid="{00000000-0002-0000-0200-000034000000}"/>
    <dataValidation allowBlank="1" showInputMessage="1" showErrorMessage="1" prompt="Inserire la potenza frigorifera effettiva per il punto di lavoro considerato (sec. indicazioni del fabbricante, risp. dalle schede tecniche del compressore)." sqref="AO150" xr:uid="{00000000-0002-0000-0200-000035000000}"/>
    <dataValidation allowBlank="1" showInputMessage="1" showErrorMessage="1" prompt="Die Betriebszeiten errechnen sich aus dem Kältebedarf und der installierten Kälteleistung. Bei einer überdimensionierte Anlage sinkt die Laufzeiten pro Tag." sqref="AM180:AM181 AM174 AM176"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N180:AN181 AN174 AN176"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O180:AO181 AO174 AO176" xr:uid="{00000000-0002-0000-0200-000038000000}"/>
    <dataValidation type="list" allowBlank="1" showInputMessage="1" showErrorMessage="1" sqref="AU88:BI89 W88:AK88" xr:uid="{CEAE6BD9-F8CA-4748-8C23-F7D5BE362228}">
      <formula1>$S$445:$S$446</formula1>
    </dataValidation>
    <dataValidation type="list" allowBlank="1" showInputMessage="1" showErrorMessage="1" sqref="S106:U106 AQ106:AS106" xr:uid="{BCD8CCA6-C468-FB4F-9DF7-E1B26D55F36E}">
      <formula1>$AH$445:$AH$449</formula1>
    </dataValidation>
    <dataValidation type="list" allowBlank="1" showInputMessage="1" showErrorMessage="1" sqref="S31:AK31" xr:uid="{1AD6A5CE-6B6D-4042-BF2F-B2D3C74B2AEA}">
      <formula1>$C$589:$C$592</formula1>
    </dataValidation>
    <dataValidation type="whole" allowBlank="1" showInputMessage="1" showErrorMessage="1" error="min. 20° ...  max. 55 °C" sqref="AQ205:AS205" xr:uid="{F9DBCAF2-BD5F-F848-A5ED-FF1F49CAB3E2}">
      <formula1>20</formula1>
      <formula2>55</formula2>
    </dataValidation>
    <dataValidation type="list" allowBlank="1" showInputMessage="1" showErrorMessage="1" sqref="W97:AK97 AU97:BI98 AU102:BI102" xr:uid="{2A016787-ED2C-B94B-833E-B85020681D4A}">
      <formula1>$AV$445:$AV$447</formula1>
    </dataValidation>
    <dataValidation type="whole" allowBlank="1" showInputMessage="1" showErrorMessage="1" error="min. 20° ...  max. 50 °C" sqref="BG204:BI204 AI204:AK204" xr:uid="{4B6CD128-9FAC-D84A-8A3C-D95A071B2581}">
      <formula1>20</formula1>
      <formula2>50</formula2>
    </dataValidation>
    <dataValidation type="whole" operator="greaterThan" allowBlank="1" showInputMessage="1" showErrorMessage="1" sqref="AI200:AK200 BG200:BI200" xr:uid="{3E3E5447-BD4E-184E-8026-8F64BB3B6C59}">
      <formula1>0</formula1>
    </dataValidation>
    <dataValidation type="list" allowBlank="1" showInputMessage="1" showErrorMessage="1" sqref="S52:Z52 AQ52:AX52" xr:uid="{41299BCD-96E1-754E-BB55-56FDD272EAC3}">
      <formula1>$C$908:$C$930</formula1>
    </dataValidation>
    <dataValidation allowBlank="1" showInputMessage="1" showErrorMessage="1" prompt="Valeur indicative : Attention aux grandes différences dues à la forme du bâtiment et aux charges internes possibles." sqref="AN196" xr:uid="{0E27BA43-D42E-BF4F-9583-DA3CD479F34F}"/>
    <dataValidation allowBlank="1" showInputMessage="1" showErrorMessage="1" prompt="Valore indicativo: attenzione alle grandi differenze dovute alla forma dell'edificio e ai carichi interni possibili." sqref="AO196" xr:uid="{E1F2063A-EDA8-484D-AA2A-56C65E005A92}"/>
  </dataValidations>
  <hyperlinks>
    <hyperlink ref="U2" location="'3 TEWI'!A1" display="zur TEWI-Berechnung" xr:uid="{00000000-0004-0000-0200-000000000000}"/>
    <hyperlink ref="D2" location="'1 System specification'!A1" display="'1 System specification'!A1" xr:uid="{00000000-0004-0000-0200-000001000000}"/>
    <hyperlink ref="BA289" location="s2" display="s2" xr:uid="{00000000-0004-0000-0200-000002000000}"/>
    <hyperlink ref="BB289" location="s2" display="s2" xr:uid="{00000000-0004-0000-0200-000003000000}"/>
    <hyperlink ref="BC289" location="s2" display="s2" xr:uid="{00000000-0004-0000-0200-000004000000}"/>
    <hyperlink ref="BD289" location="s2" display="s2" xr:uid="{00000000-0004-0000-0200-000005000000}"/>
    <hyperlink ref="BE289" location="s2" display="s2" xr:uid="{00000000-0004-0000-0200-000006000000}"/>
    <hyperlink ref="BF289" location="s2" display="s2" xr:uid="{00000000-0004-0000-0200-000007000000}"/>
    <hyperlink ref="BG289" location="s2" display="s2" xr:uid="{00000000-0004-0000-0200-000008000000}"/>
    <hyperlink ref="BH289" location="s2" display="s2" xr:uid="{00000000-0004-0000-0200-000009000000}"/>
    <hyperlink ref="BA428" location="s2" display="s2" xr:uid="{00000000-0004-0000-0200-00000A000000}"/>
    <hyperlink ref="BB428" location="s2" display="s2" xr:uid="{00000000-0004-0000-0200-00000B000000}"/>
    <hyperlink ref="BC428" location="s2" display="s2" xr:uid="{00000000-0004-0000-0200-00000C000000}"/>
    <hyperlink ref="BD428" location="s2" display="s2" xr:uid="{00000000-0004-0000-0200-00000D000000}"/>
    <hyperlink ref="BE428" location="s2" display="s2" xr:uid="{00000000-0004-0000-0200-00000E000000}"/>
    <hyperlink ref="BF428" location="s2" display="s2" xr:uid="{00000000-0004-0000-0200-00000F000000}"/>
    <hyperlink ref="BG428" location="s2" display="s2" xr:uid="{00000000-0004-0000-0200-000010000000}"/>
    <hyperlink ref="BH428" location="s2" display="s2" xr:uid="{00000000-0004-0000-0200-000011000000}"/>
    <hyperlink ref="E2" location="'1 System specification'!A1" display="'1 System specification'!A1" xr:uid="{00000000-0004-0000-0200-000012000000}"/>
    <hyperlink ref="F2" location="'1 System specification'!A1" display="'1 System specification'!A1" xr:uid="{00000000-0004-0000-0200-000013000000}"/>
    <hyperlink ref="G2" location="'1 System specification'!A1" display="'1 System specification'!A1" xr:uid="{00000000-0004-0000-0200-000014000000}"/>
    <hyperlink ref="H2" location="'1 System specification'!A1" display="'1 System specification'!A1" xr:uid="{00000000-0004-0000-0200-000015000000}"/>
    <hyperlink ref="I2" location="'1 System specification'!A1" display="'1 System specification'!A1" xr:uid="{00000000-0004-0000-0200-000016000000}"/>
    <hyperlink ref="J2" location="'1 System specification'!A1" display="'1 System specification'!A1" xr:uid="{00000000-0004-0000-0200-000017000000}"/>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13" max="16383" man="1"/>
    <brk id="210" max="16383" man="1"/>
  </rowBreaks>
  <colBreaks count="2" manualBreakCount="2">
    <brk id="62" max="1048575" man="1"/>
    <brk id="63" max="1048575" man="1"/>
  </colBreaks>
  <ignoredErrors>
    <ignoredError sqref="BG178 AQ165:AQ166 S198"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103" id="{EB537E77-34AC-3A47-ADAB-7BA19C581BE3}">
            <xm:f>IF(X!$C$458=X!$G$459,1,0)</xm:f>
            <x14:dxf>
              <font>
                <b/>
                <i val="0"/>
                <color rgb="FFFF0000"/>
              </font>
              <fill>
                <patternFill patternType="none">
                  <fgColor indexed="64"/>
                  <bgColor auto="1"/>
                </patternFill>
              </fill>
            </x14:dxf>
          </x14:cfRule>
          <xm:sqref>AR18:BJ18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Y435"/>
  <sheetViews>
    <sheetView showGridLines="0" showRowColHeaders="0" zoomScale="120" zoomScaleNormal="120" workbookViewId="0">
      <pane xSplit="63" ySplit="21" topLeftCell="BL22" activePane="bottomRight" state="frozenSplit"/>
      <selection pane="topRight" activeCell="BL1" sqref="BL1"/>
      <selection pane="bottomLeft" activeCell="A22" sqref="A22"/>
      <selection pane="bottomRight" activeCell="S27" sqref="S27:U27"/>
    </sheetView>
  </sheetViews>
  <sheetFormatPr baseColWidth="10" defaultColWidth="2.85546875" defaultRowHeight="12.75" outlineLevelRow="1" outlineLevelCol="1"/>
  <cols>
    <col min="1" max="1" width="2.85546875" style="31"/>
    <col min="2" max="2" width="3.85546875" style="31" customWidth="1"/>
    <col min="3" max="3" width="4.28515625" style="302" customWidth="1"/>
    <col min="4" max="15" width="2.85546875" style="31"/>
    <col min="16" max="16" width="2.85546875" style="28"/>
    <col min="17" max="37" width="2.85546875" style="31"/>
    <col min="38" max="38" width="1.7109375" style="31" customWidth="1"/>
    <col min="39" max="41" width="2.85546875" style="31"/>
    <col min="42" max="42" width="1.85546875" style="31" customWidth="1"/>
    <col min="43" max="43" width="2.85546875" style="31" customWidth="1"/>
    <col min="44" max="64" width="2.85546875" style="31"/>
    <col min="65" max="67" width="0" style="31" hidden="1" customWidth="1" outlineLevel="1"/>
    <col min="68" max="68" width="2.85546875" style="31" hidden="1" customWidth="1" outlineLevel="1"/>
    <col min="69" max="72" width="4.140625" style="31" hidden="1" customWidth="1" outlineLevel="1"/>
    <col min="73" max="73" width="9.85546875" style="31" hidden="1" customWidth="1" outlineLevel="1"/>
    <col min="74" max="76" width="19.85546875" style="31" hidden="1" customWidth="1" outlineLevel="1"/>
    <col min="77" max="77" width="2.85546875" style="31" collapsed="1"/>
    <col min="78" max="16384" width="2.85546875" style="31"/>
  </cols>
  <sheetData>
    <row r="2" spans="2:69" s="1175" customFormat="1">
      <c r="C2" s="1206" t="s">
        <v>0</v>
      </c>
      <c r="D2" s="1701" t="str">
        <f>X!$C$285</f>
        <v>zurück zur Übersicht (1)</v>
      </c>
      <c r="E2" s="1701"/>
      <c r="F2" s="1701"/>
      <c r="G2" s="1701"/>
      <c r="H2" s="1701"/>
      <c r="I2" s="1701"/>
      <c r="J2" s="1701"/>
      <c r="S2" s="1212"/>
      <c r="T2" s="1176" t="s">
        <v>13</v>
      </c>
      <c r="U2" s="1701" t="str">
        <f>X!$C$284</f>
        <v>zur TEWI-Berechnung (3)</v>
      </c>
      <c r="V2" s="1701"/>
      <c r="W2" s="1701"/>
      <c r="X2" s="1701"/>
      <c r="Y2" s="1701"/>
      <c r="Z2" s="1701"/>
      <c r="AA2" s="1701"/>
      <c r="AB2" s="1701"/>
      <c r="AM2" s="605">
        <f>X!E8</f>
        <v>1</v>
      </c>
      <c r="AN2" s="605">
        <f>X!F8</f>
        <v>0</v>
      </c>
      <c r="AO2" s="605">
        <f>X!G8</f>
        <v>0</v>
      </c>
      <c r="BQ2" s="1175" t="s">
        <v>642</v>
      </c>
    </row>
    <row r="7" spans="2:69" ht="13.5" thickBot="1">
      <c r="B7" s="1177"/>
      <c r="C7" s="1177"/>
      <c r="D7" s="1177"/>
      <c r="E7" s="1177"/>
      <c r="F7" s="1177"/>
      <c r="G7" s="1177"/>
      <c r="H7" s="1177"/>
      <c r="I7" s="1177"/>
      <c r="J7" s="1177"/>
      <c r="K7" s="1177"/>
      <c r="L7" s="1177"/>
      <c r="M7" s="1177"/>
      <c r="N7" s="1177"/>
      <c r="O7" s="1177"/>
      <c r="P7" s="1178"/>
      <c r="Q7" s="1177"/>
      <c r="R7" s="1177"/>
      <c r="S7" s="1177"/>
      <c r="T7" s="1177"/>
      <c r="U7" s="1177"/>
      <c r="V7" s="1177"/>
      <c r="W7" s="1177"/>
      <c r="X7" s="1177"/>
      <c r="Y7" s="1177"/>
      <c r="Z7" s="1177"/>
      <c r="AA7" s="1177"/>
      <c r="AB7" s="1177"/>
      <c r="AC7" s="1177"/>
      <c r="AD7" s="1177"/>
      <c r="AE7" s="1177"/>
      <c r="AF7" s="1177"/>
      <c r="AG7" s="1177"/>
      <c r="AH7" s="1177"/>
      <c r="AI7" s="1177"/>
      <c r="AJ7" s="1177"/>
      <c r="AK7" s="1177"/>
      <c r="AL7" s="1177"/>
      <c r="AM7" s="1177"/>
      <c r="AN7" s="1177"/>
      <c r="AO7" s="1177"/>
      <c r="AP7" s="1177"/>
      <c r="AQ7" s="1177"/>
      <c r="AR7" s="1177"/>
      <c r="AS7" s="1177"/>
      <c r="AT7" s="1177"/>
      <c r="AU7" s="1177"/>
      <c r="AV7" s="1177"/>
      <c r="AW7" s="1177"/>
      <c r="AX7" s="1177"/>
      <c r="AY7" s="1177"/>
      <c r="AZ7" s="1177"/>
      <c r="BA7" s="1177"/>
      <c r="BB7" s="1177"/>
      <c r="BC7" s="1177"/>
      <c r="BD7" s="1177"/>
      <c r="BE7" s="1177"/>
      <c r="BF7" s="1177"/>
      <c r="BG7" s="1177"/>
      <c r="BH7" s="1177"/>
      <c r="BI7" s="1177"/>
      <c r="BJ7" s="1177"/>
    </row>
    <row r="8" spans="2:69" ht="12" customHeight="1" thickTop="1"/>
    <row r="9" spans="2:69" ht="12" customHeight="1"/>
    <row r="10" spans="2:69">
      <c r="B10" s="556" t="str">
        <f>X!$C$148</f>
        <v>Effiziente Kälte</v>
      </c>
      <c r="D10" s="30"/>
      <c r="E10" s="30"/>
      <c r="F10" s="30"/>
      <c r="G10" s="30"/>
      <c r="H10" s="30"/>
      <c r="I10" s="30"/>
      <c r="J10" s="30"/>
      <c r="K10" s="30"/>
      <c r="L10" s="30"/>
      <c r="M10" s="30"/>
      <c r="N10" s="30"/>
      <c r="O10" s="30"/>
      <c r="P10" s="30"/>
      <c r="Q10" s="30"/>
      <c r="R10" s="30"/>
      <c r="S10" s="30"/>
    </row>
    <row r="11" spans="2:69" s="32" customFormat="1" ht="18" customHeight="1">
      <c r="B11" s="557" t="str">
        <f>X!$C$21</f>
        <v>Kälte-Tool für die Abschätzung des Stromverbrauchs, der Umweltauswirkungen und der Lebenszykluskosten von Kälte- und Klimakälteanlagen</v>
      </c>
      <c r="C11" s="482"/>
      <c r="Q11" s="33"/>
    </row>
    <row r="12" spans="2:69" s="32" customFormat="1" ht="12" customHeight="1">
      <c r="B12" s="557"/>
      <c r="C12" s="482"/>
      <c r="Q12" s="33"/>
    </row>
    <row r="13" spans="2:69" s="32" customFormat="1" ht="12" customHeight="1">
      <c r="B13" s="557"/>
      <c r="C13" s="482"/>
      <c r="Q13" s="33"/>
    </row>
    <row r="14" spans="2:69" s="1208" customFormat="1" ht="30">
      <c r="B14" s="1209" t="str">
        <f>X!$C$19</f>
        <v>2B: Berechnung Elektrizitätsbedarf für einfache Komfort-Klimakälteanlagen</v>
      </c>
      <c r="C14" s="1210"/>
      <c r="Q14" s="1211"/>
    </row>
    <row r="15" spans="2:69" s="990" customFormat="1" ht="8.1" hidden="1" customHeight="1" outlineLevel="1">
      <c r="B15" s="1057"/>
      <c r="C15" s="1058" t="s">
        <v>997</v>
      </c>
      <c r="D15" s="1704" t="str">
        <f>X!C357</f>
        <v>Berechnung für einfache Komfort-Klimakälteanlagen</v>
      </c>
      <c r="E15" s="1704"/>
      <c r="F15" s="1704"/>
      <c r="G15" s="1704"/>
      <c r="H15" s="1704"/>
      <c r="I15" s="1704"/>
      <c r="J15" s="1704"/>
      <c r="K15" s="1704"/>
      <c r="L15" s="1704"/>
      <c r="M15" s="1704"/>
      <c r="N15" s="1704"/>
      <c r="O15" s="1704"/>
      <c r="P15" s="1704"/>
      <c r="Q15" s="1704"/>
      <c r="R15" s="1704"/>
      <c r="S15" s="1704"/>
      <c r="T15" s="1704"/>
      <c r="U15" s="1704"/>
      <c r="V15" s="1704"/>
      <c r="W15" s="1704"/>
      <c r="X15" s="1704"/>
      <c r="Y15" s="1704"/>
      <c r="Z15" s="1704"/>
      <c r="AA15" s="1704"/>
      <c r="AB15" s="1704"/>
      <c r="AC15" s="1704"/>
      <c r="AD15" s="1704"/>
      <c r="AE15" s="1704"/>
      <c r="AF15" s="1704"/>
      <c r="AG15" s="1704"/>
      <c r="AH15" s="1704"/>
      <c r="AI15" s="1704"/>
      <c r="AJ15" s="1704"/>
      <c r="AK15" s="1704"/>
      <c r="AL15" s="1704"/>
      <c r="AM15" s="1704"/>
      <c r="AN15" s="1704"/>
      <c r="AO15" s="1704"/>
      <c r="AP15" s="1704"/>
      <c r="AQ15" s="1704"/>
      <c r="AR15" s="1704"/>
      <c r="AS15" s="1704"/>
      <c r="AT15" s="1704"/>
      <c r="AU15" s="1704"/>
      <c r="AV15" s="1704"/>
      <c r="AW15" s="1704"/>
      <c r="AX15" s="1704"/>
      <c r="AY15" s="1704"/>
      <c r="AZ15" s="1704"/>
      <c r="BA15" s="1704"/>
      <c r="BB15" s="1704"/>
      <c r="BC15" s="1704"/>
      <c r="BD15" s="1704"/>
      <c r="BE15" s="1704"/>
      <c r="BF15" s="1704"/>
      <c r="BG15" s="1704"/>
      <c r="BH15" s="1704"/>
      <c r="BI15" s="1704"/>
      <c r="BJ15" s="1704"/>
      <c r="BO15" s="1059" t="s">
        <v>887</v>
      </c>
      <c r="BQ15" s="990" t="s">
        <v>641</v>
      </c>
    </row>
    <row r="16" spans="2:69" s="32" customFormat="1" ht="12" customHeight="1" collapsed="1">
      <c r="B16" s="1053"/>
      <c r="C16" s="1054"/>
      <c r="D16" s="1053"/>
      <c r="E16" s="1055"/>
      <c r="F16" s="1055"/>
      <c r="G16" s="1055"/>
      <c r="H16" s="1055"/>
      <c r="I16" s="1055"/>
      <c r="J16" s="1055"/>
      <c r="K16" s="1055"/>
      <c r="L16" s="1055"/>
      <c r="M16" s="1055"/>
      <c r="N16" s="1055"/>
      <c r="O16" s="1055"/>
      <c r="P16" s="1055"/>
      <c r="Q16" s="1056"/>
      <c r="R16" s="1055"/>
      <c r="S16" s="1055"/>
      <c r="T16" s="1055"/>
      <c r="U16" s="1055"/>
      <c r="BO16" s="803"/>
    </row>
    <row r="17" spans="2:76" ht="12" customHeight="1">
      <c r="B17" s="35"/>
      <c r="C17" s="483"/>
      <c r="D17" s="35"/>
      <c r="E17" s="35"/>
      <c r="F17" s="35"/>
      <c r="G17" s="35"/>
      <c r="H17" s="35"/>
      <c r="I17" s="35"/>
      <c r="J17" s="35"/>
      <c r="K17" s="35"/>
      <c r="L17" s="35"/>
      <c r="M17" s="35"/>
      <c r="N17" s="35"/>
      <c r="O17" s="35"/>
      <c r="P17" s="35"/>
      <c r="Q17" s="35"/>
      <c r="R17" s="35"/>
      <c r="S17" s="35"/>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row>
    <row r="18" spans="2:76" ht="5.0999999999999996" customHeight="1">
      <c r="B18" s="52"/>
      <c r="C18" s="484"/>
      <c r="D18" s="30"/>
      <c r="E18" s="30"/>
      <c r="F18" s="30"/>
      <c r="G18" s="30"/>
      <c r="H18" s="30"/>
      <c r="I18" s="30"/>
      <c r="J18" s="30"/>
      <c r="K18" s="30"/>
      <c r="L18" s="30"/>
      <c r="M18" s="30"/>
      <c r="N18" s="30"/>
      <c r="O18" s="30"/>
      <c r="P18" s="30"/>
      <c r="Q18" s="30"/>
      <c r="R18" s="30"/>
      <c r="S18" s="30"/>
    </row>
    <row r="19" spans="2:76" s="37" customFormat="1" ht="12" customHeight="1">
      <c r="B19" s="101"/>
      <c r="C19" s="1431">
        <f>'1 System specification'!I28</f>
        <v>0</v>
      </c>
      <c r="D19" s="1431"/>
      <c r="E19" s="1431"/>
      <c r="F19" s="1431"/>
      <c r="G19" s="1431"/>
      <c r="H19" s="1431"/>
      <c r="I19" s="1431"/>
      <c r="J19" s="1431"/>
      <c r="K19" s="1431"/>
      <c r="L19" s="1431"/>
      <c r="M19" s="1431"/>
      <c r="N19" s="1431"/>
      <c r="O19" s="38"/>
      <c r="P19" s="38"/>
      <c r="Q19" s="1435">
        <f ca="1">IF('1 System specification'!AH28="",TODAY(),'1 System specification'!AH28)</f>
        <v>44257</v>
      </c>
      <c r="R19" s="1435"/>
      <c r="S19" s="1435"/>
      <c r="T19" s="1435"/>
      <c r="U19" s="1435"/>
      <c r="V19" s="39"/>
      <c r="W19" s="1431">
        <f>'1 System specification'!AH35</f>
        <v>0</v>
      </c>
      <c r="X19" s="1431"/>
      <c r="Y19" s="1431"/>
      <c r="Z19" s="1431"/>
      <c r="AA19" s="1431"/>
      <c r="AB19" s="1431"/>
      <c r="AC19" s="1431"/>
      <c r="AD19" s="1431"/>
      <c r="AE19" s="1431"/>
      <c r="AF19" s="39"/>
      <c r="AG19" s="1431">
        <f>'1 System specification'!I35</f>
        <v>0</v>
      </c>
      <c r="AH19" s="1431"/>
      <c r="AI19" s="1431"/>
      <c r="AJ19" s="1431"/>
      <c r="AK19" s="1431"/>
      <c r="AL19" s="1431"/>
      <c r="AM19" s="1431"/>
      <c r="AN19" s="1431"/>
      <c r="AO19" s="1431"/>
      <c r="AP19" s="1431"/>
      <c r="AQ19" s="1431"/>
      <c r="AS19" s="1677" t="str">
        <f>'1 System specification'!AG21</f>
        <v>Version 5.6 (2021): gültig bis 15. August 2021</v>
      </c>
      <c r="AT19" s="1677"/>
      <c r="AU19" s="1677"/>
      <c r="AV19" s="1677"/>
      <c r="AW19" s="1677"/>
      <c r="AX19" s="1677"/>
      <c r="AY19" s="1677"/>
      <c r="AZ19" s="1677"/>
      <c r="BA19" s="1677"/>
      <c r="BB19" s="1677"/>
      <c r="BC19" s="1677"/>
      <c r="BD19" s="1677"/>
      <c r="BE19" s="1677"/>
      <c r="BF19" s="1677"/>
      <c r="BG19" s="1677"/>
      <c r="BH19" s="1677"/>
      <c r="BI19" s="1677"/>
      <c r="BJ19" s="1677"/>
    </row>
    <row r="20" spans="2:76" s="37" customFormat="1" ht="3.95" customHeight="1">
      <c r="B20" s="41"/>
      <c r="C20" s="41"/>
      <c r="D20" s="41"/>
      <c r="E20" s="41"/>
      <c r="F20" s="41"/>
      <c r="G20" s="41"/>
      <c r="H20" s="41"/>
      <c r="I20" s="41"/>
      <c r="J20" s="41"/>
      <c r="K20" s="41"/>
      <c r="L20" s="41"/>
      <c r="M20" s="41"/>
      <c r="N20" s="41"/>
      <c r="O20" s="40"/>
      <c r="P20" s="40"/>
      <c r="Q20" s="42"/>
      <c r="R20" s="41"/>
      <c r="S20" s="41"/>
      <c r="T20" s="41"/>
      <c r="U20" s="41"/>
      <c r="V20" s="41"/>
      <c r="W20" s="41"/>
      <c r="X20" s="40"/>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row>
    <row r="21" spans="2:76">
      <c r="B21" s="52"/>
      <c r="C21" s="484"/>
      <c r="D21" s="30"/>
      <c r="E21" s="30"/>
      <c r="F21" s="30"/>
      <c r="G21" s="30"/>
      <c r="H21" s="30"/>
      <c r="I21" s="30"/>
      <c r="J21" s="30"/>
      <c r="K21" s="30"/>
      <c r="L21" s="30"/>
      <c r="M21" s="30"/>
      <c r="N21" s="30"/>
      <c r="O21" s="30"/>
      <c r="P21" s="102"/>
      <c r="Q21" s="30"/>
      <c r="R21" s="30"/>
      <c r="S21" s="30"/>
    </row>
    <row r="22" spans="2:76">
      <c r="C22" s="484"/>
      <c r="D22" s="30"/>
      <c r="E22" s="30"/>
      <c r="F22" s="30"/>
      <c r="G22" s="30"/>
      <c r="H22" s="30"/>
      <c r="I22" s="30"/>
      <c r="J22" s="30"/>
      <c r="K22" s="30"/>
      <c r="L22" s="30"/>
      <c r="M22" s="30"/>
      <c r="N22" s="30"/>
      <c r="O22" s="30"/>
      <c r="P22" s="102"/>
      <c r="Q22" s="30"/>
      <c r="R22" s="30"/>
      <c r="S22" s="30"/>
    </row>
    <row r="24" spans="2:76">
      <c r="B24" s="103"/>
      <c r="C24" s="502"/>
      <c r="D24" s="104"/>
      <c r="E24" s="104"/>
      <c r="F24" s="104"/>
      <c r="G24" s="104"/>
      <c r="H24" s="104"/>
      <c r="I24" s="104"/>
      <c r="J24" s="104"/>
      <c r="K24" s="104"/>
      <c r="L24" s="104"/>
      <c r="M24" s="104"/>
      <c r="N24" s="104"/>
      <c r="O24" s="104"/>
      <c r="P24" s="105"/>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6"/>
    </row>
    <row r="25" spans="2:76" s="116" customFormat="1" ht="21" customHeight="1">
      <c r="B25" s="107"/>
      <c r="C25" s="486">
        <v>1</v>
      </c>
      <c r="D25" s="539" t="str">
        <f>X!$C$118</f>
        <v>Grundlagedaten</v>
      </c>
      <c r="E25" s="109"/>
      <c r="F25" s="109"/>
      <c r="G25" s="110"/>
      <c r="H25" s="110"/>
      <c r="I25" s="111"/>
      <c r="J25" s="111"/>
      <c r="K25" s="111"/>
      <c r="L25" s="111"/>
      <c r="M25" s="111"/>
      <c r="N25" s="111"/>
      <c r="O25" s="111"/>
      <c r="P25" s="111"/>
      <c r="Q25" s="111"/>
      <c r="R25" s="111"/>
      <c r="S25" s="636"/>
      <c r="T25" s="109"/>
      <c r="U25" s="110"/>
      <c r="V25" s="110"/>
      <c r="W25" s="110"/>
      <c r="X25" s="110"/>
      <c r="Y25" s="110"/>
      <c r="Z25" s="110"/>
      <c r="AA25" s="110"/>
      <c r="AB25" s="110"/>
      <c r="AC25" s="110"/>
      <c r="AD25" s="110"/>
      <c r="AE25" s="110"/>
      <c r="AF25" s="110"/>
      <c r="AG25" s="110"/>
      <c r="AH25" s="110"/>
      <c r="AI25" s="110"/>
      <c r="AJ25" s="110"/>
      <c r="AK25" s="110"/>
      <c r="AL25" s="110"/>
      <c r="AM25" s="111"/>
      <c r="AN25" s="111"/>
      <c r="AO25" s="111"/>
      <c r="AP25" s="111"/>
      <c r="AQ25" s="109"/>
      <c r="AR25" s="109"/>
      <c r="AS25" s="110"/>
      <c r="AT25" s="110"/>
      <c r="AU25" s="110"/>
      <c r="AV25" s="110"/>
      <c r="AW25" s="110"/>
      <c r="AX25" s="110"/>
      <c r="AY25" s="110"/>
      <c r="AZ25" s="110"/>
      <c r="BA25" s="110"/>
      <c r="BB25" s="110"/>
      <c r="BC25" s="110"/>
      <c r="BD25" s="110"/>
      <c r="BE25" s="110"/>
      <c r="BF25" s="110"/>
      <c r="BG25" s="110"/>
      <c r="BH25" s="110"/>
      <c r="BI25" s="110"/>
      <c r="BJ25" s="115"/>
      <c r="BQ25" s="227">
        <v>250</v>
      </c>
      <c r="BR25" s="227"/>
      <c r="BS25" s="227"/>
      <c r="BT25" s="227"/>
      <c r="BV25" s="155" t="str">
        <f>X!E12</f>
        <v>Deutsch</v>
      </c>
      <c r="BW25" s="155" t="str">
        <f>X!F12</f>
        <v>Française</v>
      </c>
      <c r="BX25" s="155" t="str">
        <f>X!G12</f>
        <v>Italiano</v>
      </c>
    </row>
    <row r="26" spans="2:76" s="28" customFormat="1" ht="6" customHeight="1">
      <c r="B26" s="117"/>
      <c r="C26" s="503"/>
      <c r="D26" s="118"/>
      <c r="E26" s="118"/>
      <c r="F26" s="118"/>
      <c r="G26" s="118"/>
      <c r="H26" s="118"/>
      <c r="I26" s="118"/>
      <c r="J26" s="118"/>
      <c r="K26" s="118"/>
      <c r="L26" s="118"/>
      <c r="M26" s="118"/>
      <c r="N26" s="118"/>
      <c r="O26" s="118"/>
      <c r="P26" s="119"/>
      <c r="Q26" s="118"/>
      <c r="R26" s="118"/>
      <c r="S26" s="118"/>
      <c r="T26" s="118"/>
      <c r="U26" s="118"/>
      <c r="V26" s="118"/>
      <c r="W26" s="118"/>
      <c r="X26" s="118"/>
      <c r="Y26" s="118"/>
      <c r="Z26" s="118"/>
      <c r="AA26" s="55"/>
      <c r="AB26" s="55"/>
      <c r="AC26" s="55"/>
      <c r="AD26" s="55"/>
      <c r="AE26" s="55"/>
      <c r="AF26" s="55"/>
      <c r="AG26" s="55"/>
      <c r="AH26" s="55"/>
      <c r="AI26" s="55"/>
      <c r="AJ26" s="55"/>
      <c r="AK26" s="55"/>
      <c r="AL26" s="55"/>
      <c r="AM26" s="55"/>
      <c r="AN26" s="55"/>
      <c r="AO26" s="55"/>
      <c r="AP26" s="55"/>
      <c r="AQ26" s="55"/>
      <c r="AR26" s="55"/>
      <c r="AS26" s="55"/>
      <c r="AT26" s="120"/>
      <c r="AU26" s="55"/>
      <c r="AV26" s="55"/>
      <c r="AW26" s="55"/>
      <c r="AX26" s="55"/>
      <c r="AY26" s="55"/>
      <c r="AZ26" s="55"/>
      <c r="BA26" s="55"/>
      <c r="BB26" s="55"/>
      <c r="BC26" s="55"/>
      <c r="BD26" s="55"/>
      <c r="BE26" s="55"/>
      <c r="BF26" s="55"/>
      <c r="BG26" s="55"/>
      <c r="BH26" s="55"/>
      <c r="BI26" s="55"/>
      <c r="BJ26" s="121"/>
    </row>
    <row r="27" spans="2:76" s="28" customFormat="1" ht="17.100000000000001" customHeight="1">
      <c r="B27" s="117"/>
      <c r="C27" s="542" t="str">
        <f>X!$C$161</f>
        <v>Kühlleistungsbedarf (Gebäude)</v>
      </c>
      <c r="D27" s="98"/>
      <c r="E27" s="98"/>
      <c r="F27" s="98"/>
      <c r="G27" s="55"/>
      <c r="H27" s="98"/>
      <c r="I27" s="55"/>
      <c r="J27" s="55"/>
      <c r="K27" s="98"/>
      <c r="L27" s="98"/>
      <c r="M27" s="55"/>
      <c r="N27" s="55"/>
      <c r="O27" s="55"/>
      <c r="P27" s="122" t="s">
        <v>106</v>
      </c>
      <c r="Q27" s="55"/>
      <c r="R27" s="98"/>
      <c r="S27" s="1653"/>
      <c r="T27" s="1653"/>
      <c r="U27" s="1654"/>
      <c r="V27" s="98"/>
      <c r="W27" s="98"/>
      <c r="X27" s="98"/>
      <c r="Y27" s="98"/>
      <c r="Z27" s="98"/>
      <c r="AA27" s="98"/>
      <c r="AB27" s="98"/>
      <c r="AC27" s="98"/>
      <c r="AD27" s="98"/>
      <c r="AE27" s="98"/>
      <c r="AF27" s="98"/>
      <c r="AG27" s="98"/>
      <c r="AH27" s="98"/>
      <c r="AI27" s="98"/>
      <c r="AJ27" s="98"/>
      <c r="AK27" s="98"/>
      <c r="AL27" s="98"/>
      <c r="AM27" s="612" t="s">
        <v>292</v>
      </c>
      <c r="AN27" s="612" t="s">
        <v>292</v>
      </c>
      <c r="AO27" s="612" t="s">
        <v>292</v>
      </c>
      <c r="AP27" s="98"/>
      <c r="AQ27" s="98"/>
      <c r="AR27" s="98"/>
      <c r="AS27" s="98"/>
      <c r="AT27" s="98"/>
      <c r="AU27" s="98"/>
      <c r="AV27" s="55"/>
      <c r="AW27" s="55"/>
      <c r="AX27" s="55"/>
      <c r="AY27" s="55"/>
      <c r="AZ27" s="55"/>
      <c r="BA27" s="55"/>
      <c r="BB27" s="55"/>
      <c r="BC27" s="55"/>
      <c r="BD27" s="55"/>
      <c r="BE27" s="55"/>
      <c r="BF27" s="55"/>
      <c r="BG27" s="55"/>
      <c r="BH27" s="55"/>
      <c r="BI27" s="55"/>
      <c r="BJ27" s="121"/>
      <c r="BP27" s="531"/>
      <c r="BQ27" s="531">
        <f>LEN(BV27)</f>
        <v>62</v>
      </c>
      <c r="BR27" s="531">
        <f>LEN(BW27)</f>
        <v>71</v>
      </c>
      <c r="BS27" s="531">
        <f>LEN(BX27)</f>
        <v>78</v>
      </c>
      <c r="BT27" s="531"/>
      <c r="BU27" s="489" t="s">
        <v>412</v>
      </c>
      <c r="BV27" s="28" t="str">
        <f>X!E427</f>
        <v>Eingabe der Leistung (Auslegung) für die Kühlung des Gebäudes.</v>
      </c>
      <c r="BW27" s="28" t="str">
        <f>X!F427</f>
        <v>Saisie de la puissance (planifiée) pour le refroidissement du bâtiment.</v>
      </c>
      <c r="BX27" s="28" t="str">
        <f>X!G427</f>
        <v>Inserimento della potenza (installazione) per la refrigerazione dell'edificio.</v>
      </c>
    </row>
    <row r="28" spans="2:76" s="28" customFormat="1" ht="6" hidden="1" customHeight="1" outlineLevel="1">
      <c r="B28" s="117"/>
      <c r="C28" s="474"/>
      <c r="D28" s="98"/>
      <c r="E28" s="98"/>
      <c r="F28" s="98"/>
      <c r="G28" s="55"/>
      <c r="H28" s="98"/>
      <c r="I28" s="98"/>
      <c r="J28" s="98"/>
      <c r="K28" s="98"/>
      <c r="L28" s="98"/>
      <c r="M28" s="55"/>
      <c r="N28" s="55"/>
      <c r="O28" s="55"/>
      <c r="P28" s="122"/>
      <c r="Q28" s="55"/>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55"/>
      <c r="AW28" s="55"/>
      <c r="AX28" s="55"/>
      <c r="AY28" s="55"/>
      <c r="AZ28" s="55"/>
      <c r="BA28" s="55"/>
      <c r="BB28" s="55"/>
      <c r="BC28" s="55"/>
      <c r="BD28" s="55"/>
      <c r="BE28" s="55"/>
      <c r="BF28" s="55"/>
      <c r="BG28" s="55"/>
      <c r="BH28" s="55"/>
      <c r="BI28" s="55"/>
      <c r="BJ28" s="121"/>
      <c r="BU28" s="489"/>
    </row>
    <row r="29" spans="2:76" s="28" customFormat="1" ht="17.100000000000001" hidden="1" customHeight="1" outlineLevel="1">
      <c r="B29" s="117"/>
      <c r="C29" s="542" t="str">
        <f>X!$C$203</f>
        <v>Raumlufttemperatur</v>
      </c>
      <c r="D29" s="98"/>
      <c r="E29" s="98"/>
      <c r="F29" s="98"/>
      <c r="G29" s="55"/>
      <c r="H29" s="98"/>
      <c r="I29" s="55"/>
      <c r="J29" s="55"/>
      <c r="K29" s="98"/>
      <c r="L29" s="98"/>
      <c r="M29" s="55"/>
      <c r="N29" s="55"/>
      <c r="O29" s="55"/>
      <c r="P29" s="122" t="s">
        <v>108</v>
      </c>
      <c r="Q29" s="55"/>
      <c r="R29" s="98"/>
      <c r="S29" s="1653"/>
      <c r="T29" s="1653"/>
      <c r="U29" s="1654"/>
      <c r="V29" s="98"/>
      <c r="W29" s="98"/>
      <c r="X29" s="98"/>
      <c r="Y29" s="98"/>
      <c r="Z29" s="98"/>
      <c r="AA29" s="98"/>
      <c r="AB29" s="98"/>
      <c r="AC29" s="98"/>
      <c r="AD29" s="98"/>
      <c r="AE29" s="98"/>
      <c r="AF29" s="98"/>
      <c r="AG29" s="98"/>
      <c r="AH29" s="98"/>
      <c r="AI29" s="98"/>
      <c r="AJ29" s="98"/>
      <c r="AK29" s="98"/>
      <c r="AL29" s="98"/>
      <c r="AM29" s="612" t="s">
        <v>292</v>
      </c>
      <c r="AN29" s="612" t="s">
        <v>292</v>
      </c>
      <c r="AO29" s="612" t="s">
        <v>292</v>
      </c>
      <c r="AP29" s="448"/>
      <c r="AQ29" s="98"/>
      <c r="AR29" s="98"/>
      <c r="AS29" s="98"/>
      <c r="AT29" s="98"/>
      <c r="AU29" s="98"/>
      <c r="AV29" s="55"/>
      <c r="AW29" s="55"/>
      <c r="AX29" s="55"/>
      <c r="AY29" s="55"/>
      <c r="AZ29" s="55"/>
      <c r="BA29" s="55"/>
      <c r="BB29" s="55"/>
      <c r="BC29" s="55"/>
      <c r="BD29" s="55"/>
      <c r="BE29" s="55"/>
      <c r="BF29" s="55"/>
      <c r="BG29" s="55"/>
      <c r="BH29" s="55"/>
      <c r="BI29" s="55"/>
      <c r="BJ29" s="121"/>
      <c r="BO29" s="28" t="s">
        <v>980</v>
      </c>
      <c r="BP29" s="531"/>
      <c r="BQ29" s="531">
        <f>LEN(BV29)</f>
        <v>98</v>
      </c>
      <c r="BR29" s="531">
        <f>LEN(BW29)</f>
        <v>106</v>
      </c>
      <c r="BS29" s="531">
        <f>LEN(BX29)</f>
        <v>109</v>
      </c>
      <c r="BT29" s="531"/>
      <c r="BU29" s="489" t="s">
        <v>413</v>
      </c>
      <c r="BV29" s="28" t="str">
        <f>X!E428</f>
        <v>Die Raumlufttemperatur entspricht der Temperatur der Raumluft in der Raummitte und 1 m über Boden.</v>
      </c>
      <c r="BW29" s="28" t="str">
        <f>X!F428</f>
        <v>La température de l'air ambiant correspond à la température au centre de la pièce, à 1 m au-dessus du sol.</v>
      </c>
      <c r="BX29" s="28" t="str">
        <f>X!G428</f>
        <v>La temperatura ambiente corrisponde alla temperatura dell'aria nel centro della stanza e a 1 m dal pavimento.</v>
      </c>
    </row>
    <row r="30" spans="2:76" s="28" customFormat="1" ht="6" customHeight="1" collapsed="1">
      <c r="B30" s="117"/>
      <c r="C30" s="474"/>
      <c r="D30" s="98"/>
      <c r="E30" s="98"/>
      <c r="F30" s="98"/>
      <c r="G30" s="98"/>
      <c r="H30" s="98"/>
      <c r="I30" s="98"/>
      <c r="J30" s="98"/>
      <c r="K30" s="98"/>
      <c r="L30" s="98"/>
      <c r="M30" s="98"/>
      <c r="N30" s="98"/>
      <c r="O30" s="98"/>
      <c r="P30" s="122"/>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55"/>
      <c r="AW30" s="55"/>
      <c r="AX30" s="55"/>
      <c r="AY30" s="55"/>
      <c r="AZ30" s="55"/>
      <c r="BA30" s="55"/>
      <c r="BB30" s="55"/>
      <c r="BC30" s="55"/>
      <c r="BD30" s="55"/>
      <c r="BE30" s="55"/>
      <c r="BF30" s="55"/>
      <c r="BG30" s="55"/>
      <c r="BH30" s="55"/>
      <c r="BI30" s="55"/>
      <c r="BJ30" s="121"/>
    </row>
    <row r="31" spans="2:76" s="28" customFormat="1" ht="17.100000000000001" customHeight="1">
      <c r="B31" s="117"/>
      <c r="C31" s="542" t="str">
        <f>X!$C$217</f>
        <v>Standort (Klima entspricht etwa...)</v>
      </c>
      <c r="D31" s="98"/>
      <c r="E31" s="98"/>
      <c r="F31" s="98"/>
      <c r="G31" s="55"/>
      <c r="H31" s="98"/>
      <c r="I31" s="55"/>
      <c r="J31" s="55"/>
      <c r="K31" s="98"/>
      <c r="L31" s="98"/>
      <c r="M31" s="55"/>
      <c r="N31" s="55"/>
      <c r="O31" s="55"/>
      <c r="P31" s="122"/>
      <c r="Q31" s="55"/>
      <c r="R31" s="98"/>
      <c r="S31" s="1526"/>
      <c r="T31" s="1526"/>
      <c r="U31" s="1526"/>
      <c r="V31" s="1526"/>
      <c r="W31" s="1526"/>
      <c r="X31" s="1526"/>
      <c r="Y31" s="1526"/>
      <c r="Z31" s="1526"/>
      <c r="AA31" s="1526"/>
      <c r="AB31" s="1526"/>
      <c r="AC31" s="1526"/>
      <c r="AD31" s="1526"/>
      <c r="AE31" s="1526"/>
      <c r="AF31" s="1526"/>
      <c r="AG31" s="1526"/>
      <c r="AH31" s="1526"/>
      <c r="AI31" s="1526"/>
      <c r="AJ31" s="1526"/>
      <c r="AK31" s="1527"/>
      <c r="AL31" s="212"/>
      <c r="AM31" s="612" t="s">
        <v>292</v>
      </c>
      <c r="AN31" s="612" t="s">
        <v>292</v>
      </c>
      <c r="AO31" s="612" t="s">
        <v>292</v>
      </c>
      <c r="AP31" s="98"/>
      <c r="AQ31" s="98"/>
      <c r="AR31" s="98"/>
      <c r="AS31" s="98"/>
      <c r="AT31" s="98"/>
      <c r="AU31" s="98"/>
      <c r="AV31" s="55"/>
      <c r="AW31" s="55"/>
      <c r="AX31" s="55"/>
      <c r="AY31" s="55"/>
      <c r="AZ31" s="55"/>
      <c r="BA31" s="55"/>
      <c r="BB31" s="55"/>
      <c r="BC31" s="55"/>
      <c r="BD31" s="55"/>
      <c r="BE31" s="55"/>
      <c r="BF31" s="55"/>
      <c r="BG31" s="55"/>
      <c r="BH31" s="55"/>
      <c r="BI31" s="55"/>
      <c r="BJ31" s="121"/>
      <c r="BQ31" s="531">
        <f>LEN(BV31)</f>
        <v>75</v>
      </c>
      <c r="BR31" s="531">
        <f>LEN(BW31)</f>
        <v>78</v>
      </c>
      <c r="BS31" s="531">
        <f>LEN(BX31)</f>
        <v>84</v>
      </c>
      <c r="BT31" s="531"/>
      <c r="BU31" s="28" t="s">
        <v>414</v>
      </c>
      <c r="BV31" s="28" t="str">
        <f>X!E429</f>
        <v>Der Standort hilft bei der Bestimmung der Betriebsdaten (Aussentemperatur).</v>
      </c>
      <c r="BW31" s="28" t="str">
        <f>X!F429</f>
        <v>Le lieu aide à déterminer les données d'exploitation (température extérieure).</v>
      </c>
      <c r="BX31" s="28" t="str">
        <f>X!G429</f>
        <v>La sede contribuisce alla determinazione dei dati d'esercizio (temperatura esterna).</v>
      </c>
    </row>
    <row r="32" spans="2:76" s="28" customFormat="1" ht="6" customHeight="1">
      <c r="B32" s="117"/>
      <c r="C32" s="474"/>
      <c r="D32" s="98"/>
      <c r="E32" s="98"/>
      <c r="F32" s="98"/>
      <c r="G32" s="98"/>
      <c r="H32" s="98"/>
      <c r="I32" s="98"/>
      <c r="J32" s="98"/>
      <c r="K32" s="98"/>
      <c r="L32" s="98"/>
      <c r="M32" s="98"/>
      <c r="N32" s="98"/>
      <c r="O32" s="98"/>
      <c r="P32" s="122"/>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55"/>
      <c r="AW32" s="55"/>
      <c r="AX32" s="55"/>
      <c r="AY32" s="55"/>
      <c r="AZ32" s="55"/>
      <c r="BA32" s="55"/>
      <c r="BB32" s="55"/>
      <c r="BC32" s="55"/>
      <c r="BD32" s="55"/>
      <c r="BE32" s="55"/>
      <c r="BF32" s="55"/>
      <c r="BG32" s="55"/>
      <c r="BH32" s="55"/>
      <c r="BI32" s="55"/>
      <c r="BJ32" s="121"/>
    </row>
    <row r="33" spans="2:76" s="28" customFormat="1" ht="17.100000000000001" customHeight="1">
      <c r="B33" s="123"/>
      <c r="C33" s="504"/>
      <c r="D33" s="124"/>
      <c r="E33" s="124"/>
      <c r="F33" s="124"/>
      <c r="G33" s="124"/>
      <c r="H33" s="124"/>
      <c r="I33" s="124"/>
      <c r="J33" s="124"/>
      <c r="K33" s="124"/>
      <c r="L33" s="124"/>
      <c r="M33" s="124"/>
      <c r="N33" s="124"/>
      <c r="O33" s="124"/>
      <c r="P33" s="125"/>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6"/>
      <c r="AW33" s="126"/>
      <c r="AX33" s="126"/>
      <c r="AY33" s="126"/>
      <c r="AZ33" s="126"/>
      <c r="BA33" s="126"/>
      <c r="BB33" s="126"/>
      <c r="BC33" s="126"/>
      <c r="BD33" s="126"/>
      <c r="BE33" s="126"/>
      <c r="BF33" s="126"/>
      <c r="BG33" s="126"/>
      <c r="BH33" s="127"/>
      <c r="BI33" s="126"/>
      <c r="BJ33" s="128"/>
    </row>
    <row r="34" spans="2:76" s="28" customFormat="1" ht="17.100000000000001" customHeight="1">
      <c r="C34" s="496"/>
      <c r="D34" s="129"/>
      <c r="E34" s="129"/>
      <c r="F34" s="129"/>
      <c r="G34" s="129"/>
      <c r="H34" s="129"/>
      <c r="I34" s="129"/>
      <c r="J34" s="129"/>
      <c r="K34" s="129"/>
      <c r="L34" s="129"/>
      <c r="M34" s="129"/>
      <c r="N34" s="129"/>
      <c r="O34" s="129"/>
      <c r="P34" s="130"/>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row>
    <row r="35" spans="2:76" s="28" customFormat="1" ht="17.100000000000001" customHeight="1">
      <c r="C35" s="496"/>
      <c r="D35" s="129"/>
      <c r="E35" s="129"/>
      <c r="F35" s="129"/>
      <c r="G35" s="129"/>
      <c r="H35" s="129"/>
      <c r="I35" s="129"/>
      <c r="J35" s="129"/>
      <c r="K35" s="129"/>
      <c r="L35" s="129"/>
      <c r="M35" s="129"/>
      <c r="N35" s="129"/>
      <c r="O35" s="129"/>
      <c r="P35" s="130"/>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row>
    <row r="36" spans="2:76" s="28" customFormat="1" ht="17.100000000000001" customHeight="1">
      <c r="B36" s="131"/>
      <c r="C36" s="505"/>
      <c r="D36" s="132"/>
      <c r="E36" s="132"/>
      <c r="F36" s="132"/>
      <c r="G36" s="132"/>
      <c r="H36" s="132"/>
      <c r="I36" s="132"/>
      <c r="J36" s="132"/>
      <c r="K36" s="132"/>
      <c r="L36" s="132"/>
      <c r="M36" s="132"/>
      <c r="N36" s="132"/>
      <c r="O36" s="132"/>
      <c r="P36" s="133"/>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05"/>
      <c r="AZ36" s="105"/>
      <c r="BA36" s="105"/>
      <c r="BB36" s="105"/>
      <c r="BC36" s="105"/>
      <c r="BD36" s="105"/>
      <c r="BE36" s="105"/>
      <c r="BF36" s="105"/>
      <c r="BG36" s="105"/>
      <c r="BH36" s="105"/>
      <c r="BI36" s="105"/>
      <c r="BJ36" s="134"/>
    </row>
    <row r="37" spans="2:76" s="116" customFormat="1" ht="21" customHeight="1">
      <c r="B37" s="107"/>
      <c r="C37" s="486">
        <v>2</v>
      </c>
      <c r="D37" s="539" t="str">
        <f>X!$C$34</f>
        <v>Auslegung der Kälteanlage</v>
      </c>
      <c r="E37" s="109"/>
      <c r="F37" s="109"/>
      <c r="G37" s="110"/>
      <c r="H37" s="110"/>
      <c r="I37" s="111"/>
      <c r="J37" s="111"/>
      <c r="K37" s="111"/>
      <c r="L37" s="111"/>
      <c r="M37" s="111"/>
      <c r="N37" s="111"/>
      <c r="O37" s="111"/>
      <c r="P37" s="111"/>
      <c r="Q37" s="111"/>
      <c r="R37" s="111"/>
      <c r="S37" s="109"/>
      <c r="T37" s="109"/>
      <c r="U37" s="110"/>
      <c r="V37" s="110"/>
      <c r="W37" s="110"/>
      <c r="X37" s="110"/>
      <c r="Y37" s="110"/>
      <c r="Z37" s="110"/>
      <c r="AA37" s="110"/>
      <c r="AB37" s="110"/>
      <c r="AC37" s="110"/>
      <c r="AD37" s="110"/>
      <c r="AE37" s="110"/>
      <c r="AF37" s="110"/>
      <c r="AG37" s="110"/>
      <c r="AH37" s="110"/>
      <c r="AI37" s="110"/>
      <c r="AJ37" s="110"/>
      <c r="AK37" s="110"/>
      <c r="AL37" s="110"/>
      <c r="AM37" s="111"/>
      <c r="AN37" s="111"/>
      <c r="AO37" s="111"/>
      <c r="AP37" s="111"/>
      <c r="AQ37" s="1658">
        <f>'1 System specification'!O135</f>
        <v>1</v>
      </c>
      <c r="AR37" s="1658"/>
      <c r="AS37" s="1658"/>
      <c r="AT37" s="1658"/>
      <c r="AU37" s="1658"/>
      <c r="AV37" s="1658"/>
      <c r="AW37" s="1658"/>
      <c r="AX37" s="1658"/>
      <c r="AY37" s="1658"/>
      <c r="AZ37" s="1658"/>
      <c r="BA37" s="1658"/>
      <c r="BB37" s="1658"/>
      <c r="BC37" s="1658"/>
      <c r="BD37" s="1658"/>
      <c r="BE37" s="1658"/>
      <c r="BF37" s="1658"/>
      <c r="BG37" s="1658"/>
      <c r="BH37" s="1658"/>
      <c r="BI37" s="1658"/>
      <c r="BJ37" s="115"/>
    </row>
    <row r="38" spans="2:76" s="28" customFormat="1" ht="17.100000000000001" customHeight="1">
      <c r="B38" s="117"/>
      <c r="C38" s="489"/>
      <c r="D38" s="98"/>
      <c r="E38" s="98"/>
      <c r="F38" s="98"/>
      <c r="G38" s="98"/>
      <c r="H38" s="98"/>
      <c r="I38" s="98"/>
      <c r="J38" s="98"/>
      <c r="K38" s="98"/>
      <c r="L38" s="98"/>
      <c r="M38" s="98"/>
      <c r="N38" s="98"/>
      <c r="O38" s="98"/>
      <c r="P38" s="122"/>
      <c r="Q38" s="98"/>
      <c r="R38" s="98"/>
      <c r="S38" s="135"/>
      <c r="T38" s="135"/>
      <c r="U38" s="135"/>
      <c r="V38" s="98"/>
      <c r="W38" s="136"/>
      <c r="X38" s="136"/>
      <c r="Y38" s="136"/>
      <c r="Z38" s="136"/>
      <c r="AA38" s="136"/>
      <c r="AB38" s="136"/>
      <c r="AC38" s="136"/>
      <c r="AD38" s="136"/>
      <c r="AE38" s="136"/>
      <c r="AF38" s="98"/>
      <c r="AG38" s="98"/>
      <c r="AH38" s="98"/>
      <c r="AI38" s="98"/>
      <c r="AJ38" s="98"/>
      <c r="AK38" s="98"/>
      <c r="AL38" s="98"/>
      <c r="AM38" s="98"/>
      <c r="AN38" s="98"/>
      <c r="AO38" s="98"/>
      <c r="AP38" s="98"/>
      <c r="AQ38" s="135"/>
      <c r="AR38" s="135"/>
      <c r="AS38" s="135"/>
      <c r="AT38" s="98"/>
      <c r="AU38" s="136"/>
      <c r="AV38" s="136"/>
      <c r="AW38" s="136"/>
      <c r="AX38" s="136"/>
      <c r="AY38" s="136"/>
      <c r="AZ38" s="136"/>
      <c r="BA38" s="136"/>
      <c r="BB38" s="136"/>
      <c r="BC38" s="136"/>
      <c r="BD38" s="55"/>
      <c r="BE38" s="55"/>
      <c r="BF38" s="55"/>
      <c r="BG38" s="55"/>
      <c r="BH38" s="52"/>
      <c r="BI38" s="55"/>
      <c r="BJ38" s="121"/>
    </row>
    <row r="39" spans="2:76" s="28" customFormat="1" ht="30.95" customHeight="1">
      <c r="B39" s="117"/>
      <c r="C39" s="1717" t="str">
        <f>X!C399</f>
        <v xml:space="preserve">Die Eingabedaten für Verdichter und Hilfsantriebe (Ventilatoren, Pumpen) müssen bei Anlagenersatz den «Ist-Werten» vor Ort entsprechen. Bei neuen Projekten sind die Planungs- bzw. die Ausführungswerte zu berücksichtigen (keine Schätzwerte). </v>
      </c>
      <c r="D39" s="1717"/>
      <c r="E39" s="1717"/>
      <c r="F39" s="1717"/>
      <c r="G39" s="1717"/>
      <c r="H39" s="1717"/>
      <c r="I39" s="1717"/>
      <c r="J39" s="1717"/>
      <c r="K39" s="1717"/>
      <c r="L39" s="1717"/>
      <c r="M39" s="1717"/>
      <c r="N39" s="1717"/>
      <c r="O39" s="1717"/>
      <c r="P39" s="1717"/>
      <c r="Q39" s="1717"/>
      <c r="R39" s="1717"/>
      <c r="S39" s="1717"/>
      <c r="T39" s="1717"/>
      <c r="U39" s="1717"/>
      <c r="V39" s="1717"/>
      <c r="W39" s="1717"/>
      <c r="X39" s="1717"/>
      <c r="Y39" s="1717"/>
      <c r="Z39" s="1717"/>
      <c r="AA39" s="1717"/>
      <c r="AB39" s="1717"/>
      <c r="AC39" s="1717"/>
      <c r="AD39" s="1717"/>
      <c r="AE39" s="1717"/>
      <c r="AF39" s="1717"/>
      <c r="AG39" s="1717"/>
      <c r="AH39" s="1717"/>
      <c r="AI39" s="1717"/>
      <c r="AJ39" s="1717"/>
      <c r="AK39" s="1717"/>
      <c r="AL39" s="1717"/>
      <c r="AM39" s="1717"/>
      <c r="AN39" s="1717"/>
      <c r="AO39" s="1717"/>
      <c r="AP39" s="1717"/>
      <c r="AQ39" s="1717"/>
      <c r="AR39" s="1717"/>
      <c r="AS39" s="1717"/>
      <c r="AT39" s="1717"/>
      <c r="AU39" s="1717"/>
      <c r="AV39" s="1717"/>
      <c r="AW39" s="1717"/>
      <c r="AX39" s="1717"/>
      <c r="AY39" s="1717"/>
      <c r="AZ39" s="1717"/>
      <c r="BA39" s="1717"/>
      <c r="BB39" s="1717"/>
      <c r="BC39" s="1717"/>
      <c r="BD39" s="1717"/>
      <c r="BE39" s="1717"/>
      <c r="BF39" s="1717"/>
      <c r="BG39" s="1717"/>
      <c r="BH39" s="1717"/>
      <c r="BI39" s="1717"/>
      <c r="BJ39" s="121"/>
    </row>
    <row r="40" spans="2:76" s="28" customFormat="1" ht="17.100000000000001" customHeight="1">
      <c r="B40" s="117"/>
      <c r="C40" s="1299"/>
      <c r="D40" s="98"/>
      <c r="E40" s="98"/>
      <c r="F40" s="98"/>
      <c r="G40" s="98"/>
      <c r="H40" s="98"/>
      <c r="I40" s="98"/>
      <c r="J40" s="98"/>
      <c r="K40" s="98"/>
      <c r="L40" s="98"/>
      <c r="M40" s="98"/>
      <c r="N40" s="98"/>
      <c r="O40" s="98"/>
      <c r="P40" s="122"/>
      <c r="Q40" s="98"/>
      <c r="R40" s="98"/>
      <c r="S40" s="1298"/>
      <c r="T40" s="1298"/>
      <c r="U40" s="1298"/>
      <c r="V40" s="98"/>
      <c r="W40" s="136"/>
      <c r="X40" s="136"/>
      <c r="Y40" s="136"/>
      <c r="Z40" s="136"/>
      <c r="AA40" s="136"/>
      <c r="AB40" s="136"/>
      <c r="AC40" s="136"/>
      <c r="AD40" s="136"/>
      <c r="AE40" s="136"/>
      <c r="AF40" s="98"/>
      <c r="AG40" s="98"/>
      <c r="AH40" s="98"/>
      <c r="AI40" s="98"/>
      <c r="AJ40" s="98"/>
      <c r="AK40" s="98"/>
      <c r="AL40" s="98"/>
      <c r="AM40" s="98"/>
      <c r="AN40" s="98"/>
      <c r="AO40" s="98"/>
      <c r="AP40" s="98"/>
      <c r="AQ40" s="1298"/>
      <c r="AR40" s="1298"/>
      <c r="AS40" s="1298"/>
      <c r="AT40" s="98"/>
      <c r="AU40" s="136"/>
      <c r="AV40" s="136"/>
      <c r="AW40" s="136"/>
      <c r="AX40" s="136"/>
      <c r="AY40" s="136"/>
      <c r="AZ40" s="136"/>
      <c r="BA40" s="136"/>
      <c r="BB40" s="136"/>
      <c r="BC40" s="136"/>
      <c r="BD40" s="640"/>
      <c r="BE40" s="640"/>
      <c r="BF40" s="640"/>
      <c r="BG40" s="640"/>
      <c r="BH40" s="52"/>
      <c r="BI40" s="640"/>
      <c r="BJ40" s="121"/>
    </row>
    <row r="41" spans="2:76" s="139" customFormat="1" ht="17.100000000000001" customHeight="1">
      <c r="B41" s="137"/>
      <c r="C41" s="488"/>
      <c r="D41" s="138"/>
      <c r="E41" s="138"/>
      <c r="F41" s="138"/>
      <c r="S41" s="140" t="str">
        <f>'1 System specification'!O132</f>
        <v>Variante A</v>
      </c>
      <c r="T41" s="140"/>
      <c r="U41" s="141"/>
      <c r="V41" s="141"/>
      <c r="W41" s="141"/>
      <c r="X41" s="141"/>
      <c r="Y41" s="141"/>
      <c r="Z41" s="141"/>
      <c r="AA41" s="141"/>
      <c r="AB41" s="141"/>
      <c r="AC41" s="141"/>
      <c r="AD41" s="141"/>
      <c r="AE41" s="141"/>
      <c r="AF41" s="141"/>
      <c r="AG41" s="141"/>
      <c r="AH41" s="141"/>
      <c r="AI41" s="141"/>
      <c r="AJ41" s="141"/>
      <c r="AK41" s="141"/>
      <c r="AL41" s="431"/>
      <c r="AQ41" s="140" t="str">
        <f>'1 System specification'!O133</f>
        <v/>
      </c>
      <c r="AR41" s="140"/>
      <c r="AS41" s="141"/>
      <c r="AT41" s="141"/>
      <c r="AU41" s="141"/>
      <c r="AV41" s="141"/>
      <c r="AW41" s="141"/>
      <c r="AX41" s="141"/>
      <c r="AY41" s="141"/>
      <c r="AZ41" s="141"/>
      <c r="BA41" s="141"/>
      <c r="BB41" s="141"/>
      <c r="BC41" s="141"/>
      <c r="BD41" s="141"/>
      <c r="BE41" s="141"/>
      <c r="BF41" s="141"/>
      <c r="BG41" s="141"/>
      <c r="BH41" s="141"/>
      <c r="BI41" s="141"/>
      <c r="BJ41" s="142"/>
    </row>
    <row r="42" spans="2:76" s="28" customFormat="1" ht="8.1" customHeight="1">
      <c r="B42" s="117"/>
      <c r="C42" s="474"/>
      <c r="D42" s="98"/>
      <c r="E42" s="98"/>
      <c r="F42" s="98"/>
      <c r="G42" s="98"/>
      <c r="H42" s="98"/>
      <c r="I42" s="98"/>
      <c r="J42" s="98"/>
      <c r="K42" s="98"/>
      <c r="L42" s="98"/>
      <c r="M42" s="98"/>
      <c r="N42" s="98"/>
      <c r="O42" s="98"/>
      <c r="P42" s="122"/>
      <c r="Q42" s="98"/>
      <c r="R42" s="98"/>
      <c r="S42" s="98"/>
      <c r="T42" s="98"/>
      <c r="U42" s="98"/>
      <c r="V42" s="98"/>
      <c r="W42" s="98"/>
      <c r="X42" s="98"/>
      <c r="Y42" s="98"/>
      <c r="Z42" s="98"/>
      <c r="AA42" s="55"/>
      <c r="AB42" s="55"/>
      <c r="AC42" s="55"/>
      <c r="AD42" s="55"/>
      <c r="AE42" s="55"/>
      <c r="AF42" s="55"/>
      <c r="AG42" s="55"/>
      <c r="AH42" s="55"/>
      <c r="AI42" s="55"/>
      <c r="AJ42" s="55"/>
      <c r="AK42" s="55"/>
      <c r="AL42" s="640"/>
      <c r="AM42" s="55"/>
      <c r="AN42" s="595"/>
      <c r="AO42" s="595"/>
      <c r="AP42" s="55"/>
      <c r="AQ42" s="55"/>
      <c r="AR42" s="55"/>
      <c r="AS42" s="55"/>
      <c r="AT42" s="120"/>
      <c r="AU42" s="55"/>
      <c r="AV42" s="55"/>
      <c r="AW42" s="55"/>
      <c r="AX42" s="55"/>
      <c r="AY42" s="55"/>
      <c r="AZ42" s="55"/>
      <c r="BA42" s="55"/>
      <c r="BB42" s="55"/>
      <c r="BC42" s="55"/>
      <c r="BD42" s="55"/>
      <c r="BE42" s="55"/>
      <c r="BF42" s="55"/>
      <c r="BG42" s="55"/>
      <c r="BH42" s="55"/>
      <c r="BI42" s="55"/>
      <c r="BJ42" s="121"/>
    </row>
    <row r="43" spans="2:76" s="28" customFormat="1" ht="17.100000000000001" customHeight="1">
      <c r="B43" s="117"/>
      <c r="C43" s="495">
        <v>2.1</v>
      </c>
      <c r="D43" s="544" t="str">
        <f>X!$C$229</f>
        <v>Temperaturen</v>
      </c>
      <c r="E43" s="144"/>
      <c r="F43" s="98"/>
      <c r="G43" s="98"/>
      <c r="H43" s="98"/>
      <c r="I43" s="98"/>
      <c r="J43" s="98"/>
      <c r="K43" s="98"/>
      <c r="L43" s="98"/>
      <c r="M43" s="98"/>
      <c r="N43" s="98"/>
      <c r="O43" s="98"/>
      <c r="P43" s="122"/>
      <c r="Q43" s="98"/>
      <c r="R43" s="98"/>
      <c r="S43" s="55"/>
      <c r="T43" s="55"/>
      <c r="U43" s="55"/>
      <c r="V43" s="55"/>
      <c r="W43" s="55"/>
      <c r="X43" s="55"/>
      <c r="Y43" s="55"/>
      <c r="Z43" s="55"/>
      <c r="AA43" s="55"/>
      <c r="AB43" s="55"/>
      <c r="AC43" s="55"/>
      <c r="AD43" s="55"/>
      <c r="AE43" s="55"/>
      <c r="AF43" s="55"/>
      <c r="AG43" s="55"/>
      <c r="AH43" s="55"/>
      <c r="AI43" s="55"/>
      <c r="AJ43" s="55"/>
      <c r="AK43" s="55"/>
      <c r="AL43" s="640"/>
      <c r="AM43" s="55"/>
      <c r="AN43" s="595"/>
      <c r="AO43" s="595"/>
      <c r="AP43" s="55"/>
      <c r="AQ43" s="55"/>
      <c r="AR43" s="55"/>
      <c r="AS43" s="55"/>
      <c r="AT43" s="120"/>
      <c r="AU43" s="55"/>
      <c r="AV43" s="55"/>
      <c r="AW43" s="55"/>
      <c r="AX43" s="55"/>
      <c r="AY43" s="55"/>
      <c r="AZ43" s="55"/>
      <c r="BA43" s="55"/>
      <c r="BB43" s="55"/>
      <c r="BC43" s="55"/>
      <c r="BD43" s="55"/>
      <c r="BE43" s="55"/>
      <c r="BF43" s="55"/>
      <c r="BG43" s="55"/>
      <c r="BH43" s="55"/>
      <c r="BI43" s="55"/>
      <c r="BJ43" s="121"/>
    </row>
    <row r="44" spans="2:76" s="28" customFormat="1" ht="6" customHeight="1">
      <c r="B44" s="117"/>
      <c r="C44" s="474"/>
      <c r="D44" s="98"/>
      <c r="E44" s="98"/>
      <c r="F44" s="98"/>
      <c r="G44" s="98"/>
      <c r="H44" s="98"/>
      <c r="I44" s="98"/>
      <c r="J44" s="98"/>
      <c r="K44" s="98"/>
      <c r="L44" s="98"/>
      <c r="M44" s="98"/>
      <c r="N44" s="98"/>
      <c r="O44" s="98"/>
      <c r="P44" s="122"/>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55"/>
      <c r="AW44" s="55"/>
      <c r="AX44" s="55"/>
      <c r="AY44" s="55"/>
      <c r="AZ44" s="55"/>
      <c r="BA44" s="55"/>
      <c r="BB44" s="55"/>
      <c r="BC44" s="55"/>
      <c r="BD44" s="55"/>
      <c r="BE44" s="55"/>
      <c r="BF44" s="55"/>
      <c r="BG44" s="55"/>
      <c r="BH44" s="55"/>
      <c r="BI44" s="55"/>
      <c r="BJ44" s="121"/>
    </row>
    <row r="45" spans="2:76" s="28" customFormat="1" ht="17.100000000000001" customHeight="1">
      <c r="B45" s="117"/>
      <c r="C45" s="489"/>
      <c r="D45" s="535" t="str">
        <f>X!$C$147</f>
        <v>Kaltwassertemperatur</v>
      </c>
      <c r="E45" s="98"/>
      <c r="F45" s="98"/>
      <c r="G45" s="98"/>
      <c r="H45" s="98"/>
      <c r="I45" s="98"/>
      <c r="J45" s="98"/>
      <c r="K45" s="98"/>
      <c r="L45" s="98"/>
      <c r="M45" s="98"/>
      <c r="N45" s="98"/>
      <c r="O45" s="98"/>
      <c r="P45" s="122" t="s">
        <v>108</v>
      </c>
      <c r="Q45" s="98"/>
      <c r="R45" s="98"/>
      <c r="S45" s="1715"/>
      <c r="T45" s="1715"/>
      <c r="U45" s="1716"/>
      <c r="V45" s="98"/>
      <c r="W45" s="136"/>
      <c r="X45" s="136"/>
      <c r="Y45" s="136"/>
      <c r="Z45" s="136"/>
      <c r="AA45" s="136"/>
      <c r="AB45" s="136"/>
      <c r="AC45" s="136"/>
      <c r="AD45" s="136"/>
      <c r="AE45" s="136"/>
      <c r="AF45" s="98"/>
      <c r="AG45" s="98"/>
      <c r="AH45" s="98"/>
      <c r="AI45" s="98"/>
      <c r="AJ45" s="98"/>
      <c r="AK45" s="98"/>
      <c r="AL45" s="98"/>
      <c r="AM45" s="612" t="s">
        <v>292</v>
      </c>
      <c r="AN45" s="612" t="s">
        <v>292</v>
      </c>
      <c r="AO45" s="612" t="s">
        <v>292</v>
      </c>
      <c r="AP45" s="98"/>
      <c r="AQ45" s="1653"/>
      <c r="AR45" s="1653"/>
      <c r="AS45" s="1654"/>
      <c r="AT45" s="98"/>
      <c r="AU45" s="136"/>
      <c r="AV45" s="136"/>
      <c r="AW45" s="136"/>
      <c r="AX45" s="136"/>
      <c r="AY45" s="136"/>
      <c r="AZ45" s="136"/>
      <c r="BA45" s="136"/>
      <c r="BB45" s="136"/>
      <c r="BC45" s="136"/>
      <c r="BD45" s="55"/>
      <c r="BE45" s="55"/>
      <c r="BF45" s="55"/>
      <c r="BG45" s="55"/>
      <c r="BH45" s="55"/>
      <c r="BI45" s="55"/>
      <c r="BJ45" s="121"/>
      <c r="BQ45" s="531">
        <f>LEN(BV45)</f>
        <v>132</v>
      </c>
      <c r="BR45" s="531">
        <f>LEN(BW45)</f>
        <v>127</v>
      </c>
      <c r="BS45" s="531">
        <f>LEN(BX45)</f>
        <v>149</v>
      </c>
      <c r="BT45" s="531"/>
      <c r="BU45" s="28" t="s">
        <v>415</v>
      </c>
      <c r="BV45" s="28" t="str">
        <f>X!E430</f>
        <v>Die Kaltwassertemperatur ist die Vorlauftemperatur (Austrittstemperatur des Kaltwassers aus der Kältemaschine) auf der kalten Seite.</v>
      </c>
      <c r="BW45" s="28" t="str">
        <f>X!F430</f>
        <v>La température d'eau glacée est la température aller(température de sortie de l'eau glacée de la machine de froid:évaporateur).</v>
      </c>
      <c r="BX45" s="28" t="str">
        <f>X!G430</f>
        <v>La temperatura dell'acqua fredda è la temperatura di mandata (temperatura di uscita dell'acqua fredda dalla macchina frigorifera) sulla parte fredda.</v>
      </c>
    </row>
    <row r="46" spans="2:76" s="28" customFormat="1" ht="6" customHeight="1">
      <c r="B46" s="117"/>
      <c r="C46" s="489"/>
      <c r="D46" s="98"/>
      <c r="E46" s="98"/>
      <c r="F46" s="98"/>
      <c r="G46" s="98"/>
      <c r="H46" s="98"/>
      <c r="I46" s="98"/>
      <c r="J46" s="98"/>
      <c r="K46" s="98"/>
      <c r="L46" s="98"/>
      <c r="M46" s="98"/>
      <c r="N46" s="98"/>
      <c r="O46" s="98"/>
      <c r="P46" s="122"/>
      <c r="Q46" s="98"/>
      <c r="R46" s="98"/>
      <c r="S46" s="135"/>
      <c r="T46" s="135"/>
      <c r="U46" s="135"/>
      <c r="V46" s="98"/>
      <c r="W46" s="98"/>
      <c r="X46" s="98"/>
      <c r="Y46" s="98"/>
      <c r="Z46" s="98"/>
      <c r="AA46" s="98"/>
      <c r="AB46" s="98"/>
      <c r="AC46" s="98"/>
      <c r="AD46" s="98"/>
      <c r="AE46" s="98"/>
      <c r="AF46" s="98"/>
      <c r="AG46" s="98"/>
      <c r="AH46" s="98"/>
      <c r="AI46" s="98"/>
      <c r="AJ46" s="98"/>
      <c r="AK46" s="98"/>
      <c r="AL46" s="98"/>
      <c r="AM46" s="98"/>
      <c r="AN46" s="98"/>
      <c r="AO46" s="98"/>
      <c r="AP46" s="98"/>
      <c r="AQ46" s="135"/>
      <c r="AR46" s="135"/>
      <c r="AS46" s="135"/>
      <c r="AT46" s="98"/>
      <c r="AU46" s="98"/>
      <c r="AV46" s="55"/>
      <c r="AW46" s="55"/>
      <c r="AX46" s="55"/>
      <c r="AY46" s="55"/>
      <c r="AZ46" s="55"/>
      <c r="BA46" s="55"/>
      <c r="BB46" s="55"/>
      <c r="BC46" s="55"/>
      <c r="BD46" s="55"/>
      <c r="BE46" s="55"/>
      <c r="BF46" s="55"/>
      <c r="BG46" s="55"/>
      <c r="BH46" s="55"/>
      <c r="BI46" s="55"/>
      <c r="BJ46" s="121"/>
    </row>
    <row r="47" spans="2:76" s="28" customFormat="1" ht="6.95" customHeight="1">
      <c r="B47" s="117"/>
      <c r="C47" s="489"/>
      <c r="D47" s="1718" t="str">
        <f>X!$C$207</f>
        <v>Rückkühlmediums-Temperatur</v>
      </c>
      <c r="E47" s="1718"/>
      <c r="F47" s="1718"/>
      <c r="G47" s="1718"/>
      <c r="H47" s="1718"/>
      <c r="I47" s="1718"/>
      <c r="J47" s="1718"/>
      <c r="K47" s="1718"/>
      <c r="L47" s="1718"/>
      <c r="M47" s="1718"/>
      <c r="N47" s="1718"/>
      <c r="O47" s="1718"/>
      <c r="P47" s="122"/>
      <c r="Q47" s="98"/>
      <c r="R47" s="98"/>
      <c r="S47" s="639"/>
      <c r="T47" s="639"/>
      <c r="U47" s="639"/>
      <c r="V47" s="98"/>
      <c r="W47" s="136"/>
      <c r="X47" s="136"/>
      <c r="Y47" s="136"/>
      <c r="Z47" s="136"/>
      <c r="AA47" s="136"/>
      <c r="AB47" s="136"/>
      <c r="AC47" s="136"/>
      <c r="AD47" s="136"/>
      <c r="AE47" s="136"/>
      <c r="AF47" s="98"/>
      <c r="AG47" s="98"/>
      <c r="AH47" s="98"/>
      <c r="AI47" s="98"/>
      <c r="AJ47" s="98"/>
      <c r="AK47" s="98"/>
      <c r="AL47" s="98"/>
      <c r="AM47" s="98"/>
      <c r="AN47" s="98"/>
      <c r="AO47" s="98"/>
      <c r="AP47" s="98"/>
      <c r="AQ47" s="639"/>
      <c r="AR47" s="639"/>
      <c r="AS47" s="639"/>
      <c r="AT47" s="98"/>
      <c r="AU47" s="136"/>
      <c r="AV47" s="136"/>
      <c r="AW47" s="136"/>
      <c r="AX47" s="136"/>
      <c r="AY47" s="136"/>
      <c r="AZ47" s="136"/>
      <c r="BA47" s="136"/>
      <c r="BB47" s="136"/>
      <c r="BC47" s="136"/>
      <c r="BD47" s="640"/>
      <c r="BE47" s="640"/>
      <c r="BF47" s="640"/>
      <c r="BG47" s="640"/>
      <c r="BH47" s="52"/>
      <c r="BI47" s="640"/>
      <c r="BJ47" s="121"/>
    </row>
    <row r="48" spans="2:76" s="28" customFormat="1" ht="17.100000000000001" customHeight="1">
      <c r="B48" s="117"/>
      <c r="C48" s="489"/>
      <c r="D48" s="1718"/>
      <c r="E48" s="1718"/>
      <c r="F48" s="1718"/>
      <c r="G48" s="1718"/>
      <c r="H48" s="1718"/>
      <c r="I48" s="1718"/>
      <c r="J48" s="1718"/>
      <c r="K48" s="1718"/>
      <c r="L48" s="1718"/>
      <c r="M48" s="1718"/>
      <c r="N48" s="1718"/>
      <c r="O48" s="1718"/>
      <c r="P48" s="122" t="s">
        <v>108</v>
      </c>
      <c r="Q48" s="98"/>
      <c r="R48" s="98"/>
      <c r="S48" s="1653"/>
      <c r="T48" s="1653"/>
      <c r="U48" s="1654"/>
      <c r="V48" s="98"/>
      <c r="W48" s="136"/>
      <c r="X48" s="136"/>
      <c r="Y48" s="136"/>
      <c r="Z48" s="136"/>
      <c r="AA48" s="136"/>
      <c r="AB48" s="136"/>
      <c r="AC48" s="136"/>
      <c r="AD48" s="136"/>
      <c r="AE48" s="136"/>
      <c r="AF48" s="98"/>
      <c r="AG48" s="98"/>
      <c r="AH48" s="98"/>
      <c r="AI48" s="98"/>
      <c r="AJ48" s="98"/>
      <c r="AK48" s="98"/>
      <c r="AL48" s="98"/>
      <c r="AM48" s="612" t="s">
        <v>292</v>
      </c>
      <c r="AN48" s="612" t="s">
        <v>292</v>
      </c>
      <c r="AO48" s="612" t="s">
        <v>292</v>
      </c>
      <c r="AP48" s="98"/>
      <c r="AQ48" s="1653"/>
      <c r="AR48" s="1653"/>
      <c r="AS48" s="1654"/>
      <c r="AT48" s="98"/>
      <c r="AU48" s="136"/>
      <c r="AV48" s="136"/>
      <c r="AW48" s="136"/>
      <c r="AX48" s="136"/>
      <c r="AY48" s="136"/>
      <c r="AZ48" s="136"/>
      <c r="BA48" s="136"/>
      <c r="BB48" s="136"/>
      <c r="BC48" s="136"/>
      <c r="BD48" s="640"/>
      <c r="BE48" s="640"/>
      <c r="BF48" s="640"/>
      <c r="BG48" s="640"/>
      <c r="BH48" s="640"/>
      <c r="BI48" s="640"/>
      <c r="BJ48" s="121"/>
      <c r="BQ48" s="641">
        <f>LEN(BV48)</f>
        <v>117</v>
      </c>
      <c r="BR48" s="641">
        <f>LEN(BW48)</f>
        <v>132</v>
      </c>
      <c r="BS48" s="641">
        <f>LEN(BX48)</f>
        <v>162</v>
      </c>
      <c r="BT48" s="641"/>
      <c r="BU48" s="28" t="s">
        <v>416</v>
      </c>
      <c r="BV48" s="28" t="str">
        <f>X!E431</f>
        <v>Die Rückkühlmediumstemperatur ist die Eintrittstemperatur des Rückkühlmediums auf der warmen Seite der Kältemaschine.</v>
      </c>
      <c r="BW48" s="28" t="str">
        <f>X!F431</f>
        <v>La température du fluide de refroidissement est la température d'entrée du fluide du côté chaud de la machine de froid : condenseur.</v>
      </c>
      <c r="BX48" s="28" t="str">
        <f>X!G431</f>
        <v>La temperatura media dell'acqua di raffreddamento di ritorno è la temperatura d'ingresso del refrigerante di ritorno nella parte calda della macchina frigorifera.</v>
      </c>
    </row>
    <row r="49" spans="2:76" s="28" customFormat="1" ht="17.100000000000001" customHeight="1">
      <c r="B49" s="117"/>
      <c r="C49" s="489"/>
      <c r="D49" s="98"/>
      <c r="E49" s="98"/>
      <c r="F49" s="98"/>
      <c r="G49" s="98"/>
      <c r="H49" s="98"/>
      <c r="I49" s="98"/>
      <c r="J49" s="98"/>
      <c r="K49" s="98"/>
      <c r="L49" s="98"/>
      <c r="M49" s="98"/>
      <c r="N49" s="98"/>
      <c r="O49" s="98"/>
      <c r="P49" s="122"/>
      <c r="Q49" s="98"/>
      <c r="R49" s="98"/>
      <c r="S49" s="135"/>
      <c r="T49" s="135"/>
      <c r="U49" s="135"/>
      <c r="V49" s="98"/>
      <c r="W49" s="136"/>
      <c r="X49" s="136"/>
      <c r="Y49" s="136"/>
      <c r="Z49" s="136"/>
      <c r="AA49" s="136"/>
      <c r="AB49" s="136"/>
      <c r="AC49" s="136"/>
      <c r="AD49" s="136"/>
      <c r="AE49" s="136"/>
      <c r="AF49" s="98"/>
      <c r="AG49" s="98"/>
      <c r="AH49" s="98"/>
      <c r="AI49" s="98"/>
      <c r="AJ49" s="98"/>
      <c r="AK49" s="98"/>
      <c r="AL49" s="98"/>
      <c r="AM49" s="98"/>
      <c r="AN49" s="98"/>
      <c r="AO49" s="98"/>
      <c r="AP49" s="98"/>
      <c r="AQ49" s="135"/>
      <c r="AR49" s="135"/>
      <c r="AS49" s="135"/>
      <c r="AT49" s="98"/>
      <c r="AU49" s="136"/>
      <c r="AV49" s="136"/>
      <c r="AW49" s="136"/>
      <c r="AX49" s="136"/>
      <c r="AY49" s="136"/>
      <c r="AZ49" s="136"/>
      <c r="BA49" s="136"/>
      <c r="BB49" s="136"/>
      <c r="BC49" s="136"/>
      <c r="BD49" s="55"/>
      <c r="BE49" s="55"/>
      <c r="BF49" s="55"/>
      <c r="BG49" s="55"/>
      <c r="BH49" s="52"/>
      <c r="BI49" s="55"/>
      <c r="BJ49" s="121"/>
    </row>
    <row r="50" spans="2:76" ht="17.100000000000001" customHeight="1">
      <c r="B50" s="147"/>
      <c r="C50" s="474"/>
      <c r="D50" s="98"/>
      <c r="E50" s="98"/>
      <c r="F50" s="98"/>
      <c r="G50" s="98"/>
      <c r="H50" s="98"/>
      <c r="I50" s="98"/>
      <c r="J50" s="98"/>
      <c r="K50" s="98"/>
      <c r="L50" s="98"/>
      <c r="M50" s="98"/>
      <c r="N50" s="98"/>
      <c r="O50" s="98"/>
      <c r="P50" s="122"/>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3"/>
      <c r="AU50" s="52"/>
      <c r="AV50" s="52"/>
      <c r="AW50" s="52"/>
      <c r="AX50" s="52"/>
      <c r="AY50" s="52"/>
      <c r="AZ50" s="52"/>
      <c r="BA50" s="52"/>
      <c r="BB50" s="52"/>
      <c r="BC50" s="52"/>
      <c r="BD50" s="52"/>
      <c r="BE50" s="52"/>
      <c r="BF50" s="52"/>
      <c r="BG50" s="52"/>
      <c r="BH50" s="52"/>
      <c r="BI50" s="52"/>
      <c r="BJ50" s="152"/>
    </row>
    <row r="51" spans="2:76" ht="17.100000000000001" customHeight="1">
      <c r="B51" s="147"/>
      <c r="C51" s="495">
        <v>2.2000000000000002</v>
      </c>
      <c r="D51" s="544" t="str">
        <f>X!$C$177</f>
        <v>Technische Daten</v>
      </c>
      <c r="E51" s="144"/>
      <c r="F51" s="144"/>
      <c r="G51" s="98"/>
      <c r="H51" s="98"/>
      <c r="I51" s="98"/>
      <c r="J51" s="98"/>
      <c r="K51" s="98"/>
      <c r="L51" s="98"/>
      <c r="M51" s="98"/>
      <c r="N51" s="98"/>
      <c r="O51" s="98"/>
      <c r="P51" s="122"/>
      <c r="Q51" s="98"/>
      <c r="R51" s="98"/>
      <c r="S51" s="98"/>
      <c r="T51" s="98"/>
      <c r="U51" s="98"/>
      <c r="V51" s="98"/>
      <c r="W51" s="98"/>
      <c r="X51" s="98"/>
      <c r="Y51" s="98"/>
      <c r="Z51" s="98"/>
      <c r="AA51" s="52"/>
      <c r="AB51" s="52"/>
      <c r="AC51" s="52"/>
      <c r="AD51" s="52"/>
      <c r="AE51" s="52"/>
      <c r="AF51" s="52"/>
      <c r="AG51" s="52"/>
      <c r="AH51" s="52"/>
      <c r="AI51" s="52"/>
      <c r="AJ51" s="52"/>
      <c r="AK51" s="52"/>
      <c r="AL51" s="52"/>
      <c r="AM51" s="52"/>
      <c r="AN51" s="52"/>
      <c r="AO51" s="52"/>
      <c r="AP51" s="52"/>
      <c r="AQ51" s="52"/>
      <c r="AR51" s="92"/>
      <c r="AS51" s="52"/>
      <c r="AT51" s="93"/>
      <c r="AU51" s="52"/>
      <c r="AV51" s="52"/>
      <c r="AW51" s="52"/>
      <c r="AX51" s="52"/>
      <c r="AY51" s="52"/>
      <c r="AZ51" s="52"/>
      <c r="BA51" s="52"/>
      <c r="BB51" s="52"/>
      <c r="BC51" s="52"/>
      <c r="BD51" s="52"/>
      <c r="BE51" s="52"/>
      <c r="BF51" s="52"/>
      <c r="BG51" s="52"/>
      <c r="BH51" s="52"/>
      <c r="BI51" s="52"/>
      <c r="BJ51" s="152"/>
    </row>
    <row r="52" spans="2:76" s="28" customFormat="1" ht="6" customHeight="1">
      <c r="B52" s="117"/>
      <c r="C52" s="474"/>
      <c r="D52" s="98"/>
      <c r="E52" s="98"/>
      <c r="F52" s="98"/>
      <c r="G52" s="98"/>
      <c r="H52" s="98"/>
      <c r="I52" s="98"/>
      <c r="J52" s="98"/>
      <c r="K52" s="98"/>
      <c r="L52" s="98"/>
      <c r="M52" s="98"/>
      <c r="N52" s="98"/>
      <c r="O52" s="98"/>
      <c r="P52" s="122"/>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55"/>
      <c r="AW52" s="55"/>
      <c r="AX52" s="55"/>
      <c r="AY52" s="55"/>
      <c r="AZ52" s="55"/>
      <c r="BA52" s="55"/>
      <c r="BB52" s="55"/>
      <c r="BC52" s="55"/>
      <c r="BD52" s="55"/>
      <c r="BE52" s="55"/>
      <c r="BF52" s="55"/>
      <c r="BG52" s="55"/>
      <c r="BH52" s="55"/>
      <c r="BI52" s="55"/>
      <c r="BJ52" s="121"/>
    </row>
    <row r="53" spans="2:76" s="28" customFormat="1" ht="17.100000000000001" customHeight="1">
      <c r="B53" s="117"/>
      <c r="C53" s="489"/>
      <c r="D53" s="535" t="str">
        <f>X!$C$142</f>
        <v>Kälteleistung der Maschinen</v>
      </c>
      <c r="E53" s="98"/>
      <c r="F53" s="98"/>
      <c r="G53" s="55"/>
      <c r="H53" s="98"/>
      <c r="I53" s="55"/>
      <c r="J53" s="55"/>
      <c r="K53" s="98"/>
      <c r="L53" s="98"/>
      <c r="M53" s="55"/>
      <c r="N53" s="55"/>
      <c r="O53" s="55"/>
      <c r="P53" s="122" t="s">
        <v>106</v>
      </c>
      <c r="Q53" s="55"/>
      <c r="R53" s="98"/>
      <c r="S53" s="1653"/>
      <c r="T53" s="1653"/>
      <c r="U53" s="1654"/>
      <c r="V53" s="98"/>
      <c r="W53" s="98"/>
      <c r="X53" s="98"/>
      <c r="Y53" s="98"/>
      <c r="Z53" s="98"/>
      <c r="AA53" s="98"/>
      <c r="AB53" s="98"/>
      <c r="AC53" s="98"/>
      <c r="AD53" s="98"/>
      <c r="AE53" s="98"/>
      <c r="AF53" s="98"/>
      <c r="AG53" s="98"/>
      <c r="AH53" s="98"/>
      <c r="AI53" s="98"/>
      <c r="AJ53" s="98"/>
      <c r="AK53" s="98"/>
      <c r="AL53" s="98"/>
      <c r="AM53" s="98"/>
      <c r="AN53" s="98"/>
      <c r="AO53" s="98"/>
      <c r="AP53" s="98"/>
      <c r="AQ53" s="1653"/>
      <c r="AR53" s="1653"/>
      <c r="AS53" s="1654"/>
      <c r="AT53" s="98"/>
      <c r="AU53" s="98"/>
      <c r="AV53" s="55"/>
      <c r="AW53" s="55"/>
      <c r="AX53" s="55"/>
      <c r="AY53" s="55"/>
      <c r="AZ53" s="55"/>
      <c r="BA53" s="55"/>
      <c r="BB53" s="55"/>
      <c r="BC53" s="55"/>
      <c r="BD53" s="55"/>
      <c r="BE53" s="55"/>
      <c r="BF53" s="55"/>
      <c r="BG53" s="55"/>
      <c r="BH53" s="55"/>
      <c r="BI53" s="55"/>
      <c r="BJ53" s="121"/>
    </row>
    <row r="54" spans="2:76" s="28" customFormat="1" ht="6" customHeight="1">
      <c r="B54" s="117"/>
      <c r="C54" s="489"/>
      <c r="D54" s="118"/>
      <c r="E54" s="118"/>
      <c r="F54" s="118"/>
      <c r="G54" s="118"/>
      <c r="H54" s="118"/>
      <c r="I54" s="118"/>
      <c r="J54" s="118"/>
      <c r="K54" s="118"/>
      <c r="L54" s="118"/>
      <c r="M54" s="118"/>
      <c r="N54" s="118"/>
      <c r="O54" s="118"/>
      <c r="P54" s="119"/>
      <c r="Q54" s="118"/>
      <c r="R54" s="118"/>
      <c r="S54" s="118"/>
      <c r="T54" s="118"/>
      <c r="U54" s="118"/>
      <c r="V54" s="118"/>
      <c r="W54" s="118"/>
      <c r="X54" s="118"/>
      <c r="Y54" s="118"/>
      <c r="Z54" s="118"/>
      <c r="AA54" s="55"/>
      <c r="AB54" s="55"/>
      <c r="AC54" s="55"/>
      <c r="AD54" s="55"/>
      <c r="AE54" s="55"/>
      <c r="AF54" s="55"/>
      <c r="AG54" s="55"/>
      <c r="AH54" s="55"/>
      <c r="AI54" s="55"/>
      <c r="AJ54" s="55"/>
      <c r="AK54" s="55"/>
      <c r="AL54" s="640"/>
      <c r="AM54" s="55"/>
      <c r="AN54" s="595"/>
      <c r="AO54" s="595"/>
      <c r="AP54" s="55"/>
      <c r="AQ54" s="118"/>
      <c r="AR54" s="118"/>
      <c r="AS54" s="118"/>
      <c r="AT54" s="120"/>
      <c r="AU54" s="55"/>
      <c r="AV54" s="55"/>
      <c r="AW54" s="55"/>
      <c r="AX54" s="55"/>
      <c r="AY54" s="55"/>
      <c r="AZ54" s="55"/>
      <c r="BA54" s="55"/>
      <c r="BB54" s="55"/>
      <c r="BC54" s="55"/>
      <c r="BD54" s="55"/>
      <c r="BE54" s="55"/>
      <c r="BF54" s="55"/>
      <c r="BG54" s="55"/>
      <c r="BH54" s="55"/>
      <c r="BI54" s="55"/>
      <c r="BJ54" s="121"/>
    </row>
    <row r="55" spans="2:76" s="28" customFormat="1" ht="17.100000000000001" customHeight="1">
      <c r="B55" s="117"/>
      <c r="C55" s="489"/>
      <c r="D55" s="535" t="str">
        <f>X!$C$89</f>
        <v>elektrische Leistungsaufnahme</v>
      </c>
      <c r="E55" s="98"/>
      <c r="F55" s="98"/>
      <c r="G55" s="55"/>
      <c r="H55" s="98"/>
      <c r="I55" s="98"/>
      <c r="J55" s="98"/>
      <c r="K55" s="98"/>
      <c r="L55" s="98"/>
      <c r="M55" s="98"/>
      <c r="N55" s="98"/>
      <c r="O55" s="98"/>
      <c r="P55" s="122" t="s">
        <v>106</v>
      </c>
      <c r="Q55" s="98"/>
      <c r="R55" s="98"/>
      <c r="S55" s="1653"/>
      <c r="T55" s="1653"/>
      <c r="U55" s="1654"/>
      <c r="V55" s="98"/>
      <c r="W55" s="136"/>
      <c r="X55" s="136"/>
      <c r="Y55" s="136"/>
      <c r="Z55" s="136"/>
      <c r="AA55" s="136"/>
      <c r="AB55" s="136"/>
      <c r="AC55" s="136"/>
      <c r="AD55" s="136"/>
      <c r="AE55" s="136"/>
      <c r="AF55" s="98"/>
      <c r="AG55" s="98"/>
      <c r="AH55" s="98"/>
      <c r="AI55" s="98"/>
      <c r="AJ55" s="98"/>
      <c r="AK55" s="98"/>
      <c r="AL55" s="98"/>
      <c r="AM55" s="98"/>
      <c r="AN55" s="98"/>
      <c r="AO55" s="98"/>
      <c r="AP55" s="98"/>
      <c r="AQ55" s="1653"/>
      <c r="AR55" s="1653"/>
      <c r="AS55" s="1654"/>
      <c r="AT55" s="98"/>
      <c r="AU55" s="136"/>
      <c r="AV55" s="136"/>
      <c r="AW55" s="136"/>
      <c r="AX55" s="136"/>
      <c r="AY55" s="136"/>
      <c r="AZ55" s="136"/>
      <c r="BA55" s="136"/>
      <c r="BB55" s="136"/>
      <c r="BC55" s="136"/>
      <c r="BD55" s="55"/>
      <c r="BE55" s="55"/>
      <c r="BF55" s="55"/>
      <c r="BG55" s="55"/>
      <c r="BH55" s="55"/>
      <c r="BI55" s="55"/>
      <c r="BJ55" s="121"/>
    </row>
    <row r="56" spans="2:76" s="28" customFormat="1" ht="6" customHeight="1">
      <c r="B56" s="117"/>
      <c r="C56" s="489"/>
      <c r="D56" s="98"/>
      <c r="E56" s="98"/>
      <c r="F56" s="98"/>
      <c r="G56" s="98"/>
      <c r="H56" s="98"/>
      <c r="I56" s="98"/>
      <c r="J56" s="98"/>
      <c r="K56" s="98"/>
      <c r="L56" s="98"/>
      <c r="M56" s="98"/>
      <c r="N56" s="98"/>
      <c r="O56" s="98"/>
      <c r="P56" s="122"/>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55"/>
      <c r="AW56" s="55"/>
      <c r="AX56" s="55"/>
      <c r="AY56" s="55"/>
      <c r="AZ56" s="55"/>
      <c r="BA56" s="55"/>
      <c r="BB56" s="55"/>
      <c r="BC56" s="55"/>
      <c r="BD56" s="55"/>
      <c r="BE56" s="55"/>
      <c r="BF56" s="55"/>
      <c r="BG56" s="55"/>
      <c r="BH56" s="55"/>
      <c r="BI56" s="55"/>
      <c r="BJ56" s="121"/>
    </row>
    <row r="57" spans="2:76" s="28" customFormat="1" ht="17.100000000000001" customHeight="1">
      <c r="B57" s="117"/>
      <c r="C57" s="489"/>
      <c r="D57" s="535" t="str">
        <f>X!$C$107</f>
        <v>SEER-Wert Maschine</v>
      </c>
      <c r="E57" s="98"/>
      <c r="F57" s="98"/>
      <c r="G57" s="55"/>
      <c r="H57" s="98"/>
      <c r="I57" s="98"/>
      <c r="J57" s="98"/>
      <c r="K57" s="98"/>
      <c r="L57" s="98"/>
      <c r="M57" s="98"/>
      <c r="N57" s="98"/>
      <c r="O57" s="98"/>
      <c r="P57" s="122" t="s">
        <v>16</v>
      </c>
      <c r="Q57" s="98"/>
      <c r="R57" s="98"/>
      <c r="S57" s="1607"/>
      <c r="T57" s="1607"/>
      <c r="U57" s="1608"/>
      <c r="V57" s="98"/>
      <c r="W57" s="136"/>
      <c r="X57" s="136"/>
      <c r="Y57" s="136"/>
      <c r="Z57" s="136"/>
      <c r="AA57" s="136"/>
      <c r="AB57" s="136"/>
      <c r="AC57" s="136"/>
      <c r="AD57" s="136"/>
      <c r="AE57" s="136"/>
      <c r="AF57" s="98"/>
      <c r="AG57" s="98"/>
      <c r="AH57" s="98"/>
      <c r="AI57" s="98"/>
      <c r="AJ57" s="98"/>
      <c r="AK57" s="98"/>
      <c r="AL57" s="98"/>
      <c r="AM57" s="612" t="s">
        <v>292</v>
      </c>
      <c r="AN57" s="612" t="s">
        <v>292</v>
      </c>
      <c r="AO57" s="612" t="s">
        <v>292</v>
      </c>
      <c r="AP57" s="98"/>
      <c r="AQ57" s="1607"/>
      <c r="AR57" s="1607"/>
      <c r="AS57" s="1608"/>
      <c r="AT57" s="98"/>
      <c r="AU57" s="136"/>
      <c r="AV57" s="136"/>
      <c r="AW57" s="136"/>
      <c r="AX57" s="136"/>
      <c r="AY57" s="136"/>
      <c r="AZ57" s="136"/>
      <c r="BA57" s="136"/>
      <c r="BB57" s="136"/>
      <c r="BC57" s="136"/>
      <c r="BD57" s="55"/>
      <c r="BE57" s="55"/>
      <c r="BF57" s="55"/>
      <c r="BG57" s="55"/>
      <c r="BH57" s="55"/>
      <c r="BI57" s="55"/>
      <c r="BJ57" s="121"/>
      <c r="BN57" s="803" t="s">
        <v>911</v>
      </c>
      <c r="BQ57" s="531">
        <f>LEN(BV57)</f>
        <v>210</v>
      </c>
      <c r="BR57" s="531">
        <f>LEN(BW57)</f>
        <v>224</v>
      </c>
      <c r="BS57" s="531">
        <f>LEN(BX57)</f>
        <v>218</v>
      </c>
      <c r="BT57" s="531"/>
      <c r="BU57" s="28" t="s">
        <v>417</v>
      </c>
      <c r="BV57" s="28" t="str">
        <f>X!E432</f>
        <v>Der ESEER (European Seasonal Energy Efficiency Ratio) berücksichtigt die unterschiedliche effizienz der Kältemaschine im Teillastbetrieb. Der ESEER-Wert wird in den technischen Angaben zur Maschine ausgewiesen.</v>
      </c>
      <c r="BW57" s="28" t="str">
        <f>X!F432</f>
        <v>L'ESEER (European Seasonal Energy Efficiency Ratio) tient compte de l'efficacité de la machine de froid en différents mode de charge partielle. La valeur ESEER est indiquée dans les caractéristiques techniques de la machine.</v>
      </c>
      <c r="BX57" s="28" t="str">
        <f>X!G432</f>
        <v>L'ESEER (European Seasonal Energy Efficiency Ratio) tiene conto della diversa efficienza della macchina di refrigerazione nel funzionamento a carico parziale. Il valore ESEER è indicato nei dati tecnici della macchina.</v>
      </c>
    </row>
    <row r="58" spans="2:76" s="28" customFormat="1" ht="6" customHeight="1">
      <c r="B58" s="117"/>
      <c r="C58" s="968"/>
      <c r="D58" s="98"/>
      <c r="E58" s="98"/>
      <c r="F58" s="98"/>
      <c r="G58" s="98"/>
      <c r="H58" s="98"/>
      <c r="I58" s="98"/>
      <c r="J58" s="98"/>
      <c r="K58" s="98"/>
      <c r="L58" s="98"/>
      <c r="M58" s="98"/>
      <c r="N58" s="98"/>
      <c r="O58" s="98"/>
      <c r="P58" s="122"/>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640"/>
      <c r="AW58" s="640"/>
      <c r="AX58" s="640"/>
      <c r="AY58" s="640"/>
      <c r="AZ58" s="640"/>
      <c r="BA58" s="640"/>
      <c r="BB58" s="640"/>
      <c r="BC58" s="640"/>
      <c r="BD58" s="640"/>
      <c r="BE58" s="640"/>
      <c r="BF58" s="640"/>
      <c r="BG58" s="640"/>
      <c r="BH58" s="640"/>
      <c r="BI58" s="640"/>
      <c r="BJ58" s="121"/>
    </row>
    <row r="59" spans="2:76" s="28" customFormat="1" ht="17.100000000000001" customHeight="1">
      <c r="B59" s="117"/>
      <c r="C59" s="968"/>
      <c r="D59" s="547" t="str">
        <f>X!C145</f>
        <v>Kältemittel</v>
      </c>
      <c r="E59" s="98"/>
      <c r="F59" s="98"/>
      <c r="G59" s="640"/>
      <c r="H59" s="98"/>
      <c r="I59" s="98"/>
      <c r="J59" s="98"/>
      <c r="K59" s="98"/>
      <c r="L59" s="98"/>
      <c r="M59" s="98"/>
      <c r="N59" s="98"/>
      <c r="O59" s="98"/>
      <c r="P59" s="122" t="s">
        <v>16</v>
      </c>
      <c r="Q59" s="98"/>
      <c r="R59" s="98"/>
      <c r="S59" s="98"/>
      <c r="T59" s="98"/>
      <c r="U59" s="98"/>
      <c r="V59" s="98"/>
      <c r="W59" s="1526"/>
      <c r="X59" s="1526"/>
      <c r="Y59" s="1526"/>
      <c r="Z59" s="1526"/>
      <c r="AA59" s="1526"/>
      <c r="AB59" s="1526"/>
      <c r="AC59" s="1526"/>
      <c r="AD59" s="1526"/>
      <c r="AE59" s="1526"/>
      <c r="AF59" s="1526"/>
      <c r="AG59" s="1526"/>
      <c r="AH59" s="1526"/>
      <c r="AI59" s="1526"/>
      <c r="AJ59" s="1526"/>
      <c r="AK59" s="1527"/>
      <c r="AL59" s="98"/>
      <c r="AM59" s="98"/>
      <c r="AN59" s="98"/>
      <c r="AO59" s="98"/>
      <c r="AT59" s="98"/>
      <c r="AU59" s="1526"/>
      <c r="AV59" s="1526"/>
      <c r="AW59" s="1526"/>
      <c r="AX59" s="1526"/>
      <c r="AY59" s="1526"/>
      <c r="AZ59" s="1526"/>
      <c r="BA59" s="1526"/>
      <c r="BB59" s="1526"/>
      <c r="BC59" s="1526"/>
      <c r="BD59" s="1526"/>
      <c r="BE59" s="1526"/>
      <c r="BF59" s="1526"/>
      <c r="BG59" s="1526"/>
      <c r="BH59" s="1526"/>
      <c r="BI59" s="1527"/>
      <c r="BJ59" s="121"/>
      <c r="BN59" s="803" t="s">
        <v>911</v>
      </c>
      <c r="BQ59" s="967">
        <f>LEN(BV59)</f>
        <v>144</v>
      </c>
      <c r="BR59" s="967">
        <f>LEN(BW59)</f>
        <v>122</v>
      </c>
      <c r="BS59" s="967">
        <f>LEN(BX59)</f>
        <v>129</v>
      </c>
      <c r="BT59" s="967"/>
      <c r="BU59" s="28" t="s">
        <v>417</v>
      </c>
      <c r="BV59" s="28" t="str">
        <f>X!E434</f>
        <v>Falls es zusätzliche Hilfsbetriebe auf der «kalten Seite» gibt, die im ESEER noch nicht eingerechnet sind, können diese hier eingetragen werden.</v>
      </c>
      <c r="BW59" s="28" t="str">
        <f>X!F434</f>
        <v>S'il y a des unités auxiliaires supplémentaires du «côté froid» non intégrés dans l'ESEER, elles peuvent être saisies ici.</v>
      </c>
      <c r="BX59" s="28" t="str">
        <f>X!G434</f>
        <v>In presenza di aggregati ausiliari supplementari nella «parte freddo» non ancora calcolati nell'ESEER, è possibile inserirli qui.</v>
      </c>
    </row>
    <row r="60" spans="2:76" s="28" customFormat="1" ht="17.100000000000001" customHeight="1">
      <c r="B60" s="117"/>
      <c r="C60" s="474"/>
      <c r="D60" s="98"/>
      <c r="E60" s="98"/>
      <c r="F60" s="98"/>
      <c r="G60" s="98"/>
      <c r="H60" s="98"/>
      <c r="I60" s="98"/>
      <c r="J60" s="98"/>
      <c r="K60" s="98"/>
      <c r="L60" s="98"/>
      <c r="M60" s="98"/>
      <c r="N60" s="98"/>
      <c r="O60" s="98"/>
      <c r="P60" s="122"/>
      <c r="Q60" s="98"/>
      <c r="R60" s="98"/>
      <c r="S60" s="98"/>
      <c r="T60" s="98"/>
      <c r="U60" s="98"/>
      <c r="V60" s="98"/>
      <c r="W60" s="98"/>
      <c r="X60" s="98"/>
      <c r="Y60" s="98"/>
      <c r="Z60" s="98"/>
      <c r="AA60" s="153"/>
      <c r="AB60" s="153"/>
      <c r="AC60" s="153"/>
      <c r="AD60" s="153"/>
      <c r="AE60" s="153"/>
      <c r="AF60" s="98"/>
      <c r="AG60" s="98"/>
      <c r="AH60" s="98"/>
      <c r="AI60" s="98"/>
      <c r="AJ60" s="98"/>
      <c r="AK60" s="98"/>
      <c r="AL60" s="98"/>
      <c r="AM60" s="98"/>
      <c r="AN60" s="98"/>
      <c r="AO60" s="98"/>
      <c r="AP60" s="98"/>
      <c r="AQ60" s="98"/>
      <c r="AR60" s="98"/>
      <c r="AS60" s="98"/>
      <c r="AT60" s="98"/>
      <c r="AU60" s="55"/>
      <c r="AV60" s="55"/>
      <c r="AW60" s="55"/>
      <c r="AX60" s="55"/>
      <c r="AY60" s="55"/>
      <c r="AZ60" s="55"/>
      <c r="BA60" s="55"/>
      <c r="BB60" s="55"/>
      <c r="BC60" s="55"/>
      <c r="BD60" s="55"/>
      <c r="BE60" s="55"/>
      <c r="BF60" s="55"/>
      <c r="BG60" s="55"/>
      <c r="BH60" s="55"/>
      <c r="BI60" s="55"/>
      <c r="BJ60" s="121"/>
    </row>
    <row r="61" spans="2:76" s="28" customFormat="1" ht="17.100000000000001" customHeight="1">
      <c r="B61" s="117"/>
      <c r="C61" s="474"/>
      <c r="D61" s="98"/>
      <c r="E61" s="98"/>
      <c r="F61" s="98"/>
      <c r="G61" s="98"/>
      <c r="H61" s="98"/>
      <c r="I61" s="98"/>
      <c r="J61" s="98"/>
      <c r="K61" s="98"/>
      <c r="L61" s="98"/>
      <c r="M61" s="98"/>
      <c r="N61" s="98"/>
      <c r="O61" s="98"/>
      <c r="P61" s="122"/>
      <c r="Q61" s="98"/>
      <c r="R61" s="98"/>
      <c r="S61" s="98"/>
      <c r="T61" s="98"/>
      <c r="U61" s="98"/>
      <c r="V61" s="98"/>
      <c r="W61" s="98"/>
      <c r="X61" s="98"/>
      <c r="Y61" s="98"/>
      <c r="Z61" s="98"/>
      <c r="AA61" s="153"/>
      <c r="AB61" s="153"/>
      <c r="AC61" s="153"/>
      <c r="AD61" s="153"/>
      <c r="AE61" s="153"/>
      <c r="AF61" s="98"/>
      <c r="AG61" s="98"/>
      <c r="AH61" s="98"/>
      <c r="AI61" s="98"/>
      <c r="AJ61" s="98"/>
      <c r="AK61" s="98"/>
      <c r="AL61" s="98"/>
      <c r="AM61" s="98"/>
      <c r="AN61" s="98"/>
      <c r="AO61" s="98"/>
      <c r="AP61" s="98"/>
      <c r="AQ61" s="98"/>
      <c r="AR61" s="98"/>
      <c r="AS61" s="98"/>
      <c r="AT61" s="98"/>
      <c r="AU61" s="55"/>
      <c r="AV61" s="55"/>
      <c r="AW61" s="55"/>
      <c r="AX61" s="55"/>
      <c r="AY61" s="55"/>
      <c r="AZ61" s="55"/>
      <c r="BA61" s="55"/>
      <c r="BB61" s="55"/>
      <c r="BC61" s="55"/>
      <c r="BD61" s="55"/>
      <c r="BE61" s="55"/>
      <c r="BF61" s="55"/>
      <c r="BG61" s="55"/>
      <c r="BH61" s="55"/>
      <c r="BI61" s="55"/>
      <c r="BJ61" s="121"/>
    </row>
    <row r="62" spans="2:76" s="28" customFormat="1" ht="17.100000000000001" customHeight="1">
      <c r="B62" s="117"/>
      <c r="C62" s="495">
        <v>2.2999999999999998</v>
      </c>
      <c r="D62" s="544" t="str">
        <f>X!$C$122</f>
        <v>Hilfsbetriebe «warme Seite»</v>
      </c>
      <c r="E62" s="144"/>
      <c r="F62" s="144"/>
      <c r="G62" s="98"/>
      <c r="H62" s="98"/>
      <c r="I62" s="55"/>
      <c r="J62" s="55"/>
      <c r="K62" s="55"/>
      <c r="L62" s="55"/>
      <c r="M62" s="55"/>
      <c r="N62" s="55"/>
      <c r="O62" s="55"/>
      <c r="P62" s="55"/>
      <c r="Q62" s="55"/>
      <c r="R62" s="55"/>
      <c r="S62" s="535" t="str">
        <f>X!$C$191</f>
        <v>P elektrisch</v>
      </c>
      <c r="T62" s="98"/>
      <c r="U62" s="98"/>
      <c r="V62" s="55"/>
      <c r="W62" s="535" t="str">
        <f>X!$C$206</f>
        <v>Regelungsart</v>
      </c>
      <c r="X62" s="98"/>
      <c r="Y62" s="98"/>
      <c r="Z62" s="98"/>
      <c r="AA62" s="98"/>
      <c r="AB62" s="98"/>
      <c r="AC62" s="98"/>
      <c r="AD62" s="98"/>
      <c r="AE62" s="98"/>
      <c r="AF62" s="98"/>
      <c r="AG62" s="98"/>
      <c r="AH62" s="98"/>
      <c r="AI62" s="98"/>
      <c r="AJ62" s="98"/>
      <c r="AK62" s="98"/>
      <c r="AL62" s="98"/>
      <c r="AM62" s="98"/>
      <c r="AN62" s="98"/>
      <c r="AO62" s="98"/>
      <c r="AP62" s="362"/>
      <c r="AQ62" s="535" t="str">
        <f>X!$C$191</f>
        <v>P elektrisch</v>
      </c>
      <c r="AR62" s="98"/>
      <c r="AS62" s="98"/>
      <c r="AT62" s="55"/>
      <c r="AU62" s="535" t="str">
        <f>X!$C$206</f>
        <v>Regelungsart</v>
      </c>
      <c r="AV62" s="55"/>
      <c r="AW62" s="55"/>
      <c r="AX62" s="55"/>
      <c r="AY62" s="55"/>
      <c r="AZ62" s="55"/>
      <c r="BA62" s="55"/>
      <c r="BB62" s="55"/>
      <c r="BC62" s="55"/>
      <c r="BD62" s="55"/>
      <c r="BE62" s="55"/>
      <c r="BF62" s="55"/>
      <c r="BG62" s="55"/>
      <c r="BH62" s="55"/>
      <c r="BI62" s="55"/>
      <c r="BJ62" s="121"/>
    </row>
    <row r="63" spans="2:76" s="28" customFormat="1" ht="6" customHeight="1">
      <c r="B63" s="117"/>
      <c r="C63" s="474"/>
      <c r="D63" s="98"/>
      <c r="E63" s="98"/>
      <c r="F63" s="98"/>
      <c r="G63" s="98"/>
      <c r="H63" s="98"/>
      <c r="I63" s="98"/>
      <c r="J63" s="98"/>
      <c r="K63" s="98"/>
      <c r="L63" s="98"/>
      <c r="M63" s="98"/>
      <c r="N63" s="98"/>
      <c r="O63" s="98"/>
      <c r="P63" s="122"/>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55"/>
      <c r="AW63" s="55"/>
      <c r="AX63" s="55"/>
      <c r="AY63" s="55"/>
      <c r="AZ63" s="55"/>
      <c r="BA63" s="55"/>
      <c r="BB63" s="55"/>
      <c r="BC63" s="55"/>
      <c r="BD63" s="55"/>
      <c r="BE63" s="55"/>
      <c r="BF63" s="55"/>
      <c r="BG63" s="55"/>
      <c r="BH63" s="55"/>
      <c r="BI63" s="55"/>
      <c r="BJ63" s="121"/>
    </row>
    <row r="64" spans="2:76" s="155" customFormat="1" ht="17.100000000000001" customHeight="1">
      <c r="B64" s="154"/>
      <c r="C64" s="491"/>
      <c r="D64" s="537" t="str">
        <f>X!$C$196</f>
        <v xml:space="preserve">Pumpen im Rückkühlkreis </v>
      </c>
      <c r="E64" s="122"/>
      <c r="F64" s="122"/>
      <c r="G64" s="156"/>
      <c r="H64" s="122"/>
      <c r="I64" s="122"/>
      <c r="J64" s="122"/>
      <c r="K64" s="122"/>
      <c r="L64" s="122"/>
      <c r="M64" s="122"/>
      <c r="N64" s="122"/>
      <c r="O64" s="122"/>
      <c r="P64" s="122" t="s">
        <v>106</v>
      </c>
      <c r="Q64" s="122"/>
      <c r="R64" s="122"/>
      <c r="S64" s="1607"/>
      <c r="T64" s="1607"/>
      <c r="U64" s="1608"/>
      <c r="V64" s="98"/>
      <c r="W64" s="1526"/>
      <c r="X64" s="1526"/>
      <c r="Y64" s="1526"/>
      <c r="Z64" s="1526"/>
      <c r="AA64" s="1526"/>
      <c r="AB64" s="1526"/>
      <c r="AC64" s="1526"/>
      <c r="AD64" s="1526"/>
      <c r="AE64" s="1526"/>
      <c r="AF64" s="1526"/>
      <c r="AG64" s="1526"/>
      <c r="AH64" s="1526"/>
      <c r="AI64" s="1526"/>
      <c r="AJ64" s="1526"/>
      <c r="AK64" s="1527"/>
      <c r="AL64" s="212"/>
      <c r="AM64" s="98"/>
      <c r="AN64" s="98"/>
      <c r="AO64" s="98"/>
      <c r="AP64" s="98"/>
      <c r="AQ64" s="1607"/>
      <c r="AR64" s="1607"/>
      <c r="AS64" s="1608"/>
      <c r="AT64" s="98"/>
      <c r="AU64" s="1526"/>
      <c r="AV64" s="1526"/>
      <c r="AW64" s="1526"/>
      <c r="AX64" s="1526"/>
      <c r="AY64" s="1526"/>
      <c r="AZ64" s="1526"/>
      <c r="BA64" s="1526"/>
      <c r="BB64" s="1526"/>
      <c r="BC64" s="1526"/>
      <c r="BD64" s="1526"/>
      <c r="BE64" s="1526"/>
      <c r="BF64" s="1526"/>
      <c r="BG64" s="1526"/>
      <c r="BH64" s="1526"/>
      <c r="BI64" s="1527"/>
      <c r="BJ64" s="157"/>
    </row>
    <row r="65" spans="2:76" s="28" customFormat="1" ht="6" customHeight="1">
      <c r="B65" s="117"/>
      <c r="C65" s="489"/>
      <c r="D65" s="98"/>
      <c r="E65" s="98"/>
      <c r="F65" s="98"/>
      <c r="G65" s="55"/>
      <c r="H65" s="98"/>
      <c r="I65" s="98"/>
      <c r="J65" s="98"/>
      <c r="K65" s="98"/>
      <c r="L65" s="98"/>
      <c r="M65" s="98"/>
      <c r="N65" s="98"/>
      <c r="O65" s="98"/>
      <c r="P65" s="122"/>
      <c r="Q65" s="98"/>
      <c r="R65" s="98"/>
      <c r="S65" s="158"/>
      <c r="T65" s="158"/>
      <c r="U65" s="158"/>
      <c r="V65" s="98"/>
      <c r="W65" s="98"/>
      <c r="X65" s="98"/>
      <c r="Y65" s="98"/>
      <c r="Z65" s="98"/>
      <c r="AA65" s="98"/>
      <c r="AB65" s="98"/>
      <c r="AC65" s="98"/>
      <c r="AD65" s="98"/>
      <c r="AE65" s="98"/>
      <c r="AF65" s="98"/>
      <c r="AG65" s="98"/>
      <c r="AH65" s="98"/>
      <c r="AI65" s="98"/>
      <c r="AJ65" s="98"/>
      <c r="AK65" s="98"/>
      <c r="AL65" s="98"/>
      <c r="AM65" s="98"/>
      <c r="AN65" s="98"/>
      <c r="AO65" s="98"/>
      <c r="AP65" s="98"/>
      <c r="AQ65" s="158"/>
      <c r="AR65" s="158"/>
      <c r="AS65" s="158"/>
      <c r="AT65" s="98"/>
      <c r="AU65" s="98"/>
      <c r="AV65" s="98"/>
      <c r="AW65" s="98"/>
      <c r="AX65" s="98"/>
      <c r="AY65" s="98"/>
      <c r="AZ65" s="98"/>
      <c r="BA65" s="98"/>
      <c r="BB65" s="98"/>
      <c r="BC65" s="98"/>
      <c r="BD65" s="98"/>
      <c r="BE65" s="98"/>
      <c r="BF65" s="98"/>
      <c r="BG65" s="98"/>
      <c r="BH65" s="98"/>
      <c r="BI65" s="98"/>
      <c r="BJ65" s="121"/>
    </row>
    <row r="66" spans="2:76" s="28" customFormat="1" ht="17.100000000000001" customHeight="1">
      <c r="B66" s="117"/>
      <c r="C66" s="489"/>
      <c r="D66" s="535" t="str">
        <f>X!$C$126</f>
        <v>Innen-Pumpen für die Besprühung</v>
      </c>
      <c r="E66" s="98"/>
      <c r="F66" s="98"/>
      <c r="G66" s="55"/>
      <c r="H66" s="98"/>
      <c r="I66" s="98"/>
      <c r="J66" s="98"/>
      <c r="K66" s="98"/>
      <c r="L66" s="98"/>
      <c r="M66" s="98"/>
      <c r="N66" s="98"/>
      <c r="O66" s="98"/>
      <c r="P66" s="122" t="s">
        <v>106</v>
      </c>
      <c r="Q66" s="98"/>
      <c r="R66" s="98"/>
      <c r="S66" s="1607"/>
      <c r="T66" s="1607"/>
      <c r="U66" s="1608"/>
      <c r="V66" s="98"/>
      <c r="W66" s="1655"/>
      <c r="X66" s="1526"/>
      <c r="Y66" s="1526"/>
      <c r="Z66" s="1526"/>
      <c r="AA66" s="1526"/>
      <c r="AB66" s="1526"/>
      <c r="AC66" s="1526"/>
      <c r="AD66" s="1526"/>
      <c r="AE66" s="1526"/>
      <c r="AF66" s="1526"/>
      <c r="AG66" s="1526"/>
      <c r="AH66" s="1526"/>
      <c r="AI66" s="1526"/>
      <c r="AJ66" s="1526"/>
      <c r="AK66" s="1527"/>
      <c r="AL66" s="212"/>
      <c r="AM66" s="98"/>
      <c r="AN66" s="98"/>
      <c r="AO66" s="98"/>
      <c r="AP66" s="98"/>
      <c r="AQ66" s="1607"/>
      <c r="AR66" s="1607"/>
      <c r="AS66" s="1608"/>
      <c r="AT66" s="98"/>
      <c r="AU66" s="1526"/>
      <c r="AV66" s="1526"/>
      <c r="AW66" s="1526"/>
      <c r="AX66" s="1526"/>
      <c r="AY66" s="1526"/>
      <c r="AZ66" s="1526"/>
      <c r="BA66" s="1526"/>
      <c r="BB66" s="1526"/>
      <c r="BC66" s="1526"/>
      <c r="BD66" s="1526"/>
      <c r="BE66" s="1526"/>
      <c r="BF66" s="1526"/>
      <c r="BG66" s="1526"/>
      <c r="BH66" s="1526"/>
      <c r="BI66" s="1527"/>
      <c r="BJ66" s="121"/>
      <c r="BN66" s="760" t="s">
        <v>885</v>
      </c>
    </row>
    <row r="67" spans="2:76" s="28" customFormat="1" ht="6" customHeight="1">
      <c r="B67" s="117"/>
      <c r="C67" s="489"/>
      <c r="D67" s="98"/>
      <c r="E67" s="98"/>
      <c r="F67" s="98"/>
      <c r="G67" s="55"/>
      <c r="H67" s="98"/>
      <c r="I67" s="98"/>
      <c r="J67" s="98"/>
      <c r="K67" s="98"/>
      <c r="L67" s="98"/>
      <c r="M67" s="98"/>
      <c r="N67" s="98"/>
      <c r="O67" s="98"/>
      <c r="P67" s="122"/>
      <c r="Q67" s="98"/>
      <c r="R67" s="98"/>
      <c r="S67" s="158"/>
      <c r="T67" s="158"/>
      <c r="U67" s="158"/>
      <c r="V67" s="98"/>
      <c r="W67" s="98"/>
      <c r="X67" s="98"/>
      <c r="Y67" s="98"/>
      <c r="Z67" s="98"/>
      <c r="AA67" s="98"/>
      <c r="AB67" s="98"/>
      <c r="AC67" s="98"/>
      <c r="AD67" s="98"/>
      <c r="AE67" s="98"/>
      <c r="AF67" s="98"/>
      <c r="AG67" s="98"/>
      <c r="AH67" s="98"/>
      <c r="AI67" s="98"/>
      <c r="AJ67" s="98"/>
      <c r="AK67" s="98"/>
      <c r="AL67" s="98"/>
      <c r="AM67" s="98"/>
      <c r="AN67" s="98"/>
      <c r="AO67" s="98"/>
      <c r="AP67" s="98"/>
      <c r="AQ67" s="158"/>
      <c r="AR67" s="158"/>
      <c r="AS67" s="158"/>
      <c r="AT67" s="98"/>
      <c r="AU67" s="98"/>
      <c r="AV67" s="98"/>
      <c r="AW67" s="98"/>
      <c r="AX67" s="98"/>
      <c r="AY67" s="98"/>
      <c r="AZ67" s="98"/>
      <c r="BA67" s="98"/>
      <c r="BB67" s="98"/>
      <c r="BC67" s="98"/>
      <c r="BD67" s="98"/>
      <c r="BE67" s="98"/>
      <c r="BF67" s="98"/>
      <c r="BG67" s="98"/>
      <c r="BH67" s="98"/>
      <c r="BI67" s="98"/>
      <c r="BJ67" s="121"/>
    </row>
    <row r="68" spans="2:76" s="28" customFormat="1" ht="17.100000000000001" customHeight="1">
      <c r="B68" s="117"/>
      <c r="C68" s="489"/>
      <c r="D68" s="535" t="str">
        <f>X!$C$242</f>
        <v>Ventilatoren Rückkühler/Kondensator</v>
      </c>
      <c r="E68" s="98"/>
      <c r="F68" s="98"/>
      <c r="G68" s="55"/>
      <c r="H68" s="98"/>
      <c r="I68" s="98"/>
      <c r="J68" s="98"/>
      <c r="K68" s="98"/>
      <c r="L68" s="98"/>
      <c r="M68" s="98"/>
      <c r="N68" s="98"/>
      <c r="O68" s="98"/>
      <c r="P68" s="122" t="s">
        <v>106</v>
      </c>
      <c r="Q68" s="98"/>
      <c r="R68" s="98"/>
      <c r="S68" s="1607"/>
      <c r="T68" s="1607"/>
      <c r="U68" s="1608"/>
      <c r="V68" s="98"/>
      <c r="W68" s="1526"/>
      <c r="X68" s="1526"/>
      <c r="Y68" s="1526"/>
      <c r="Z68" s="1526"/>
      <c r="AA68" s="1526"/>
      <c r="AB68" s="1526"/>
      <c r="AC68" s="1526"/>
      <c r="AD68" s="1526"/>
      <c r="AE68" s="1526"/>
      <c r="AF68" s="1526"/>
      <c r="AG68" s="1526"/>
      <c r="AH68" s="1526"/>
      <c r="AI68" s="1526"/>
      <c r="AJ68" s="1526"/>
      <c r="AK68" s="1527"/>
      <c r="AL68" s="212"/>
      <c r="AM68" s="98"/>
      <c r="AN68" s="98"/>
      <c r="AO68" s="98"/>
      <c r="AP68" s="98"/>
      <c r="AQ68" s="1607"/>
      <c r="AR68" s="1607"/>
      <c r="AS68" s="1608"/>
      <c r="AT68" s="98"/>
      <c r="AU68" s="1526"/>
      <c r="AV68" s="1526"/>
      <c r="AW68" s="1526"/>
      <c r="AX68" s="1526"/>
      <c r="AY68" s="1526"/>
      <c r="AZ68" s="1526"/>
      <c r="BA68" s="1526"/>
      <c r="BB68" s="1526"/>
      <c r="BC68" s="1526"/>
      <c r="BD68" s="1526"/>
      <c r="BE68" s="1526"/>
      <c r="BF68" s="1526"/>
      <c r="BG68" s="1526"/>
      <c r="BH68" s="1526"/>
      <c r="BI68" s="1527"/>
      <c r="BJ68" s="121"/>
      <c r="BN68" s="760" t="s">
        <v>886</v>
      </c>
    </row>
    <row r="69" spans="2:76" s="28" customFormat="1" ht="6" customHeight="1">
      <c r="B69" s="117"/>
      <c r="C69" s="474"/>
      <c r="D69" s="98"/>
      <c r="E69" s="98"/>
      <c r="F69" s="98"/>
      <c r="G69" s="55"/>
      <c r="H69" s="98"/>
      <c r="I69" s="98"/>
      <c r="J69" s="98"/>
      <c r="K69" s="98"/>
      <c r="L69" s="98"/>
      <c r="M69" s="98"/>
      <c r="N69" s="98"/>
      <c r="O69" s="98"/>
      <c r="P69" s="122"/>
      <c r="Q69" s="98"/>
      <c r="R69" s="98"/>
      <c r="S69" s="158"/>
      <c r="T69" s="158"/>
      <c r="U69" s="158"/>
      <c r="V69" s="98"/>
      <c r="W69" s="98"/>
      <c r="X69" s="98"/>
      <c r="Y69" s="98"/>
      <c r="Z69" s="98"/>
      <c r="AA69" s="98"/>
      <c r="AB69" s="98"/>
      <c r="AC69" s="98"/>
      <c r="AD69" s="98"/>
      <c r="AE69" s="98"/>
      <c r="AF69" s="98"/>
      <c r="AG69" s="98"/>
      <c r="AH69" s="98"/>
      <c r="AI69" s="98"/>
      <c r="AJ69" s="98"/>
      <c r="AK69" s="98"/>
      <c r="AL69" s="98"/>
      <c r="AM69" s="98"/>
      <c r="AN69" s="98"/>
      <c r="AO69" s="98"/>
      <c r="AP69" s="98"/>
      <c r="AQ69" s="158"/>
      <c r="AR69" s="158"/>
      <c r="AS69" s="158"/>
      <c r="AT69" s="98"/>
      <c r="AU69" s="98"/>
      <c r="AV69" s="98"/>
      <c r="AW69" s="98"/>
      <c r="AX69" s="98"/>
      <c r="AY69" s="98"/>
      <c r="AZ69" s="98"/>
      <c r="BA69" s="98"/>
      <c r="BB69" s="98"/>
      <c r="BC69" s="98"/>
      <c r="BD69" s="98"/>
      <c r="BE69" s="98"/>
      <c r="BF69" s="98"/>
      <c r="BG69" s="98"/>
      <c r="BH69" s="98"/>
      <c r="BI69" s="98"/>
      <c r="BJ69" s="121"/>
    </row>
    <row r="70" spans="2:76" s="28" customFormat="1" ht="17.100000000000001" customHeight="1">
      <c r="B70" s="117"/>
      <c r="C70" s="489"/>
      <c r="D70" s="1659"/>
      <c r="E70" s="1659"/>
      <c r="F70" s="1659"/>
      <c r="G70" s="1659"/>
      <c r="H70" s="1659"/>
      <c r="I70" s="1659"/>
      <c r="J70" s="1659"/>
      <c r="K70" s="1659"/>
      <c r="L70" s="1659"/>
      <c r="M70" s="1659"/>
      <c r="N70" s="1660"/>
      <c r="O70" s="98"/>
      <c r="P70" s="122" t="s">
        <v>106</v>
      </c>
      <c r="Q70" s="98"/>
      <c r="R70" s="98"/>
      <c r="S70" s="1607"/>
      <c r="T70" s="1607"/>
      <c r="U70" s="1608"/>
      <c r="V70" s="98"/>
      <c r="W70" s="1526"/>
      <c r="X70" s="1526"/>
      <c r="Y70" s="1526"/>
      <c r="Z70" s="1526"/>
      <c r="AA70" s="1526"/>
      <c r="AB70" s="1526"/>
      <c r="AC70" s="1526"/>
      <c r="AD70" s="1526"/>
      <c r="AE70" s="1526"/>
      <c r="AF70" s="1526"/>
      <c r="AG70" s="1526"/>
      <c r="AH70" s="1526"/>
      <c r="AI70" s="1526"/>
      <c r="AJ70" s="1526"/>
      <c r="AK70" s="1527"/>
      <c r="AL70" s="212"/>
      <c r="AM70" s="612" t="s">
        <v>292</v>
      </c>
      <c r="AN70" s="612" t="s">
        <v>292</v>
      </c>
      <c r="AO70" s="612" t="s">
        <v>292</v>
      </c>
      <c r="AP70" s="98"/>
      <c r="AQ70" s="1607"/>
      <c r="AR70" s="1607"/>
      <c r="AS70" s="1608"/>
      <c r="AT70" s="98"/>
      <c r="AU70" s="1526"/>
      <c r="AV70" s="1526"/>
      <c r="AW70" s="1526"/>
      <c r="AX70" s="1526"/>
      <c r="AY70" s="1526"/>
      <c r="AZ70" s="1526"/>
      <c r="BA70" s="1526"/>
      <c r="BB70" s="1526"/>
      <c r="BC70" s="1526"/>
      <c r="BD70" s="1526"/>
      <c r="BE70" s="1526"/>
      <c r="BF70" s="1526"/>
      <c r="BG70" s="1526"/>
      <c r="BH70" s="1526"/>
      <c r="BI70" s="1527"/>
      <c r="BJ70" s="121"/>
      <c r="BQ70" s="531">
        <f>LEN(BV70)</f>
        <v>101</v>
      </c>
      <c r="BR70" s="531"/>
      <c r="BS70" s="531"/>
      <c r="BT70" s="531"/>
      <c r="BU70" s="28" t="s">
        <v>418</v>
      </c>
      <c r="BV70" s="28" t="str">
        <f>X!E433</f>
        <v>Falls es zusätzliche Hilfsbetriebe auf der «warmen Seite» gibt, können diese hier eingetragen werden.</v>
      </c>
      <c r="BW70" s="28" t="str">
        <f>X!F433</f>
        <v>S'il y a des unités auxiliaires supplémentaires du «côté chaud»,elles peuvent être saisies ici.</v>
      </c>
      <c r="BX70" s="28" t="str">
        <f>X!G433</f>
        <v>In presenza di aggregati ausiliari supplementari nella «parte caldo» è possibile inserirli qui.</v>
      </c>
    </row>
    <row r="71" spans="2:76">
      <c r="B71" s="147"/>
      <c r="C71" s="477"/>
      <c r="D71" s="52"/>
      <c r="E71" s="52"/>
      <c r="F71" s="52"/>
      <c r="G71" s="52"/>
      <c r="H71" s="52"/>
      <c r="I71" s="52"/>
      <c r="J71" s="52"/>
      <c r="K71" s="52"/>
      <c r="L71" s="52"/>
      <c r="M71" s="52"/>
      <c r="N71" s="52"/>
      <c r="O71" s="52"/>
      <c r="P71" s="55"/>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152"/>
    </row>
    <row r="72" spans="2:76" ht="17.100000000000001" customHeight="1">
      <c r="B72" s="147"/>
      <c r="C72" s="477"/>
      <c r="D72" s="52"/>
      <c r="E72" s="52"/>
      <c r="F72" s="52"/>
      <c r="G72" s="52"/>
      <c r="H72" s="52"/>
      <c r="I72" s="52"/>
      <c r="J72" s="52"/>
      <c r="K72" s="52"/>
      <c r="L72" s="52"/>
      <c r="M72" s="52"/>
      <c r="N72" s="52"/>
      <c r="O72" s="52"/>
      <c r="P72" s="55"/>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152"/>
    </row>
    <row r="73" spans="2:76" s="28" customFormat="1" ht="17.100000000000001" customHeight="1">
      <c r="B73" s="117"/>
      <c r="C73" s="495">
        <v>2.4</v>
      </c>
      <c r="D73" s="544" t="str">
        <f>X!$C$121</f>
        <v>Hilfsbetriebe «kalte Seite»</v>
      </c>
      <c r="E73" s="144"/>
      <c r="F73" s="144"/>
      <c r="G73" s="98"/>
      <c r="H73" s="98"/>
      <c r="I73" s="55"/>
      <c r="J73" s="55"/>
      <c r="K73" s="55"/>
      <c r="L73" s="55"/>
      <c r="M73" s="55"/>
      <c r="N73" s="55"/>
      <c r="O73" s="55"/>
      <c r="P73" s="55"/>
      <c r="Q73" s="55"/>
      <c r="R73" s="55"/>
      <c r="S73" s="98" t="str">
        <f>S62</f>
        <v>P elektrisch</v>
      </c>
      <c r="T73" s="98"/>
      <c r="U73" s="98"/>
      <c r="V73" s="55"/>
      <c r="W73" s="98" t="str">
        <f>W62</f>
        <v>Regelungsart</v>
      </c>
      <c r="X73" s="98"/>
      <c r="Y73" s="98"/>
      <c r="Z73" s="98"/>
      <c r="AA73" s="98"/>
      <c r="AB73" s="98"/>
      <c r="AC73" s="98"/>
      <c r="AD73" s="98"/>
      <c r="AE73" s="98"/>
      <c r="AF73" s="98"/>
      <c r="AG73" s="98"/>
      <c r="AH73" s="98"/>
      <c r="AI73" s="98"/>
      <c r="AJ73" s="98"/>
      <c r="AK73" s="98"/>
      <c r="AL73" s="98"/>
      <c r="AM73" s="98"/>
      <c r="AN73" s="98"/>
      <c r="AO73" s="98"/>
      <c r="AP73" s="362"/>
      <c r="AQ73" s="98" t="str">
        <f>AQ62</f>
        <v>P elektrisch</v>
      </c>
      <c r="AR73" s="98"/>
      <c r="AS73" s="98"/>
      <c r="AT73" s="55"/>
      <c r="AU73" s="98" t="str">
        <f>AU62</f>
        <v>Regelungsart</v>
      </c>
      <c r="AV73" s="98"/>
      <c r="AW73" s="98"/>
      <c r="AX73" s="98"/>
      <c r="AY73" s="98"/>
      <c r="AZ73" s="98"/>
      <c r="BA73" s="98"/>
      <c r="BB73" s="98"/>
      <c r="BC73" s="98"/>
      <c r="BD73" s="98"/>
      <c r="BE73" s="98"/>
      <c r="BF73" s="98"/>
      <c r="BG73" s="98"/>
      <c r="BH73" s="98"/>
      <c r="BI73" s="98"/>
      <c r="BJ73" s="121"/>
    </row>
    <row r="74" spans="2:76" s="28" customFormat="1" ht="6" customHeight="1">
      <c r="B74" s="117"/>
      <c r="C74" s="474"/>
      <c r="D74" s="98"/>
      <c r="E74" s="98"/>
      <c r="F74" s="98"/>
      <c r="G74" s="98"/>
      <c r="H74" s="98"/>
      <c r="I74" s="98"/>
      <c r="J74" s="98"/>
      <c r="K74" s="98"/>
      <c r="L74" s="98"/>
      <c r="M74" s="98"/>
      <c r="N74" s="98"/>
      <c r="O74" s="98"/>
      <c r="P74" s="122"/>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121"/>
    </row>
    <row r="75" spans="2:76" s="28" customFormat="1" ht="17.100000000000001" customHeight="1">
      <c r="B75" s="117"/>
      <c r="C75" s="489"/>
      <c r="D75" s="1659"/>
      <c r="E75" s="1659"/>
      <c r="F75" s="1659"/>
      <c r="G75" s="1659"/>
      <c r="H75" s="1659"/>
      <c r="I75" s="1659"/>
      <c r="J75" s="1659"/>
      <c r="K75" s="1659"/>
      <c r="L75" s="1659"/>
      <c r="M75" s="1659"/>
      <c r="N75" s="1660"/>
      <c r="O75" s="98"/>
      <c r="P75" s="122" t="s">
        <v>106</v>
      </c>
      <c r="Q75" s="98"/>
      <c r="R75" s="98"/>
      <c r="S75" s="1607"/>
      <c r="T75" s="1607"/>
      <c r="U75" s="1608"/>
      <c r="V75" s="98"/>
      <c r="W75" s="1526"/>
      <c r="X75" s="1526"/>
      <c r="Y75" s="1526"/>
      <c r="Z75" s="1526"/>
      <c r="AA75" s="1526"/>
      <c r="AB75" s="1526"/>
      <c r="AC75" s="1526"/>
      <c r="AD75" s="1526"/>
      <c r="AE75" s="1526"/>
      <c r="AF75" s="1526"/>
      <c r="AG75" s="1526"/>
      <c r="AH75" s="1526"/>
      <c r="AI75" s="1526"/>
      <c r="AJ75" s="1526"/>
      <c r="AK75" s="1527"/>
      <c r="AL75" s="212"/>
      <c r="AM75" s="612" t="s">
        <v>292</v>
      </c>
      <c r="AN75" s="612" t="s">
        <v>292</v>
      </c>
      <c r="AO75" s="612" t="s">
        <v>292</v>
      </c>
      <c r="AP75" s="98"/>
      <c r="AQ75" s="1607"/>
      <c r="AR75" s="1607"/>
      <c r="AS75" s="1608"/>
      <c r="AT75" s="98"/>
      <c r="AU75" s="1526"/>
      <c r="AV75" s="1526"/>
      <c r="AW75" s="1526"/>
      <c r="AX75" s="1526"/>
      <c r="AY75" s="1526"/>
      <c r="AZ75" s="1526"/>
      <c r="BA75" s="1526"/>
      <c r="BB75" s="1526"/>
      <c r="BC75" s="1526"/>
      <c r="BD75" s="1526"/>
      <c r="BE75" s="1526"/>
      <c r="BF75" s="1526"/>
      <c r="BG75" s="1526"/>
      <c r="BH75" s="1526"/>
      <c r="BI75" s="1527"/>
      <c r="BJ75" s="121"/>
      <c r="BQ75" s="531">
        <f>LEN(BV75)</f>
        <v>144</v>
      </c>
      <c r="BR75" s="531"/>
      <c r="BS75" s="531"/>
      <c r="BT75" s="531"/>
      <c r="BU75" s="28" t="s">
        <v>419</v>
      </c>
      <c r="BV75" s="28" t="str">
        <f>X!E435</f>
        <v>Falls es zusätzliche Hilfsbetriebe auf der «kalten Seite» gibt, die im ESEER noch nicht eingerechnet sind, können diese hier eingetragen werden.</v>
      </c>
      <c r="BW75" s="28" t="str">
        <f>X!F435</f>
        <v>S'il y a des unités auxiliaires supplémentaires du «côté froid» non intégrés dans l'ESEER, elles peuvent être saisies ici.</v>
      </c>
      <c r="BX75" s="28" t="str">
        <f>X!G435</f>
        <v>In presenza di aggregati ausiliari supplementari nella «parte freddo» non ancora calcolati nell'ESEER, è possibile inserirli qui.</v>
      </c>
    </row>
    <row r="76" spans="2:76" s="28" customFormat="1" ht="6" customHeight="1">
      <c r="B76" s="117"/>
      <c r="C76" s="474"/>
      <c r="D76" s="98"/>
      <c r="E76" s="98"/>
      <c r="F76" s="98"/>
      <c r="G76" s="55"/>
      <c r="H76" s="98"/>
      <c r="I76" s="98"/>
      <c r="J76" s="98"/>
      <c r="K76" s="98"/>
      <c r="L76" s="98"/>
      <c r="M76" s="98"/>
      <c r="N76" s="98"/>
      <c r="O76" s="98"/>
      <c r="P76" s="122"/>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c r="BB76" s="98"/>
      <c r="BC76" s="98"/>
      <c r="BD76" s="98"/>
      <c r="BE76" s="98"/>
      <c r="BF76" s="98"/>
      <c r="BG76" s="98"/>
      <c r="BH76" s="98"/>
      <c r="BI76" s="98"/>
      <c r="BJ76" s="121"/>
    </row>
    <row r="77" spans="2:76" s="28" customFormat="1" ht="17.100000000000001" customHeight="1">
      <c r="B77" s="117"/>
      <c r="C77" s="489"/>
      <c r="D77" s="1659"/>
      <c r="E77" s="1659"/>
      <c r="F77" s="1659"/>
      <c r="G77" s="1659"/>
      <c r="H77" s="1659"/>
      <c r="I77" s="1659"/>
      <c r="J77" s="1659"/>
      <c r="K77" s="1659"/>
      <c r="L77" s="1659"/>
      <c r="M77" s="1659"/>
      <c r="N77" s="1660"/>
      <c r="O77" s="98"/>
      <c r="P77" s="122" t="s">
        <v>106</v>
      </c>
      <c r="Q77" s="98"/>
      <c r="R77" s="98"/>
      <c r="S77" s="1607"/>
      <c r="T77" s="1607"/>
      <c r="U77" s="1608"/>
      <c r="V77" s="98"/>
      <c r="W77" s="1526"/>
      <c r="X77" s="1526"/>
      <c r="Y77" s="1526"/>
      <c r="Z77" s="1526"/>
      <c r="AA77" s="1526"/>
      <c r="AB77" s="1526"/>
      <c r="AC77" s="1526"/>
      <c r="AD77" s="1526"/>
      <c r="AE77" s="1526"/>
      <c r="AF77" s="1526"/>
      <c r="AG77" s="1526"/>
      <c r="AH77" s="1526"/>
      <c r="AI77" s="1526"/>
      <c r="AJ77" s="1526"/>
      <c r="AK77" s="1527"/>
      <c r="AL77" s="212"/>
      <c r="AM77" s="612" t="s">
        <v>292</v>
      </c>
      <c r="AN77" s="612" t="s">
        <v>292</v>
      </c>
      <c r="AO77" s="612" t="s">
        <v>292</v>
      </c>
      <c r="AP77" s="98"/>
      <c r="AQ77" s="1607"/>
      <c r="AR77" s="1607"/>
      <c r="AS77" s="1608"/>
      <c r="AT77" s="98"/>
      <c r="AU77" s="1526"/>
      <c r="AV77" s="1526"/>
      <c r="AW77" s="1526"/>
      <c r="AX77" s="1526"/>
      <c r="AY77" s="1526"/>
      <c r="AZ77" s="1526"/>
      <c r="BA77" s="1526"/>
      <c r="BB77" s="1526"/>
      <c r="BC77" s="1526"/>
      <c r="BD77" s="1526"/>
      <c r="BE77" s="1526"/>
      <c r="BF77" s="1526"/>
      <c r="BG77" s="1526"/>
      <c r="BH77" s="1526"/>
      <c r="BI77" s="1527"/>
      <c r="BJ77" s="121"/>
      <c r="BQ77" s="531">
        <f>LEN(BV77)</f>
        <v>144</v>
      </c>
      <c r="BR77" s="531"/>
      <c r="BS77" s="531"/>
      <c r="BT77" s="531"/>
      <c r="BU77" s="28" t="s">
        <v>420</v>
      </c>
      <c r="BV77" s="28" t="str">
        <f>X!E435</f>
        <v>Falls es zusätzliche Hilfsbetriebe auf der «kalten Seite» gibt, die im ESEER noch nicht eingerechnet sind, können diese hier eingetragen werden.</v>
      </c>
      <c r="BW77" s="28" t="str">
        <f>X!F435</f>
        <v>S'il y a des unités auxiliaires supplémentaires du «côté froid» non intégrés dans l'ESEER, elles peuvent être saisies ici.</v>
      </c>
      <c r="BX77" s="28" t="str">
        <f>X!G435</f>
        <v>In presenza di aggregati ausiliari supplementari nella «parte freddo» non ancora calcolati nell'ESEER, è possibile inserirli qui.</v>
      </c>
    </row>
    <row r="78" spans="2:76" s="28" customFormat="1" ht="18" customHeight="1">
      <c r="B78" s="117"/>
      <c r="C78" s="1279"/>
      <c r="D78" s="98"/>
      <c r="E78" s="98"/>
      <c r="F78" s="98"/>
      <c r="G78" s="98"/>
      <c r="H78" s="98"/>
      <c r="I78" s="98"/>
      <c r="J78" s="98"/>
      <c r="K78" s="98"/>
      <c r="L78" s="98"/>
      <c r="M78" s="98"/>
      <c r="N78" s="98"/>
      <c r="O78" s="98"/>
      <c r="P78" s="122"/>
      <c r="Q78" s="98"/>
      <c r="R78" s="98"/>
      <c r="S78" s="98"/>
      <c r="T78" s="98"/>
      <c r="U78" s="98"/>
      <c r="V78" s="98"/>
      <c r="W78" s="98"/>
      <c r="X78" s="98"/>
      <c r="Y78" s="98"/>
      <c r="Z78" s="98"/>
      <c r="AA78" s="153"/>
      <c r="AB78" s="153"/>
      <c r="AC78" s="153"/>
      <c r="AD78" s="153"/>
      <c r="AE78" s="153"/>
      <c r="AF78" s="98"/>
      <c r="AG78" s="98"/>
      <c r="AH78" s="98"/>
      <c r="AI78" s="98"/>
      <c r="AJ78" s="98"/>
      <c r="AK78" s="98"/>
      <c r="AL78" s="98"/>
      <c r="AM78" s="98"/>
      <c r="AN78" s="98"/>
      <c r="AO78" s="98"/>
      <c r="AP78" s="98"/>
      <c r="AQ78" s="98"/>
      <c r="AR78" s="98"/>
      <c r="AS78" s="98"/>
      <c r="AT78" s="98"/>
      <c r="AU78" s="98"/>
      <c r="AV78" s="98"/>
      <c r="AW78" s="640"/>
      <c r="AX78" s="640"/>
      <c r="AY78" s="640"/>
      <c r="AZ78" s="640"/>
      <c r="BA78" s="640"/>
      <c r="BB78" s="640"/>
      <c r="BC78" s="640"/>
      <c r="BD78" s="640"/>
      <c r="BE78" s="640"/>
      <c r="BF78" s="640"/>
      <c r="BG78" s="640"/>
      <c r="BH78" s="640"/>
      <c r="BI78" s="640"/>
      <c r="BJ78" s="121"/>
    </row>
    <row r="79" spans="2:76" s="28" customFormat="1" ht="17.100000000000001" customHeight="1">
      <c r="B79" s="117"/>
      <c r="C79" s="495">
        <v>2.5</v>
      </c>
      <c r="D79" s="536" t="str">
        <f>X!C310</f>
        <v>Rückkühler</v>
      </c>
      <c r="E79" s="144"/>
      <c r="F79" s="144"/>
      <c r="G79" s="98"/>
      <c r="H79" s="98"/>
      <c r="I79" s="640"/>
      <c r="J79" s="640"/>
      <c r="K79" s="640"/>
      <c r="L79" s="640"/>
      <c r="M79" s="640"/>
      <c r="N79" s="640"/>
      <c r="O79" s="640"/>
      <c r="P79" s="640"/>
      <c r="Q79" s="640"/>
      <c r="R79" s="640"/>
      <c r="S79" s="640"/>
      <c r="T79" s="640"/>
      <c r="U79" s="640"/>
      <c r="V79" s="640"/>
      <c r="W79" s="640"/>
      <c r="X79" s="640"/>
      <c r="Y79" s="640"/>
      <c r="Z79" s="640"/>
      <c r="AA79" s="640"/>
      <c r="AB79" s="640"/>
      <c r="AC79" s="640"/>
      <c r="AD79" s="640"/>
      <c r="AE79" s="640"/>
      <c r="AF79" s="640"/>
      <c r="AG79" s="640"/>
      <c r="AH79" s="640"/>
      <c r="AI79" s="640"/>
      <c r="AJ79" s="640"/>
      <c r="AK79" s="640"/>
      <c r="AL79" s="640"/>
      <c r="AM79" s="640"/>
      <c r="AN79" s="640"/>
      <c r="AO79" s="640"/>
      <c r="AP79" s="640"/>
      <c r="AQ79" s="640"/>
      <c r="AR79" s="640"/>
      <c r="AS79" s="640"/>
      <c r="AT79" s="640"/>
      <c r="AU79" s="640"/>
      <c r="AV79" s="640"/>
      <c r="AW79" s="640"/>
      <c r="AX79" s="640"/>
      <c r="AY79" s="640"/>
      <c r="AZ79" s="640"/>
      <c r="BA79" s="640"/>
      <c r="BB79" s="640"/>
      <c r="BC79" s="640"/>
      <c r="BD79" s="640"/>
      <c r="BE79" s="640"/>
      <c r="BF79" s="640"/>
      <c r="BG79" s="640"/>
      <c r="BH79" s="640"/>
      <c r="BI79" s="640"/>
      <c r="BJ79" s="121"/>
    </row>
    <row r="80" spans="2:76" s="28" customFormat="1" ht="6" customHeight="1">
      <c r="B80" s="117"/>
      <c r="C80" s="1279"/>
      <c r="D80" s="98"/>
      <c r="E80" s="98"/>
      <c r="F80" s="98"/>
      <c r="G80" s="98"/>
      <c r="H80" s="98"/>
      <c r="I80" s="98"/>
      <c r="J80" s="98"/>
      <c r="K80" s="98"/>
      <c r="L80" s="98"/>
      <c r="M80" s="98"/>
      <c r="N80" s="98"/>
      <c r="O80" s="98"/>
      <c r="P80" s="122"/>
      <c r="Q80" s="98"/>
      <c r="R80" s="98"/>
      <c r="S80" s="98"/>
      <c r="T80" s="98"/>
      <c r="U80" s="98"/>
      <c r="V80" s="98"/>
      <c r="W80" s="98"/>
      <c r="X80" s="98"/>
      <c r="Y80" s="98"/>
      <c r="Z80" s="98"/>
      <c r="AA80" s="98"/>
      <c r="AB80" s="98"/>
      <c r="AC80" s="98"/>
      <c r="AD80" s="98"/>
      <c r="AE80" s="98"/>
      <c r="AF80" s="98"/>
      <c r="AG80" s="98"/>
      <c r="AH80" s="98"/>
      <c r="AI80" s="98"/>
      <c r="AJ80" s="98"/>
      <c r="AK80" s="98"/>
      <c r="AL80" s="148"/>
      <c r="AM80" s="148"/>
      <c r="AN80" s="148"/>
      <c r="AO80" s="148"/>
      <c r="AP80" s="98"/>
      <c r="AQ80" s="98"/>
      <c r="AR80" s="98"/>
      <c r="AS80" s="98"/>
      <c r="AT80" s="98"/>
      <c r="AU80" s="98"/>
      <c r="AV80" s="98"/>
      <c r="AW80" s="98"/>
      <c r="AX80" s="98"/>
      <c r="AY80" s="98"/>
      <c r="AZ80" s="98"/>
      <c r="BA80" s="98"/>
      <c r="BB80" s="98"/>
      <c r="BC80" s="98"/>
      <c r="BD80" s="98"/>
      <c r="BE80" s="98"/>
      <c r="BF80" s="98"/>
      <c r="BG80" s="98"/>
      <c r="BH80" s="98"/>
      <c r="BI80" s="98"/>
      <c r="BJ80" s="121"/>
    </row>
    <row r="81" spans="2:77" s="28" customFormat="1" ht="15" customHeight="1">
      <c r="B81" s="117"/>
      <c r="C81" s="1282"/>
      <c r="E81" s="538" t="str">
        <f>X!C396</f>
        <v>Arbeitsweise des Rückkühlers</v>
      </c>
      <c r="F81" s="160"/>
      <c r="G81" s="160"/>
      <c r="H81" s="160"/>
      <c r="I81" s="160"/>
      <c r="J81" s="160"/>
      <c r="K81" s="160"/>
      <c r="L81" s="160"/>
      <c r="M81" s="160"/>
      <c r="N81" s="160"/>
      <c r="O81" s="98"/>
      <c r="P81" s="122"/>
      <c r="Q81" s="98"/>
      <c r="R81" s="98"/>
      <c r="S81" s="98"/>
      <c r="T81" s="98"/>
      <c r="U81" s="98"/>
      <c r="V81" s="98"/>
      <c r="W81" s="1526"/>
      <c r="X81" s="1526"/>
      <c r="Y81" s="1526"/>
      <c r="Z81" s="1526"/>
      <c r="AA81" s="1526"/>
      <c r="AB81" s="1526"/>
      <c r="AC81" s="1526"/>
      <c r="AD81" s="1526"/>
      <c r="AE81" s="1526"/>
      <c r="AF81" s="1526"/>
      <c r="AG81" s="1526"/>
      <c r="AH81" s="1526"/>
      <c r="AI81" s="1526"/>
      <c r="AJ81" s="1526"/>
      <c r="AK81" s="1527"/>
      <c r="AL81" s="148"/>
      <c r="AM81" s="148"/>
      <c r="AN81" s="148"/>
      <c r="AO81" s="148"/>
      <c r="AP81" s="160"/>
      <c r="AQ81" s="160"/>
      <c r="AR81" s="160"/>
      <c r="AS81" s="160"/>
      <c r="AT81" s="98"/>
      <c r="AU81" s="1526"/>
      <c r="AV81" s="1526"/>
      <c r="AW81" s="1526"/>
      <c r="AX81" s="1526"/>
      <c r="AY81" s="1526"/>
      <c r="AZ81" s="1526"/>
      <c r="BA81" s="1526"/>
      <c r="BB81" s="1526"/>
      <c r="BC81" s="1526"/>
      <c r="BD81" s="1526"/>
      <c r="BE81" s="1526"/>
      <c r="BF81" s="1526"/>
      <c r="BG81" s="1526"/>
      <c r="BH81" s="1526"/>
      <c r="BI81" s="1527"/>
      <c r="BJ81" s="121"/>
      <c r="BP81" s="31"/>
      <c r="BQ81" s="31"/>
      <c r="BR81" s="31"/>
      <c r="BS81" s="31"/>
      <c r="BT81" s="31"/>
      <c r="BU81" s="31"/>
      <c r="BV81" s="31"/>
      <c r="BW81" s="31"/>
      <c r="BX81" s="31"/>
      <c r="BY81" s="31"/>
    </row>
    <row r="82" spans="2:77" s="28" customFormat="1" ht="5.0999999999999996" customHeight="1">
      <c r="B82" s="117"/>
      <c r="C82" s="1282"/>
      <c r="D82" s="98"/>
      <c r="E82" s="98"/>
      <c r="F82" s="98"/>
      <c r="G82" s="640"/>
      <c r="H82" s="98"/>
      <c r="I82" s="98"/>
      <c r="J82" s="98"/>
      <c r="K82" s="98"/>
      <c r="L82" s="98"/>
      <c r="M82" s="98"/>
      <c r="N82" s="98"/>
      <c r="O82" s="98"/>
      <c r="P82" s="122"/>
      <c r="Q82" s="98"/>
      <c r="R82" s="98"/>
      <c r="S82" s="98"/>
      <c r="T82" s="98"/>
      <c r="U82" s="98"/>
      <c r="V82" s="98"/>
      <c r="W82" s="98"/>
      <c r="X82" s="98"/>
      <c r="Y82" s="98"/>
      <c r="Z82" s="98"/>
      <c r="AA82" s="98"/>
      <c r="AB82" s="98"/>
      <c r="AC82" s="98"/>
      <c r="AD82" s="98"/>
      <c r="AE82" s="98"/>
      <c r="AF82" s="98"/>
      <c r="AG82" s="98"/>
      <c r="AH82" s="98"/>
      <c r="AI82" s="98"/>
      <c r="AJ82" s="98"/>
      <c r="AK82" s="98"/>
      <c r="AL82" s="148"/>
      <c r="AM82" s="148"/>
      <c r="AN82" s="148"/>
      <c r="AO82" s="148"/>
      <c r="AP82" s="98"/>
      <c r="AQ82" s="98"/>
      <c r="AR82" s="98"/>
      <c r="AS82" s="98"/>
      <c r="AT82" s="98"/>
      <c r="AU82" s="98"/>
      <c r="AV82" s="98"/>
      <c r="AW82" s="98"/>
      <c r="AX82" s="98"/>
      <c r="AY82" s="98"/>
      <c r="AZ82" s="98"/>
      <c r="BA82" s="98"/>
      <c r="BB82" s="98"/>
      <c r="BC82" s="98"/>
      <c r="BD82" s="98"/>
      <c r="BE82" s="98"/>
      <c r="BF82" s="98"/>
      <c r="BG82" s="98"/>
      <c r="BH82" s="98"/>
      <c r="BI82" s="98"/>
      <c r="BJ82" s="121"/>
      <c r="BP82" s="31"/>
      <c r="BQ82" s="31"/>
      <c r="BR82" s="31"/>
      <c r="BS82" s="31"/>
      <c r="BT82" s="31"/>
      <c r="BU82" s="31"/>
      <c r="BV82" s="31"/>
      <c r="BW82" s="31"/>
      <c r="BX82" s="31"/>
      <c r="BY82" s="31"/>
    </row>
    <row r="83" spans="2:77" ht="5.0999999999999996" customHeight="1">
      <c r="B83" s="147"/>
      <c r="C83" s="477"/>
      <c r="D83" s="52"/>
      <c r="E83" s="52"/>
      <c r="F83" s="52"/>
      <c r="G83" s="52"/>
      <c r="H83" s="52"/>
      <c r="I83" s="52"/>
      <c r="J83" s="52"/>
      <c r="K83" s="52"/>
      <c r="L83" s="52"/>
      <c r="M83" s="52"/>
      <c r="N83" s="52"/>
      <c r="O83" s="52"/>
      <c r="P83" s="55"/>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152"/>
    </row>
    <row r="84" spans="2:77">
      <c r="B84" s="161"/>
      <c r="C84" s="506"/>
      <c r="D84" s="127"/>
      <c r="E84" s="127"/>
      <c r="F84" s="127"/>
      <c r="G84" s="127"/>
      <c r="H84" s="127"/>
      <c r="I84" s="127"/>
      <c r="J84" s="127"/>
      <c r="K84" s="127"/>
      <c r="L84" s="127"/>
      <c r="M84" s="127"/>
      <c r="N84" s="127"/>
      <c r="O84" s="127"/>
      <c r="P84" s="126"/>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7"/>
      <c r="BG84" s="127"/>
      <c r="BH84" s="127"/>
      <c r="BI84" s="127"/>
      <c r="BJ84" s="162"/>
    </row>
    <row r="85" spans="2:77" ht="17.100000000000001" customHeight="1"/>
    <row r="86" spans="2:77" ht="17.100000000000001" customHeight="1"/>
    <row r="87" spans="2:77">
      <c r="B87" s="103"/>
      <c r="C87" s="502"/>
      <c r="D87" s="104"/>
      <c r="E87" s="104"/>
      <c r="F87" s="104"/>
      <c r="G87" s="104"/>
      <c r="H87" s="104"/>
      <c r="I87" s="104"/>
      <c r="J87" s="104"/>
      <c r="K87" s="104"/>
      <c r="L87" s="104"/>
      <c r="M87" s="104"/>
      <c r="N87" s="104"/>
      <c r="O87" s="104"/>
      <c r="P87" s="105"/>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c r="BI87" s="104"/>
      <c r="BJ87" s="106"/>
    </row>
    <row r="88" spans="2:77" s="116" customFormat="1" ht="21" customHeight="1">
      <c r="B88" s="107"/>
      <c r="C88" s="486">
        <v>3</v>
      </c>
      <c r="D88" s="546" t="str">
        <f>X!$C$86</f>
        <v>Eingabe Betriebsdaten</v>
      </c>
      <c r="E88" s="109"/>
      <c r="F88" s="109"/>
      <c r="G88" s="110"/>
      <c r="H88" s="110"/>
      <c r="I88" s="111"/>
      <c r="J88" s="111"/>
      <c r="K88" s="111"/>
      <c r="L88" s="111"/>
      <c r="M88" s="111"/>
      <c r="N88" s="111"/>
      <c r="O88" s="111"/>
      <c r="P88" s="111"/>
      <c r="Q88" s="111"/>
      <c r="R88" s="111"/>
      <c r="S88" s="109"/>
      <c r="T88" s="109"/>
      <c r="U88" s="110"/>
      <c r="V88" s="110"/>
      <c r="W88" s="110"/>
      <c r="X88" s="110"/>
      <c r="Y88" s="110"/>
      <c r="Z88" s="110"/>
      <c r="AA88" s="110"/>
      <c r="AB88" s="110"/>
      <c r="AC88" s="110"/>
      <c r="AD88" s="110"/>
      <c r="AE88" s="110"/>
      <c r="AF88" s="110"/>
      <c r="AG88" s="110"/>
      <c r="AH88" s="110"/>
      <c r="AI88" s="110"/>
      <c r="AJ88" s="110"/>
      <c r="AK88" s="110"/>
      <c r="AL88" s="110"/>
      <c r="AM88" s="111"/>
      <c r="AN88" s="111"/>
      <c r="AO88" s="111"/>
      <c r="AP88" s="111"/>
      <c r="AQ88" s="109"/>
      <c r="AR88" s="109"/>
      <c r="AS88" s="110"/>
      <c r="AT88" s="110"/>
      <c r="AU88" s="110"/>
      <c r="AV88" s="110"/>
      <c r="AW88" s="110"/>
      <c r="AX88" s="110"/>
      <c r="AY88" s="110"/>
      <c r="AZ88" s="110"/>
      <c r="BA88" s="110"/>
      <c r="BB88" s="110"/>
      <c r="BC88" s="110"/>
      <c r="BD88" s="110"/>
      <c r="BE88" s="110"/>
      <c r="BF88" s="110"/>
      <c r="BG88" s="110"/>
      <c r="BH88" s="110"/>
      <c r="BI88" s="110"/>
      <c r="BJ88" s="115"/>
    </row>
    <row r="89" spans="2:77" s="28" customFormat="1" ht="17.100000000000001" customHeight="1">
      <c r="B89" s="117"/>
      <c r="C89" s="489"/>
      <c r="D89" s="98"/>
      <c r="E89" s="98"/>
      <c r="F89" s="98"/>
      <c r="G89" s="98"/>
      <c r="H89" s="98"/>
      <c r="I89" s="98"/>
      <c r="J89" s="98"/>
      <c r="K89" s="98"/>
      <c r="L89" s="98"/>
      <c r="M89" s="98"/>
      <c r="N89" s="98"/>
      <c r="O89" s="98"/>
      <c r="P89" s="122"/>
      <c r="Q89" s="98"/>
      <c r="R89" s="98"/>
      <c r="S89" s="135"/>
      <c r="T89" s="135"/>
      <c r="U89" s="135"/>
      <c r="V89" s="98"/>
      <c r="W89" s="136"/>
      <c r="X89" s="136"/>
      <c r="Y89" s="136"/>
      <c r="Z89" s="136"/>
      <c r="AA89" s="136"/>
      <c r="AB89" s="136"/>
      <c r="AC89" s="136"/>
      <c r="AD89" s="136"/>
      <c r="AE89" s="136"/>
      <c r="AF89" s="98"/>
      <c r="AG89" s="98"/>
      <c r="AH89" s="98"/>
      <c r="AI89" s="98"/>
      <c r="AJ89" s="98"/>
      <c r="AK89" s="98"/>
      <c r="AL89" s="98"/>
      <c r="AM89" s="98"/>
      <c r="AN89" s="98"/>
      <c r="AO89" s="98"/>
      <c r="AP89" s="98"/>
      <c r="AQ89" s="135"/>
      <c r="AR89" s="135"/>
      <c r="AS89" s="135"/>
      <c r="AT89" s="98"/>
      <c r="AU89" s="136"/>
      <c r="AV89" s="136"/>
      <c r="AW89" s="136"/>
      <c r="AX89" s="136"/>
      <c r="AY89" s="136"/>
      <c r="AZ89" s="136"/>
      <c r="BA89" s="136"/>
      <c r="BB89" s="136"/>
      <c r="BC89" s="136"/>
      <c r="BD89" s="55"/>
      <c r="BE89" s="55"/>
      <c r="BF89" s="55"/>
      <c r="BG89" s="55"/>
      <c r="BH89" s="52"/>
      <c r="BI89" s="55"/>
      <c r="BJ89" s="121"/>
    </row>
    <row r="90" spans="2:77" s="139" customFormat="1" ht="17.100000000000001" customHeight="1">
      <c r="B90" s="137"/>
      <c r="C90" s="488"/>
      <c r="D90" s="138"/>
      <c r="E90" s="138"/>
      <c r="F90" s="138"/>
      <c r="S90" s="140" t="str">
        <f>'1 System specification'!O132</f>
        <v>Variante A</v>
      </c>
      <c r="T90" s="140"/>
      <c r="U90" s="141"/>
      <c r="V90" s="141"/>
      <c r="W90" s="141"/>
      <c r="X90" s="141"/>
      <c r="Y90" s="141"/>
      <c r="Z90" s="141"/>
      <c r="AA90" s="141"/>
      <c r="AB90" s="141"/>
      <c r="AC90" s="141"/>
      <c r="AD90" s="141"/>
      <c r="AE90" s="141"/>
      <c r="AF90" s="141"/>
      <c r="AG90" s="141"/>
      <c r="AH90" s="141"/>
      <c r="AI90" s="141"/>
      <c r="AJ90" s="141"/>
      <c r="AK90" s="141"/>
      <c r="AL90" s="431"/>
      <c r="AQ90" s="140" t="str">
        <f>'1 System specification'!O133</f>
        <v/>
      </c>
      <c r="AR90" s="140"/>
      <c r="AS90" s="141"/>
      <c r="AT90" s="141"/>
      <c r="AU90" s="141"/>
      <c r="AV90" s="141"/>
      <c r="AW90" s="141"/>
      <c r="AX90" s="141"/>
      <c r="AY90" s="141"/>
      <c r="AZ90" s="141"/>
      <c r="BA90" s="141"/>
      <c r="BB90" s="141"/>
      <c r="BC90" s="141"/>
      <c r="BD90" s="141"/>
      <c r="BE90" s="141"/>
      <c r="BF90" s="141"/>
      <c r="BG90" s="141"/>
      <c r="BH90" s="141"/>
      <c r="BI90" s="141"/>
      <c r="BJ90" s="142"/>
    </row>
    <row r="91" spans="2:77" s="28" customFormat="1" ht="9" customHeight="1">
      <c r="B91" s="117"/>
      <c r="C91" s="474"/>
      <c r="D91" s="98"/>
      <c r="E91" s="98"/>
      <c r="F91" s="98"/>
      <c r="G91" s="98"/>
      <c r="H91" s="98"/>
      <c r="I91" s="98"/>
      <c r="J91" s="98"/>
      <c r="K91" s="98"/>
      <c r="L91" s="98"/>
      <c r="M91" s="98"/>
      <c r="N91" s="98"/>
      <c r="O91" s="98"/>
      <c r="P91" s="122"/>
      <c r="Q91" s="98"/>
      <c r="R91" s="98"/>
      <c r="S91" s="98"/>
      <c r="T91" s="98"/>
      <c r="U91" s="98"/>
      <c r="V91" s="98"/>
      <c r="W91" s="98"/>
      <c r="X91" s="98"/>
      <c r="Y91" s="98"/>
      <c r="Z91" s="98"/>
      <c r="AA91" s="55"/>
      <c r="AB91" s="55"/>
      <c r="AC91" s="55"/>
      <c r="AD91" s="55"/>
      <c r="AE91" s="55"/>
      <c r="AF91" s="55"/>
      <c r="AG91" s="55"/>
      <c r="AH91" s="55"/>
      <c r="AI91" s="55"/>
      <c r="AJ91" s="55"/>
      <c r="AK91" s="55"/>
      <c r="AL91" s="55"/>
      <c r="AM91" s="55"/>
      <c r="AN91" s="595"/>
      <c r="AO91" s="595"/>
      <c r="AP91" s="55"/>
      <c r="AQ91" s="55"/>
      <c r="AR91" s="55"/>
      <c r="AS91" s="55"/>
      <c r="AT91" s="120"/>
      <c r="AU91" s="55"/>
      <c r="AV91" s="55"/>
      <c r="AW91" s="55"/>
      <c r="AX91" s="55"/>
      <c r="AY91" s="55"/>
      <c r="AZ91" s="55"/>
      <c r="BA91" s="55"/>
      <c r="BB91" s="55"/>
      <c r="BC91" s="55"/>
      <c r="BD91" s="55"/>
      <c r="BE91" s="55"/>
      <c r="BF91" s="55"/>
      <c r="BG91" s="55"/>
      <c r="BH91" s="52"/>
      <c r="BI91" s="55"/>
      <c r="BJ91" s="121"/>
    </row>
    <row r="92" spans="2:77" s="28" customFormat="1" ht="17.100000000000001" customHeight="1">
      <c r="B92" s="117"/>
      <c r="C92" s="559" t="str">
        <f>X!$C$36</f>
        <v>Aussentemperatur (7:00 - 19:00 h)</v>
      </c>
      <c r="D92" s="55"/>
      <c r="E92" s="55"/>
      <c r="F92" s="55"/>
      <c r="G92" s="55"/>
      <c r="H92" s="55"/>
      <c r="I92" s="55"/>
      <c r="J92" s="55"/>
      <c r="K92" s="55"/>
      <c r="L92" s="55"/>
      <c r="M92" s="55"/>
      <c r="N92" s="55"/>
      <c r="O92" s="55"/>
      <c r="P92" s="55"/>
      <c r="Q92" s="55"/>
      <c r="R92" s="55"/>
      <c r="S92" s="1482" t="str">
        <f>X!$C$114</f>
        <v>Frühling</v>
      </c>
      <c r="T92" s="1483"/>
      <c r="U92" s="1483"/>
      <c r="V92" s="55"/>
      <c r="W92" s="1480" t="str">
        <f>X!$C$212</f>
        <v>Sommer</v>
      </c>
      <c r="X92" s="1481"/>
      <c r="Y92" s="1481"/>
      <c r="Z92" s="55"/>
      <c r="AA92" s="1482" t="str">
        <f>X!$C$120</f>
        <v>Herbst</v>
      </c>
      <c r="AB92" s="1483"/>
      <c r="AC92" s="1483"/>
      <c r="AD92" s="55"/>
      <c r="AE92" s="1482" t="str">
        <f>X!$C$269</f>
        <v>Winter</v>
      </c>
      <c r="AF92" s="1483"/>
      <c r="AG92" s="1483"/>
      <c r="AH92" s="55"/>
      <c r="AI92" s="1482" t="str">
        <f>X!$C$130</f>
        <v>Jahr</v>
      </c>
      <c r="AJ92" s="1483"/>
      <c r="AK92" s="1483"/>
      <c r="AL92" s="468"/>
      <c r="AM92" s="55"/>
      <c r="AN92" s="595"/>
      <c r="AO92" s="595"/>
      <c r="AP92" s="55"/>
      <c r="AQ92" s="1483" t="str">
        <f>S92</f>
        <v>Frühling</v>
      </c>
      <c r="AR92" s="1483"/>
      <c r="AS92" s="1483"/>
      <c r="AT92" s="55"/>
      <c r="AU92" s="1483" t="str">
        <f>W92</f>
        <v>Sommer</v>
      </c>
      <c r="AV92" s="1483"/>
      <c r="AW92" s="1483"/>
      <c r="AX92" s="55"/>
      <c r="AY92" s="1483" t="str">
        <f>AA92</f>
        <v>Herbst</v>
      </c>
      <c r="AZ92" s="1483"/>
      <c r="BA92" s="1483"/>
      <c r="BB92" s="55"/>
      <c r="BC92" s="1483" t="str">
        <f>AE92</f>
        <v>Winter</v>
      </c>
      <c r="BD92" s="1483"/>
      <c r="BE92" s="1483"/>
      <c r="BF92" s="55"/>
      <c r="BG92" s="1483" t="str">
        <f>AI92</f>
        <v>Jahr</v>
      </c>
      <c r="BH92" s="1483"/>
      <c r="BI92" s="1483"/>
      <c r="BJ92" s="121"/>
    </row>
    <row r="93" spans="2:77" s="28" customFormat="1" ht="6" customHeight="1">
      <c r="B93" s="117"/>
      <c r="C93" s="474"/>
      <c r="D93" s="98"/>
      <c r="E93" s="98"/>
      <c r="F93" s="98"/>
      <c r="G93" s="98"/>
      <c r="H93" s="98"/>
      <c r="I93" s="98"/>
      <c r="J93" s="98"/>
      <c r="K93" s="98"/>
      <c r="L93" s="98"/>
      <c r="M93" s="98"/>
      <c r="N93" s="98"/>
      <c r="O93" s="98"/>
      <c r="P93" s="122"/>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121"/>
    </row>
    <row r="94" spans="2:77" s="28" customFormat="1" ht="17.100000000000001" customHeight="1">
      <c r="B94" s="117"/>
      <c r="C94" s="560" t="str">
        <f>X!$C$35</f>
        <v xml:space="preserve">Aussentemperatur </v>
      </c>
      <c r="E94" s="98"/>
      <c r="F94" s="98"/>
      <c r="G94" s="98"/>
      <c r="H94" s="98"/>
      <c r="I94" s="98"/>
      <c r="J94" s="163">
        <f>S31</f>
        <v>0</v>
      </c>
      <c r="K94" s="98"/>
      <c r="L94" s="98"/>
      <c r="M94" s="98"/>
      <c r="N94" s="98"/>
      <c r="O94" s="98"/>
      <c r="P94" s="122" t="s">
        <v>108</v>
      </c>
      <c r="Q94" s="98"/>
      <c r="R94" s="98"/>
      <c r="S94" s="1598">
        <f>Y349</f>
        <v>0</v>
      </c>
      <c r="T94" s="1598"/>
      <c r="U94" s="1598"/>
      <c r="V94" s="165"/>
      <c r="W94" s="1598">
        <f>Y359</f>
        <v>0</v>
      </c>
      <c r="X94" s="1598"/>
      <c r="Y94" s="1598"/>
      <c r="Z94" s="166"/>
      <c r="AA94" s="1598">
        <f>Y368</f>
        <v>0</v>
      </c>
      <c r="AB94" s="1598"/>
      <c r="AC94" s="1598"/>
      <c r="AD94" s="166"/>
      <c r="AE94" s="1598">
        <f>Y377</f>
        <v>0</v>
      </c>
      <c r="AF94" s="1598"/>
      <c r="AG94" s="1598"/>
      <c r="AH94" s="135"/>
      <c r="AI94" s="1602">
        <f>AVERAGE(S94:AG94)</f>
        <v>0</v>
      </c>
      <c r="AJ94" s="1602"/>
      <c r="AK94" s="1602"/>
      <c r="AL94" s="465"/>
      <c r="AM94" s="135"/>
      <c r="AN94" s="593"/>
      <c r="AO94" s="593"/>
      <c r="AP94" s="135"/>
      <c r="AQ94" s="1598">
        <f>S94</f>
        <v>0</v>
      </c>
      <c r="AR94" s="1463"/>
      <c r="AS94" s="1463"/>
      <c r="AT94" s="135"/>
      <c r="AU94" s="1598">
        <f>W94</f>
        <v>0</v>
      </c>
      <c r="AV94" s="1463"/>
      <c r="AW94" s="1463"/>
      <c r="AX94" s="168"/>
      <c r="AY94" s="1598">
        <f>AA94</f>
        <v>0</v>
      </c>
      <c r="AZ94" s="1463"/>
      <c r="BA94" s="1463"/>
      <c r="BB94" s="168"/>
      <c r="BC94" s="1598">
        <f>AE94</f>
        <v>0</v>
      </c>
      <c r="BD94" s="1463"/>
      <c r="BE94" s="1463"/>
      <c r="BF94" s="135"/>
      <c r="BG94" s="1602">
        <f>AI94</f>
        <v>0</v>
      </c>
      <c r="BH94" s="1537"/>
      <c r="BI94" s="1537"/>
      <c r="BJ94" s="121"/>
    </row>
    <row r="95" spans="2:77" s="28" customFormat="1" ht="6" hidden="1" customHeight="1" outlineLevel="1">
      <c r="B95" s="117"/>
      <c r="C95" s="507"/>
      <c r="D95" s="98"/>
      <c r="E95" s="98"/>
      <c r="F95" s="98"/>
      <c r="G95" s="98"/>
      <c r="H95" s="98"/>
      <c r="I95" s="98"/>
      <c r="J95" s="98"/>
      <c r="K95" s="98"/>
      <c r="L95" s="98"/>
      <c r="M95" s="98"/>
      <c r="N95" s="98"/>
      <c r="O95" s="98"/>
      <c r="P95" s="122"/>
      <c r="Q95" s="98"/>
      <c r="R95" s="98"/>
      <c r="S95" s="135"/>
      <c r="T95" s="135"/>
      <c r="U95" s="135"/>
      <c r="V95" s="135"/>
      <c r="W95" s="135"/>
      <c r="X95" s="135"/>
      <c r="Y95" s="135"/>
      <c r="Z95" s="135"/>
      <c r="AA95" s="135"/>
      <c r="AB95" s="135"/>
      <c r="AC95" s="135"/>
      <c r="AD95" s="135"/>
      <c r="AE95" s="135"/>
      <c r="AF95" s="135"/>
      <c r="AG95" s="135"/>
      <c r="AH95" s="135"/>
      <c r="AI95" s="135"/>
      <c r="AJ95" s="135"/>
      <c r="AK95" s="135"/>
      <c r="AL95" s="461"/>
      <c r="AM95" s="135"/>
      <c r="AN95" s="593"/>
      <c r="AO95" s="593"/>
      <c r="AP95" s="135"/>
      <c r="AQ95" s="135"/>
      <c r="AR95" s="135"/>
      <c r="AS95" s="135"/>
      <c r="AT95" s="98"/>
      <c r="AU95" s="98"/>
      <c r="AV95" s="55"/>
      <c r="AW95" s="55"/>
      <c r="AX95" s="55"/>
      <c r="AY95" s="55"/>
      <c r="AZ95" s="55"/>
      <c r="BA95" s="55"/>
      <c r="BB95" s="55"/>
      <c r="BC95" s="55"/>
      <c r="BD95" s="55"/>
      <c r="BE95" s="55"/>
      <c r="BF95" s="55"/>
      <c r="BG95" s="55"/>
      <c r="BH95" s="55"/>
      <c r="BI95" s="55"/>
      <c r="BJ95" s="121"/>
    </row>
    <row r="96" spans="2:77" s="28" customFormat="1" ht="17.100000000000001" hidden="1" customHeight="1" outlineLevel="1">
      <c r="B96" s="117"/>
      <c r="C96" s="507"/>
      <c r="D96" s="98" t="s">
        <v>217</v>
      </c>
      <c r="E96" s="98"/>
      <c r="F96" s="98"/>
      <c r="G96" s="98"/>
      <c r="H96" s="98"/>
      <c r="I96" s="98"/>
      <c r="J96" s="98"/>
      <c r="K96" s="98"/>
      <c r="L96" s="98"/>
      <c r="M96" s="98"/>
      <c r="N96" s="98"/>
      <c r="O96" s="98"/>
      <c r="P96" s="122" t="s">
        <v>108</v>
      </c>
      <c r="Q96" s="98"/>
      <c r="R96" s="98"/>
      <c r="S96" s="1594"/>
      <c r="T96" s="1594"/>
      <c r="U96" s="1595"/>
      <c r="V96" s="165"/>
      <c r="W96" s="1594"/>
      <c r="X96" s="1594"/>
      <c r="Y96" s="1595"/>
      <c r="Z96" s="166"/>
      <c r="AA96" s="1594"/>
      <c r="AB96" s="1594"/>
      <c r="AC96" s="1595"/>
      <c r="AD96" s="166"/>
      <c r="AE96" s="1594"/>
      <c r="AF96" s="1594"/>
      <c r="AG96" s="1595"/>
      <c r="AH96" s="135"/>
      <c r="AI96" s="1462">
        <f>IF(SUM(S96:AG96)=0,0,AVERAGE(S96:AG96))</f>
        <v>0</v>
      </c>
      <c r="AJ96" s="1462"/>
      <c r="AK96" s="1462"/>
      <c r="AL96" s="464"/>
      <c r="AM96" s="91"/>
      <c r="AN96" s="592"/>
      <c r="AO96" s="592"/>
      <c r="AP96" s="91"/>
      <c r="AQ96" s="1594"/>
      <c r="AR96" s="1594"/>
      <c r="AS96" s="1595"/>
      <c r="AT96" s="165"/>
      <c r="AU96" s="1594"/>
      <c r="AV96" s="1594"/>
      <c r="AW96" s="1595"/>
      <c r="AX96" s="166"/>
      <c r="AY96" s="1594"/>
      <c r="AZ96" s="1594"/>
      <c r="BA96" s="1595"/>
      <c r="BB96" s="166"/>
      <c r="BC96" s="1594"/>
      <c r="BD96" s="1594"/>
      <c r="BE96" s="1595"/>
      <c r="BF96" s="135"/>
      <c r="BG96" s="1602">
        <f>IF(SUM(AQ96:BE96)=0,0,AVERAGE(AQ96:BE96))</f>
        <v>0</v>
      </c>
      <c r="BH96" s="1537"/>
      <c r="BI96" s="1537"/>
      <c r="BJ96" s="121"/>
      <c r="BL96" s="28" t="s">
        <v>340</v>
      </c>
    </row>
    <row r="97" spans="2:76" s="28" customFormat="1" ht="6" hidden="1" customHeight="1" outlineLevel="1">
      <c r="B97" s="117"/>
      <c r="C97" s="507"/>
      <c r="D97" s="98"/>
      <c r="E97" s="98"/>
      <c r="F97" s="98"/>
      <c r="G97" s="98"/>
      <c r="H97" s="98"/>
      <c r="I97" s="98"/>
      <c r="J97" s="98"/>
      <c r="K97" s="98"/>
      <c r="L97" s="98"/>
      <c r="M97" s="98"/>
      <c r="N97" s="98"/>
      <c r="O97" s="98"/>
      <c r="P97" s="122"/>
      <c r="Q97" s="98"/>
      <c r="R97" s="98"/>
      <c r="S97" s="135"/>
      <c r="T97" s="135"/>
      <c r="U97" s="135"/>
      <c r="V97" s="135"/>
      <c r="W97" s="135"/>
      <c r="X97" s="135"/>
      <c r="Y97" s="135"/>
      <c r="Z97" s="135"/>
      <c r="AA97" s="135"/>
      <c r="AB97" s="135"/>
      <c r="AC97" s="135"/>
      <c r="AD97" s="135"/>
      <c r="AE97" s="135"/>
      <c r="AF97" s="135"/>
      <c r="AG97" s="135"/>
      <c r="AH97" s="135"/>
      <c r="AI97" s="135"/>
      <c r="AJ97" s="135"/>
      <c r="AK97" s="135"/>
      <c r="AL97" s="461"/>
      <c r="AM97" s="135"/>
      <c r="AN97" s="593"/>
      <c r="AO97" s="593"/>
      <c r="AP97" s="135"/>
      <c r="AQ97" s="135"/>
      <c r="AR97" s="135"/>
      <c r="AS97" s="135"/>
      <c r="AT97" s="98"/>
      <c r="AU97" s="98"/>
      <c r="AV97" s="55"/>
      <c r="AW97" s="55"/>
      <c r="AX97" s="55"/>
      <c r="AY97" s="55"/>
      <c r="AZ97" s="55"/>
      <c r="BA97" s="55"/>
      <c r="BB97" s="55"/>
      <c r="BC97" s="55"/>
      <c r="BD97" s="55"/>
      <c r="BE97" s="55"/>
      <c r="BF97" s="55"/>
      <c r="BG97" s="55"/>
      <c r="BH97" s="55"/>
      <c r="BI97" s="55"/>
      <c r="BJ97" s="121"/>
    </row>
    <row r="98" spans="2:76" collapsed="1">
      <c r="B98" s="147"/>
      <c r="C98" s="523"/>
      <c r="D98" s="52"/>
      <c r="E98" s="52"/>
      <c r="F98" s="52"/>
      <c r="G98" s="52"/>
      <c r="H98" s="52"/>
      <c r="I98" s="52"/>
      <c r="J98" s="52"/>
      <c r="K98" s="52"/>
      <c r="L98" s="52"/>
      <c r="M98" s="52"/>
      <c r="N98" s="52"/>
      <c r="O98" s="52"/>
      <c r="P98" s="55"/>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152"/>
    </row>
    <row r="99" spans="2:76">
      <c r="B99" s="147"/>
      <c r="C99" s="541" t="str">
        <f>X!$C$258</f>
        <v>Vollbetriebsstunden der Maschine</v>
      </c>
      <c r="D99" s="52"/>
      <c r="E99" s="52"/>
      <c r="F99" s="52"/>
      <c r="G99" s="52"/>
      <c r="H99" s="52"/>
      <c r="I99" s="52"/>
      <c r="J99" s="52"/>
      <c r="K99" s="52"/>
      <c r="L99" s="52"/>
      <c r="M99" s="52"/>
      <c r="N99" s="52"/>
      <c r="O99" s="52"/>
      <c r="P99" s="55"/>
      <c r="Q99" s="52"/>
      <c r="R99" s="52"/>
      <c r="S99" s="1577"/>
      <c r="T99" s="1577"/>
      <c r="U99" s="1577"/>
      <c r="V99" s="52"/>
      <c r="W99" s="1463"/>
      <c r="X99" s="1463"/>
      <c r="Y99" s="1463"/>
      <c r="Z99" s="52"/>
      <c r="AA99" s="1449"/>
      <c r="AB99" s="1449"/>
      <c r="AC99" s="1449"/>
      <c r="AD99" s="52"/>
      <c r="AE99" s="1449"/>
      <c r="AF99" s="1449"/>
      <c r="AG99" s="1449"/>
      <c r="AH99" s="52"/>
      <c r="AI99" s="1449"/>
      <c r="AJ99" s="1449"/>
      <c r="AK99" s="1449"/>
      <c r="AL99" s="462"/>
      <c r="AM99" s="52"/>
      <c r="AN99" s="52"/>
      <c r="AO99" s="52"/>
      <c r="AP99" s="52"/>
      <c r="AQ99" s="1577"/>
      <c r="AR99" s="1577"/>
      <c r="AS99" s="1577"/>
      <c r="AT99" s="52"/>
      <c r="AU99" s="1463"/>
      <c r="AV99" s="1463"/>
      <c r="AW99" s="1463"/>
      <c r="AX99" s="52"/>
      <c r="AY99" s="1449"/>
      <c r="AZ99" s="1449"/>
      <c r="BA99" s="1449"/>
      <c r="BB99" s="52"/>
      <c r="BC99" s="1449"/>
      <c r="BD99" s="1449"/>
      <c r="BE99" s="1449"/>
      <c r="BF99" s="52"/>
      <c r="BG99" s="1449"/>
      <c r="BH99" s="1449"/>
      <c r="BI99" s="1449"/>
      <c r="BJ99" s="152"/>
    </row>
    <row r="100" spans="2:76" s="28" customFormat="1" ht="6" customHeight="1">
      <c r="B100" s="117"/>
      <c r="C100" s="474"/>
      <c r="D100" s="98"/>
      <c r="E100" s="98"/>
      <c r="F100" s="98"/>
      <c r="G100" s="98"/>
      <c r="H100" s="98"/>
      <c r="I100" s="98"/>
      <c r="J100" s="98"/>
      <c r="K100" s="98"/>
      <c r="L100" s="98"/>
      <c r="M100" s="98"/>
      <c r="N100" s="98"/>
      <c r="O100" s="98"/>
      <c r="P100" s="122"/>
      <c r="Q100" s="98"/>
      <c r="R100" s="98"/>
      <c r="S100" s="98"/>
      <c r="T100" s="98"/>
      <c r="U100" s="98"/>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c r="BA100" s="98"/>
      <c r="BB100" s="98"/>
      <c r="BC100" s="98"/>
      <c r="BD100" s="98"/>
      <c r="BE100" s="98"/>
      <c r="BF100" s="98"/>
      <c r="BG100" s="98"/>
      <c r="BH100" s="98"/>
      <c r="BI100" s="98"/>
      <c r="BJ100" s="121"/>
    </row>
    <row r="101" spans="2:76" s="28" customFormat="1" ht="17.100000000000001" customHeight="1">
      <c r="B101" s="117"/>
      <c r="C101" s="463"/>
      <c r="D101" s="28" t="s">
        <v>183</v>
      </c>
      <c r="E101" s="561" t="str">
        <f>X!$C$214</f>
        <v>Standard-Profil</v>
      </c>
      <c r="F101" s="122"/>
      <c r="G101" s="122"/>
      <c r="H101" s="122"/>
      <c r="I101" s="122"/>
      <c r="J101" s="122"/>
      <c r="K101" s="122"/>
      <c r="L101" s="122"/>
      <c r="M101" s="122"/>
      <c r="N101" s="122"/>
      <c r="O101" s="122"/>
      <c r="P101" s="122" t="s">
        <v>118</v>
      </c>
      <c r="Q101" s="122"/>
      <c r="R101" s="122"/>
      <c r="S101" s="1488">
        <f>S398</f>
        <v>0</v>
      </c>
      <c r="T101" s="1488"/>
      <c r="U101" s="1488"/>
      <c r="V101" s="253"/>
      <c r="W101" s="1488">
        <f>W398</f>
        <v>0</v>
      </c>
      <c r="X101" s="1488"/>
      <c r="Y101" s="1488"/>
      <c r="Z101" s="166"/>
      <c r="AA101" s="1488">
        <f>AA398</f>
        <v>0</v>
      </c>
      <c r="AB101" s="1488"/>
      <c r="AC101" s="1488"/>
      <c r="AD101" s="166"/>
      <c r="AE101" s="1488">
        <f>AE398</f>
        <v>0</v>
      </c>
      <c r="AF101" s="1488"/>
      <c r="AG101" s="1488"/>
      <c r="AH101" s="364"/>
      <c r="AI101" s="1714">
        <f>AVERAGE(S101:AG101)</f>
        <v>0</v>
      </c>
      <c r="AJ101" s="1714"/>
      <c r="AK101" s="1714"/>
      <c r="AL101" s="473"/>
      <c r="AM101" s="364"/>
      <c r="AN101" s="596"/>
      <c r="AO101" s="596"/>
      <c r="AP101" s="364"/>
      <c r="AQ101" s="1488">
        <f>AQ398</f>
        <v>0</v>
      </c>
      <c r="AR101" s="1488"/>
      <c r="AS101" s="1488"/>
      <c r="AT101" s="253"/>
      <c r="AU101" s="1488">
        <f>AU398</f>
        <v>0</v>
      </c>
      <c r="AV101" s="1488"/>
      <c r="AW101" s="1488"/>
      <c r="AX101" s="166"/>
      <c r="AY101" s="1488">
        <f>AY398</f>
        <v>0</v>
      </c>
      <c r="AZ101" s="1488"/>
      <c r="BA101" s="1488"/>
      <c r="BB101" s="166"/>
      <c r="BC101" s="1488">
        <f>BC398</f>
        <v>0</v>
      </c>
      <c r="BD101" s="1488"/>
      <c r="BE101" s="1488"/>
      <c r="BF101" s="364"/>
      <c r="BG101" s="1714">
        <f>AVERAGE(AQ101:BE101)</f>
        <v>0</v>
      </c>
      <c r="BH101" s="1714"/>
      <c r="BI101" s="1714"/>
      <c r="BJ101" s="121"/>
    </row>
    <row r="102" spans="2:76" s="28" customFormat="1" ht="6" customHeight="1">
      <c r="B102" s="117"/>
      <c r="C102" s="474"/>
      <c r="E102" s="98"/>
      <c r="F102" s="98"/>
      <c r="G102" s="98"/>
      <c r="H102" s="98"/>
      <c r="I102" s="98"/>
      <c r="J102" s="98"/>
      <c r="K102" s="98"/>
      <c r="L102" s="98"/>
      <c r="M102" s="98"/>
      <c r="N102" s="98"/>
      <c r="O102" s="98"/>
      <c r="P102" s="122"/>
      <c r="Q102" s="98"/>
      <c r="R102" s="98"/>
      <c r="S102" s="165"/>
      <c r="T102" s="165"/>
      <c r="U102" s="165"/>
      <c r="V102" s="165"/>
      <c r="W102" s="165"/>
      <c r="X102" s="165"/>
      <c r="Y102" s="165"/>
      <c r="Z102" s="165"/>
      <c r="AA102" s="165"/>
      <c r="AB102" s="165"/>
      <c r="AC102" s="165"/>
      <c r="AD102" s="165"/>
      <c r="AE102" s="165"/>
      <c r="AF102" s="165"/>
      <c r="AG102" s="165"/>
      <c r="AH102" s="135"/>
      <c r="AI102" s="135"/>
      <c r="AJ102" s="135"/>
      <c r="AK102" s="135"/>
      <c r="AL102" s="461"/>
      <c r="AM102" s="135"/>
      <c r="AN102" s="593"/>
      <c r="AO102" s="593"/>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21"/>
    </row>
    <row r="103" spans="2:76" s="28" customFormat="1" ht="17.100000000000001" customHeight="1">
      <c r="B103" s="117"/>
      <c r="C103" s="363"/>
      <c r="D103" s="28" t="s">
        <v>184</v>
      </c>
      <c r="E103" s="562" t="str">
        <f>X!$C$28</f>
        <v>Annahmen Planer</v>
      </c>
      <c r="F103" s="55"/>
      <c r="G103" s="55"/>
      <c r="H103" s="55"/>
      <c r="I103" s="55"/>
      <c r="J103" s="55"/>
      <c r="K103" s="55"/>
      <c r="L103" s="55"/>
      <c r="M103" s="55"/>
      <c r="N103" s="55"/>
      <c r="O103" s="55"/>
      <c r="P103" s="55" t="s">
        <v>118</v>
      </c>
      <c r="Q103" s="55"/>
      <c r="R103" s="55"/>
      <c r="S103" s="1698"/>
      <c r="T103" s="1698"/>
      <c r="U103" s="1699"/>
      <c r="V103" s="253"/>
      <c r="W103" s="1698"/>
      <c r="X103" s="1698"/>
      <c r="Y103" s="1699"/>
      <c r="Z103" s="166"/>
      <c r="AA103" s="1698"/>
      <c r="AB103" s="1698"/>
      <c r="AC103" s="1699"/>
      <c r="AD103" s="166"/>
      <c r="AE103" s="1698"/>
      <c r="AF103" s="1698"/>
      <c r="AG103" s="1699"/>
      <c r="AH103" s="364"/>
      <c r="AI103" s="1462">
        <f>IF(SUM(S103:AG103)=0,0,AVERAGE(S103:AG103))</f>
        <v>0</v>
      </c>
      <c r="AJ103" s="1462"/>
      <c r="AK103" s="1462"/>
      <c r="AL103" s="464"/>
      <c r="AM103" s="612" t="s">
        <v>292</v>
      </c>
      <c r="AN103" s="612" t="s">
        <v>292</v>
      </c>
      <c r="AO103" s="612" t="s">
        <v>292</v>
      </c>
      <c r="AP103" s="365"/>
      <c r="AQ103" s="1698"/>
      <c r="AR103" s="1698"/>
      <c r="AS103" s="1699"/>
      <c r="AT103" s="253"/>
      <c r="AU103" s="1698"/>
      <c r="AV103" s="1698"/>
      <c r="AW103" s="1699"/>
      <c r="AX103" s="166"/>
      <c r="AY103" s="1698"/>
      <c r="AZ103" s="1698"/>
      <c r="BA103" s="1699"/>
      <c r="BB103" s="166"/>
      <c r="BC103" s="1698"/>
      <c r="BD103" s="1698"/>
      <c r="BE103" s="1699"/>
      <c r="BF103" s="364"/>
      <c r="BG103" s="1602">
        <f>IF(SUM(AQ103:BE103)=0,0,AVERAGE(AQ103:BE103))</f>
        <v>0</v>
      </c>
      <c r="BH103" s="1537"/>
      <c r="BI103" s="1537"/>
      <c r="BJ103" s="121"/>
      <c r="BQ103" s="531">
        <f>LEN(BV103)</f>
        <v>139</v>
      </c>
      <c r="BR103" s="531"/>
      <c r="BS103" s="531"/>
      <c r="BT103" s="531"/>
      <c r="BU103" s="28" t="s">
        <v>421</v>
      </c>
      <c r="BV103" s="28" t="str">
        <f>X!E436</f>
        <v>Eingabe der vom Planer berechneten Betriebszeit der Maschine. (Möglichkeit die Erfahrungen oder situative Situation einfliessen zu lassen).</v>
      </c>
      <c r="BW103" s="28" t="str">
        <f>X!F436</f>
        <v>Saisie du temps de marche de la machine calculé par le projeteur. (possibilité d'intégrer l'expérience ou la situation effective).</v>
      </c>
      <c r="BX103" s="28" t="str">
        <f>X!G436</f>
        <v>Inserimento del tempo d'esercizio della macchina calcolato dal progettista. (Si possono far confluire le esperienze o la situazione effettiva).</v>
      </c>
    </row>
    <row r="104" spans="2:76" s="28" customFormat="1" ht="6" hidden="1" customHeight="1" outlineLevel="1">
      <c r="B104" s="117"/>
      <c r="C104" s="969"/>
      <c r="D104" s="98"/>
      <c r="E104" s="98"/>
      <c r="F104" s="98"/>
      <c r="G104" s="98"/>
      <c r="H104" s="98"/>
      <c r="I104" s="98"/>
      <c r="J104" s="98"/>
      <c r="K104" s="98"/>
      <c r="L104" s="98"/>
      <c r="M104" s="98"/>
      <c r="N104" s="98"/>
      <c r="O104" s="98"/>
      <c r="P104" s="122"/>
      <c r="Q104" s="98"/>
      <c r="R104" s="98"/>
      <c r="S104" s="966"/>
      <c r="T104" s="966"/>
      <c r="U104" s="966"/>
      <c r="V104" s="966"/>
      <c r="W104" s="966"/>
      <c r="X104" s="966"/>
      <c r="Y104" s="966"/>
      <c r="Z104" s="966"/>
      <c r="AA104" s="966"/>
      <c r="AB104" s="966"/>
      <c r="AC104" s="966"/>
      <c r="AD104" s="966"/>
      <c r="AE104" s="966"/>
      <c r="AF104" s="966"/>
      <c r="AG104" s="966"/>
      <c r="AH104" s="966"/>
      <c r="AI104" s="966"/>
      <c r="AJ104" s="966"/>
      <c r="AK104" s="966"/>
      <c r="AL104" s="966"/>
      <c r="AM104" s="966"/>
      <c r="AN104" s="966"/>
      <c r="AO104" s="966"/>
      <c r="AP104" s="966"/>
      <c r="AQ104" s="966"/>
      <c r="AR104" s="966"/>
      <c r="AS104" s="966"/>
      <c r="AT104" s="966"/>
      <c r="AU104" s="966"/>
      <c r="AV104" s="966"/>
      <c r="AW104" s="966"/>
      <c r="AX104" s="966"/>
      <c r="AY104" s="966"/>
      <c r="AZ104" s="966"/>
      <c r="BA104" s="640"/>
      <c r="BB104" s="640"/>
      <c r="BC104" s="640"/>
      <c r="BD104" s="640"/>
      <c r="BE104" s="640"/>
      <c r="BF104" s="640"/>
      <c r="BG104" s="640"/>
      <c r="BH104" s="640"/>
      <c r="BI104" s="640"/>
      <c r="BJ104" s="121"/>
    </row>
    <row r="105" spans="2:76" s="1008" customFormat="1" ht="17.100000000000001" hidden="1" customHeight="1" outlineLevel="1">
      <c r="B105" s="998"/>
      <c r="C105" s="999"/>
      <c r="D105" s="1000"/>
      <c r="E105" s="1001" t="s">
        <v>979</v>
      </c>
      <c r="F105" s="1001"/>
      <c r="G105" s="1001"/>
      <c r="H105" s="1001"/>
      <c r="I105" s="1001"/>
      <c r="J105" s="1001"/>
      <c r="K105" s="1001"/>
      <c r="L105" s="1001"/>
      <c r="M105" s="1001"/>
      <c r="N105" s="1001"/>
      <c r="O105" s="1001"/>
      <c r="P105" s="1002" t="s">
        <v>118</v>
      </c>
      <c r="Q105" s="1001"/>
      <c r="R105" s="1001"/>
      <c r="S105" s="1697">
        <f>IF(S103="",S101,S103)</f>
        <v>0</v>
      </c>
      <c r="T105" s="1697"/>
      <c r="U105" s="1697"/>
      <c r="V105" s="1003"/>
      <c r="W105" s="1697">
        <f>IF(W103="",W101,W103)</f>
        <v>0</v>
      </c>
      <c r="X105" s="1697"/>
      <c r="Y105" s="1697"/>
      <c r="Z105" s="1004"/>
      <c r="AA105" s="1697">
        <f>IF(AA103="",AA101,AA103)</f>
        <v>0</v>
      </c>
      <c r="AB105" s="1697"/>
      <c r="AC105" s="1697"/>
      <c r="AD105" s="1004"/>
      <c r="AE105" s="1697">
        <f>IF(AE103="",AE101,AE103)</f>
        <v>0</v>
      </c>
      <c r="AF105" s="1697"/>
      <c r="AG105" s="1697"/>
      <c r="AH105" s="1003"/>
      <c r="AI105" s="1697">
        <f>AVERAGE(S105:AG105)</f>
        <v>0</v>
      </c>
      <c r="AJ105" s="1697"/>
      <c r="AK105" s="1697"/>
      <c r="AL105" s="1005"/>
      <c r="AM105" s="1006" t="s">
        <v>292</v>
      </c>
      <c r="AN105" s="1006" t="s">
        <v>292</v>
      </c>
      <c r="AO105" s="1006" t="s">
        <v>292</v>
      </c>
      <c r="AP105" s="1003"/>
      <c r="AQ105" s="1697">
        <f>IF(AQ103="",AQ101,AQ103)</f>
        <v>0</v>
      </c>
      <c r="AR105" s="1697"/>
      <c r="AS105" s="1697"/>
      <c r="AT105" s="1003"/>
      <c r="AU105" s="1697">
        <f>IF(AU103="",AU101,AU103)</f>
        <v>0</v>
      </c>
      <c r="AV105" s="1697"/>
      <c r="AW105" s="1697"/>
      <c r="AX105" s="1004"/>
      <c r="AY105" s="1697">
        <f>IF(AY103="",AY101,AY103)</f>
        <v>0</v>
      </c>
      <c r="AZ105" s="1697"/>
      <c r="BA105" s="1697"/>
      <c r="BB105" s="1004"/>
      <c r="BC105" s="1697">
        <f>IF(BC103="",BC101,BC103)</f>
        <v>0</v>
      </c>
      <c r="BD105" s="1697"/>
      <c r="BE105" s="1697"/>
      <c r="BF105" s="1003"/>
      <c r="BG105" s="1697">
        <f>AVERAGE(AQ105:BE105)</f>
        <v>0</v>
      </c>
      <c r="BH105" s="1697"/>
      <c r="BI105" s="1697"/>
      <c r="BJ105" s="1007"/>
      <c r="BP105" s="1009"/>
      <c r="BQ105" s="1010">
        <f>LEN(BV105)</f>
        <v>144</v>
      </c>
      <c r="BR105" s="1010"/>
      <c r="BS105" s="1010"/>
      <c r="BT105" s="1010"/>
      <c r="BU105" s="1009" t="s">
        <v>422</v>
      </c>
      <c r="BV105" s="1009" t="str">
        <f>X!E435</f>
        <v>Falls es zusätzliche Hilfsbetriebe auf der «kalten Seite» gibt, die im ESEER noch nicht eingerechnet sind, können diese hier eingetragen werden.</v>
      </c>
      <c r="BW105" s="1009" t="str">
        <f>X!F435</f>
        <v>S'il y a des unités auxiliaires supplémentaires du «côté froid» non intégrés dans l'ESEER, elles peuvent être saisies ici.</v>
      </c>
      <c r="BX105" s="1009" t="str">
        <f>X!G435</f>
        <v>In presenza di aggregati ausiliari supplementari nella «parte freddo» non ancora calcolati nell'ESEER, è possibile inserirli qui.</v>
      </c>
    </row>
    <row r="106" spans="2:76" s="28" customFormat="1" ht="6" customHeight="1" collapsed="1">
      <c r="B106" s="117"/>
      <c r="C106" s="474"/>
      <c r="D106" s="98"/>
      <c r="E106" s="98"/>
      <c r="F106" s="98"/>
      <c r="G106" s="98"/>
      <c r="H106" s="98"/>
      <c r="I106" s="98"/>
      <c r="J106" s="98"/>
      <c r="K106" s="98"/>
      <c r="L106" s="98"/>
      <c r="M106" s="98"/>
      <c r="N106" s="98"/>
      <c r="O106" s="98"/>
      <c r="P106" s="122"/>
      <c r="Q106" s="98"/>
      <c r="R106" s="98"/>
      <c r="S106" s="135"/>
      <c r="T106" s="135"/>
      <c r="U106" s="135"/>
      <c r="V106" s="135"/>
      <c r="W106" s="135"/>
      <c r="X106" s="135"/>
      <c r="Y106" s="135"/>
      <c r="Z106" s="135"/>
      <c r="AA106" s="135"/>
      <c r="AB106" s="135"/>
      <c r="AC106" s="135"/>
      <c r="AD106" s="135"/>
      <c r="AE106" s="135"/>
      <c r="AF106" s="135"/>
      <c r="AG106" s="135"/>
      <c r="AH106" s="135"/>
      <c r="AI106" s="135"/>
      <c r="AJ106" s="135"/>
      <c r="AK106" s="135"/>
      <c r="AL106" s="461"/>
      <c r="AM106" s="135"/>
      <c r="AN106" s="593"/>
      <c r="AO106" s="593"/>
      <c r="AP106" s="135"/>
      <c r="AQ106" s="966"/>
      <c r="AR106" s="966"/>
      <c r="AS106" s="966"/>
      <c r="AT106" s="966"/>
      <c r="AU106" s="966"/>
      <c r="AV106" s="966"/>
      <c r="AW106" s="966"/>
      <c r="AX106" s="966"/>
      <c r="AY106" s="966"/>
      <c r="AZ106" s="966"/>
      <c r="BA106" s="966"/>
      <c r="BB106" s="966"/>
      <c r="BC106" s="966"/>
      <c r="BD106" s="966"/>
      <c r="BE106" s="966"/>
      <c r="BF106" s="966"/>
      <c r="BG106" s="966"/>
      <c r="BH106" s="966"/>
      <c r="BI106" s="966"/>
      <c r="BJ106" s="121"/>
    </row>
    <row r="107" spans="2:76" ht="17.100000000000001" customHeight="1">
      <c r="B107" s="147"/>
      <c r="C107" s="477"/>
      <c r="D107" s="543" t="str">
        <f>X!$C$22</f>
        <v>Abweichung Planer-Wert</v>
      </c>
      <c r="E107" s="52"/>
      <c r="F107" s="52"/>
      <c r="G107" s="52"/>
      <c r="H107" s="52"/>
      <c r="I107" s="52"/>
      <c r="J107" s="52"/>
      <c r="K107" s="52"/>
      <c r="L107" s="52"/>
      <c r="M107" s="52"/>
      <c r="N107" s="52"/>
      <c r="O107" s="52"/>
      <c r="P107" s="55" t="s">
        <v>30</v>
      </c>
      <c r="Q107" s="52"/>
      <c r="R107" s="52"/>
      <c r="S107" s="1597" t="str">
        <f>IF(S101=0,"--",S105/S101-1)</f>
        <v>--</v>
      </c>
      <c r="T107" s="1597"/>
      <c r="U107" s="1597"/>
      <c r="V107" s="203"/>
      <c r="W107" s="1597" t="str">
        <f>IF(W101=0,"--",W105/W101-1)</f>
        <v>--</v>
      </c>
      <c r="X107" s="1597"/>
      <c r="Y107" s="1597"/>
      <c r="Z107" s="204"/>
      <c r="AA107" s="1597" t="str">
        <f>IF(AA101=0,"--",AA105/AA101-1)</f>
        <v>--</v>
      </c>
      <c r="AB107" s="1597"/>
      <c r="AC107" s="1597"/>
      <c r="AD107" s="204"/>
      <c r="AE107" s="1597" t="str">
        <f>IF(AE101=0,"--",AE105/AE101-1)</f>
        <v>--</v>
      </c>
      <c r="AF107" s="1597"/>
      <c r="AG107" s="1597"/>
      <c r="AH107" s="203"/>
      <c r="AI107" s="1597" t="str">
        <f>IF(AI105=0,"--",AI105/AI101-1)</f>
        <v>--</v>
      </c>
      <c r="AJ107" s="1597"/>
      <c r="AK107" s="1597"/>
      <c r="AL107" s="469"/>
      <c r="AM107" s="612" t="s">
        <v>292</v>
      </c>
      <c r="AN107" s="612" t="s">
        <v>292</v>
      </c>
      <c r="AO107" s="612" t="s">
        <v>292</v>
      </c>
      <c r="AP107" s="203"/>
      <c r="AQ107" s="1597" t="str">
        <f>IF(AQ101=0,"--",AQ105/AQ101-1)</f>
        <v>--</v>
      </c>
      <c r="AR107" s="1597"/>
      <c r="AS107" s="1597"/>
      <c r="AT107" s="203"/>
      <c r="AU107" s="1597" t="str">
        <f>IF(AU101=0,"--",AU105/AU101-1)</f>
        <v>--</v>
      </c>
      <c r="AV107" s="1597"/>
      <c r="AW107" s="1597"/>
      <c r="AX107" s="204"/>
      <c r="AY107" s="1597" t="str">
        <f>IF(AY101=0,"--",AY105/AY101-1)</f>
        <v>--</v>
      </c>
      <c r="AZ107" s="1597"/>
      <c r="BA107" s="1597"/>
      <c r="BB107" s="204"/>
      <c r="BC107" s="1597" t="str">
        <f>IF(BC101=0,"--",BC105/BC101-1)</f>
        <v>--</v>
      </c>
      <c r="BD107" s="1597"/>
      <c r="BE107" s="1597"/>
      <c r="BF107" s="203"/>
      <c r="BG107" s="1597" t="str">
        <f>IF(BG101=0,"--",BG105/BG101-1)</f>
        <v>--</v>
      </c>
      <c r="BH107" s="1597"/>
      <c r="BI107" s="1597"/>
      <c r="BJ107" s="152"/>
      <c r="BP107" s="28"/>
      <c r="BQ107" s="531">
        <f>LEN(BV107)</f>
        <v>107</v>
      </c>
      <c r="BR107" s="531"/>
      <c r="BS107" s="531"/>
      <c r="BT107" s="531"/>
      <c r="BU107" s="28" t="s">
        <v>422</v>
      </c>
      <c r="BV107" s="28" t="str">
        <f>X!E437</f>
        <v xml:space="preserve">Hier wird die prozentuale Abweichung der «Laufzeiten des Planers» von den «Standard-Laufzeiten» angezeigt. </v>
      </c>
      <c r="BW107" s="28" t="str">
        <f>X!F437</f>
        <v xml:space="preserve">L'écart en % des «durées de marche du projeteur» des «durées de marche standard» est affiché à cet endroit. </v>
      </c>
      <c r="BX107" s="28" t="str">
        <f>X!G437</f>
        <v xml:space="preserve">Qui viene indicata la differenza percentuale tra i «tempi del progettista» e i «tempi standard». </v>
      </c>
    </row>
    <row r="108" spans="2:76" s="28" customFormat="1" ht="17.100000000000001" customHeight="1">
      <c r="B108" s="117"/>
      <c r="C108" s="474"/>
      <c r="D108" s="98"/>
      <c r="E108" s="98"/>
      <c r="F108" s="98"/>
      <c r="G108" s="98"/>
      <c r="H108" s="98"/>
      <c r="I108" s="98"/>
      <c r="J108" s="98"/>
      <c r="K108" s="98"/>
      <c r="L108" s="98"/>
      <c r="M108" s="98"/>
      <c r="N108" s="98"/>
      <c r="O108" s="98"/>
      <c r="P108" s="122"/>
      <c r="Q108" s="98"/>
      <c r="R108" s="98"/>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50"/>
      <c r="BB108" s="150"/>
      <c r="BC108" s="150"/>
      <c r="BD108" s="150"/>
      <c r="BE108" s="150"/>
      <c r="BF108" s="150"/>
      <c r="BG108" s="150"/>
      <c r="BH108" s="150"/>
      <c r="BI108" s="150"/>
      <c r="BJ108" s="121"/>
    </row>
    <row r="109" spans="2:76" s="209" customFormat="1" ht="38.1" customHeight="1">
      <c r="B109" s="205"/>
      <c r="C109" s="511"/>
      <c r="D109" s="563" t="str">
        <f>X!$C$123</f>
        <v>Hinweis</v>
      </c>
      <c r="E109" s="206"/>
      <c r="F109" s="206"/>
      <c r="G109" s="206"/>
      <c r="H109" s="206"/>
      <c r="I109" s="206"/>
      <c r="J109" s="206"/>
      <c r="K109" s="206"/>
      <c r="L109" s="206"/>
      <c r="M109" s="206"/>
      <c r="N109" s="206"/>
      <c r="O109" s="206"/>
      <c r="P109" s="206"/>
      <c r="Q109" s="206"/>
      <c r="R109" s="206"/>
      <c r="S109" s="1544" t="str">
        <f>IF(AI107&lt;D269,S269,"")</f>
        <v/>
      </c>
      <c r="T109" s="1544"/>
      <c r="U109" s="1544"/>
      <c r="V109" s="1544"/>
      <c r="W109" s="1544"/>
      <c r="X109" s="1544"/>
      <c r="Y109" s="1544"/>
      <c r="Z109" s="1544"/>
      <c r="AA109" s="1544"/>
      <c r="AB109" s="1544"/>
      <c r="AC109" s="1544"/>
      <c r="AD109" s="1544"/>
      <c r="AE109" s="1544"/>
      <c r="AF109" s="1544"/>
      <c r="AG109" s="1544"/>
      <c r="AH109" s="1544"/>
      <c r="AI109" s="1544"/>
      <c r="AJ109" s="1544"/>
      <c r="AK109" s="1544"/>
      <c r="AL109" s="471"/>
      <c r="AM109" s="207"/>
      <c r="AN109" s="207"/>
      <c r="AO109" s="207"/>
      <c r="AP109" s="207"/>
      <c r="AQ109" s="1544" t="str">
        <f>IF(BG107&lt;D269,S269,"")</f>
        <v/>
      </c>
      <c r="AR109" s="1544"/>
      <c r="AS109" s="1544"/>
      <c r="AT109" s="1544"/>
      <c r="AU109" s="1544"/>
      <c r="AV109" s="1544"/>
      <c r="AW109" s="1544"/>
      <c r="AX109" s="1544"/>
      <c r="AY109" s="1544"/>
      <c r="AZ109" s="1544"/>
      <c r="BA109" s="1544"/>
      <c r="BB109" s="1544"/>
      <c r="BC109" s="1544"/>
      <c r="BD109" s="1544"/>
      <c r="BE109" s="1544"/>
      <c r="BF109" s="1544"/>
      <c r="BG109" s="1544"/>
      <c r="BH109" s="1544"/>
      <c r="BI109" s="1544"/>
      <c r="BJ109" s="208"/>
    </row>
    <row r="110" spans="2:76" s="28" customFormat="1" ht="6" customHeight="1">
      <c r="B110" s="117"/>
      <c r="C110" s="474"/>
      <c r="D110" s="98"/>
      <c r="E110" s="98"/>
      <c r="F110" s="98"/>
      <c r="G110" s="98"/>
      <c r="H110" s="98"/>
      <c r="I110" s="98"/>
      <c r="J110" s="98"/>
      <c r="K110" s="98"/>
      <c r="L110" s="98"/>
      <c r="M110" s="98"/>
      <c r="N110" s="98"/>
      <c r="O110" s="98"/>
      <c r="P110" s="122"/>
      <c r="Q110" s="98"/>
      <c r="R110" s="98"/>
      <c r="S110" s="135"/>
      <c r="T110" s="135"/>
      <c r="U110" s="135"/>
      <c r="V110" s="135"/>
      <c r="W110" s="135"/>
      <c r="X110" s="135"/>
      <c r="Y110" s="135"/>
      <c r="Z110" s="135"/>
      <c r="AA110" s="135"/>
      <c r="AB110" s="135"/>
      <c r="AC110" s="135"/>
      <c r="AD110" s="135"/>
      <c r="AE110" s="135"/>
      <c r="AF110" s="135"/>
      <c r="AG110" s="135"/>
      <c r="AH110" s="135"/>
      <c r="AI110" s="135"/>
      <c r="AJ110" s="135"/>
      <c r="AK110" s="135"/>
      <c r="AL110" s="461"/>
      <c r="AM110" s="135"/>
      <c r="AN110" s="135"/>
      <c r="AO110" s="442"/>
      <c r="AP110" s="135"/>
      <c r="AQ110" s="135"/>
      <c r="AR110" s="135"/>
      <c r="AS110" s="135"/>
      <c r="AT110" s="135"/>
      <c r="AU110" s="135"/>
      <c r="AV110" s="135"/>
      <c r="AW110" s="135"/>
      <c r="AX110" s="135"/>
      <c r="AY110" s="135"/>
      <c r="AZ110" s="135"/>
      <c r="BA110" s="55"/>
      <c r="BB110" s="55"/>
      <c r="BC110" s="55"/>
      <c r="BD110" s="55"/>
      <c r="BE110" s="55"/>
      <c r="BF110" s="55"/>
      <c r="BG110" s="55"/>
      <c r="BH110" s="55"/>
      <c r="BI110" s="55"/>
      <c r="BJ110" s="121"/>
    </row>
    <row r="111" spans="2:76" s="28" customFormat="1" ht="32.1" customHeight="1">
      <c r="B111" s="117"/>
      <c r="C111" s="474"/>
      <c r="D111" s="98"/>
      <c r="E111" s="98"/>
      <c r="F111" s="98"/>
      <c r="G111" s="98"/>
      <c r="H111" s="98"/>
      <c r="I111" s="98"/>
      <c r="J111" s="98"/>
      <c r="K111" s="98"/>
      <c r="L111" s="98"/>
      <c r="M111" s="98"/>
      <c r="N111" s="98"/>
      <c r="O111" s="98"/>
      <c r="P111" s="122"/>
      <c r="Q111" s="98"/>
      <c r="R111" s="98"/>
      <c r="S111" s="1545" t="str">
        <f>IF(AI107&lt;D269,AQ269,"")</f>
        <v/>
      </c>
      <c r="T111" s="1545"/>
      <c r="U111" s="1545"/>
      <c r="V111" s="1545"/>
      <c r="W111" s="1545"/>
      <c r="X111" s="1545"/>
      <c r="Y111" s="1545"/>
      <c r="Z111" s="1545"/>
      <c r="AA111" s="1545"/>
      <c r="AB111" s="1545"/>
      <c r="AC111" s="1545"/>
      <c r="AD111" s="1545"/>
      <c r="AE111" s="1545"/>
      <c r="AF111" s="1545"/>
      <c r="AG111" s="1545"/>
      <c r="AH111" s="1545"/>
      <c r="AI111" s="1545"/>
      <c r="AJ111" s="1545"/>
      <c r="AK111" s="1545"/>
      <c r="AL111" s="472"/>
      <c r="AM111" s="149"/>
      <c r="AN111" s="149"/>
      <c r="AO111" s="149"/>
      <c r="AP111" s="149"/>
      <c r="AQ111" s="1545" t="str">
        <f>IF(BG107&lt;D269,AQ269,"")</f>
        <v/>
      </c>
      <c r="AR111" s="1545"/>
      <c r="AS111" s="1545"/>
      <c r="AT111" s="1545"/>
      <c r="AU111" s="1545"/>
      <c r="AV111" s="1545"/>
      <c r="AW111" s="1545"/>
      <c r="AX111" s="1545"/>
      <c r="AY111" s="1545"/>
      <c r="AZ111" s="1545"/>
      <c r="BA111" s="1545"/>
      <c r="BB111" s="1545"/>
      <c r="BC111" s="1545"/>
      <c r="BD111" s="1545"/>
      <c r="BE111" s="1545"/>
      <c r="BF111" s="1545"/>
      <c r="BG111" s="1545"/>
      <c r="BH111" s="1545"/>
      <c r="BI111" s="1545"/>
      <c r="BJ111" s="121"/>
    </row>
    <row r="112" spans="2:76">
      <c r="B112" s="161"/>
      <c r="C112" s="506"/>
      <c r="D112" s="127"/>
      <c r="E112" s="127"/>
      <c r="F112" s="127"/>
      <c r="G112" s="127"/>
      <c r="H112" s="127"/>
      <c r="I112" s="127"/>
      <c r="J112" s="127"/>
      <c r="K112" s="127"/>
      <c r="L112" s="127"/>
      <c r="M112" s="127"/>
      <c r="N112" s="127"/>
      <c r="O112" s="127"/>
      <c r="P112" s="126"/>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62"/>
    </row>
    <row r="113" spans="2:62" ht="17.100000000000001" customHeight="1">
      <c r="B113" s="52"/>
      <c r="C113" s="477"/>
      <c r="D113" s="52"/>
      <c r="E113" s="52"/>
      <c r="F113" s="52"/>
      <c r="G113" s="52"/>
      <c r="H113" s="52"/>
      <c r="I113" s="52"/>
      <c r="J113" s="52"/>
      <c r="K113" s="52"/>
      <c r="L113" s="52"/>
      <c r="M113" s="52"/>
      <c r="N113" s="52"/>
      <c r="O113" s="52"/>
      <c r="P113" s="55"/>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row>
    <row r="114" spans="2:62" ht="17.100000000000001" customHeight="1">
      <c r="B114" s="52"/>
      <c r="C114" s="477"/>
      <c r="D114" s="52"/>
      <c r="E114" s="52"/>
      <c r="F114" s="52"/>
      <c r="G114" s="52"/>
      <c r="H114" s="52"/>
      <c r="I114" s="52"/>
      <c r="J114" s="52"/>
      <c r="K114" s="52"/>
      <c r="L114" s="52"/>
      <c r="M114" s="52"/>
      <c r="N114" s="52"/>
      <c r="O114" s="52"/>
      <c r="P114" s="55"/>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row>
    <row r="115" spans="2:62">
      <c r="B115" s="103"/>
      <c r="C115" s="502"/>
      <c r="D115" s="104"/>
      <c r="E115" s="104"/>
      <c r="F115" s="104"/>
      <c r="G115" s="104"/>
      <c r="H115" s="104"/>
      <c r="I115" s="104"/>
      <c r="J115" s="104"/>
      <c r="K115" s="104"/>
      <c r="L115" s="104"/>
      <c r="M115" s="104"/>
      <c r="N115" s="104"/>
      <c r="O115" s="104"/>
      <c r="P115" s="105"/>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6"/>
    </row>
    <row r="116" spans="2:62" s="116" customFormat="1" ht="21" customHeight="1">
      <c r="B116" s="107"/>
      <c r="C116" s="486">
        <v>4</v>
      </c>
      <c r="D116" s="546" t="str">
        <f>X!$C$277</f>
        <v>Zusammenstellung Ergebnisse</v>
      </c>
      <c r="E116" s="109"/>
      <c r="F116" s="109"/>
      <c r="G116" s="110"/>
      <c r="H116" s="110"/>
      <c r="I116" s="111"/>
      <c r="J116" s="111"/>
      <c r="K116" s="111"/>
      <c r="L116" s="111"/>
      <c r="M116" s="111"/>
      <c r="N116" s="111"/>
      <c r="O116" s="111"/>
      <c r="P116" s="111"/>
      <c r="Q116" s="111"/>
      <c r="R116" s="111"/>
      <c r="S116" s="109"/>
      <c r="T116" s="109"/>
      <c r="U116" s="110"/>
      <c r="V116" s="110"/>
      <c r="W116" s="110"/>
      <c r="X116" s="110"/>
      <c r="Y116" s="110"/>
      <c r="Z116" s="110"/>
      <c r="AA116" s="110"/>
      <c r="AB116" s="110"/>
      <c r="AC116" s="110"/>
      <c r="AD116" s="110"/>
      <c r="AE116" s="110"/>
      <c r="AF116" s="110"/>
      <c r="AG116" s="110"/>
      <c r="AH116" s="110"/>
      <c r="AI116" s="110"/>
      <c r="AJ116" s="110"/>
      <c r="AK116" s="110"/>
      <c r="AL116" s="110"/>
      <c r="AM116" s="111"/>
      <c r="AN116" s="111"/>
      <c r="AO116" s="111"/>
      <c r="AP116" s="111"/>
      <c r="AQ116" s="109"/>
      <c r="AR116" s="109"/>
      <c r="AS116" s="110"/>
      <c r="AT116" s="110"/>
      <c r="AU116" s="110"/>
      <c r="AV116" s="110"/>
      <c r="AW116" s="110"/>
      <c r="AX116" s="110"/>
      <c r="AY116" s="110"/>
      <c r="AZ116" s="110"/>
      <c r="BA116" s="110"/>
      <c r="BB116" s="110"/>
      <c r="BC116" s="110"/>
      <c r="BD116" s="110"/>
      <c r="BE116" s="110"/>
      <c r="BF116" s="110"/>
      <c r="BG116" s="110"/>
      <c r="BH116" s="110"/>
      <c r="BI116" s="110"/>
      <c r="BJ116" s="115"/>
    </row>
    <row r="117" spans="2:62" s="28" customFormat="1" ht="17.100000000000001" customHeight="1">
      <c r="B117" s="117"/>
      <c r="C117" s="489"/>
      <c r="D117" s="98"/>
      <c r="E117" s="98"/>
      <c r="F117" s="98"/>
      <c r="G117" s="98"/>
      <c r="H117" s="98"/>
      <c r="I117" s="98"/>
      <c r="J117" s="98"/>
      <c r="K117" s="98"/>
      <c r="L117" s="98"/>
      <c r="M117" s="98"/>
      <c r="N117" s="98"/>
      <c r="O117" s="98"/>
      <c r="P117" s="122"/>
      <c r="Q117" s="98"/>
      <c r="R117" s="98"/>
      <c r="S117" s="135"/>
      <c r="T117" s="135"/>
      <c r="U117" s="135"/>
      <c r="V117" s="98"/>
      <c r="W117" s="136"/>
      <c r="X117" s="136"/>
      <c r="Y117" s="136"/>
      <c r="Z117" s="136"/>
      <c r="AA117" s="136"/>
      <c r="AB117" s="136"/>
      <c r="AC117" s="136"/>
      <c r="AD117" s="136"/>
      <c r="AE117" s="136"/>
      <c r="AF117" s="98"/>
      <c r="AG117" s="98"/>
      <c r="AH117" s="98"/>
      <c r="AI117" s="98"/>
      <c r="AJ117" s="98"/>
      <c r="AK117" s="98"/>
      <c r="AL117" s="98"/>
      <c r="AM117" s="98"/>
      <c r="AN117" s="98"/>
      <c r="AO117" s="98"/>
      <c r="AP117" s="98"/>
      <c r="AQ117" s="135"/>
      <c r="AR117" s="135"/>
      <c r="AS117" s="135"/>
      <c r="AT117" s="98"/>
      <c r="AU117" s="136"/>
      <c r="AV117" s="136"/>
      <c r="AW117" s="136"/>
      <c r="AX117" s="136"/>
      <c r="AY117" s="136"/>
      <c r="AZ117" s="136"/>
      <c r="BA117" s="136"/>
      <c r="BB117" s="136"/>
      <c r="BC117" s="136"/>
      <c r="BD117" s="55"/>
      <c r="BE117" s="55"/>
      <c r="BF117" s="55"/>
      <c r="BG117" s="55"/>
      <c r="BH117" s="52"/>
      <c r="BI117" s="55"/>
      <c r="BJ117" s="121"/>
    </row>
    <row r="118" spans="2:62" s="139" customFormat="1" ht="17.100000000000001" customHeight="1">
      <c r="B118" s="137"/>
      <c r="C118" s="488"/>
      <c r="D118" s="138"/>
      <c r="E118" s="138"/>
      <c r="F118" s="138"/>
      <c r="S118" s="140" t="str">
        <f>'1 System specification'!O132</f>
        <v>Variante A</v>
      </c>
      <c r="T118" s="140"/>
      <c r="U118" s="141"/>
      <c r="V118" s="141"/>
      <c r="W118" s="141"/>
      <c r="X118" s="141"/>
      <c r="Y118" s="141"/>
      <c r="Z118" s="141"/>
      <c r="AA118" s="141"/>
      <c r="AB118" s="141"/>
      <c r="AC118" s="141"/>
      <c r="AD118" s="141"/>
      <c r="AE118" s="141"/>
      <c r="AF118" s="141"/>
      <c r="AG118" s="141"/>
      <c r="AH118" s="141"/>
      <c r="AI118" s="141"/>
      <c r="AJ118" s="141"/>
      <c r="AK118" s="141"/>
      <c r="AL118" s="431"/>
      <c r="AQ118" s="140" t="str">
        <f>'1 System specification'!O133</f>
        <v/>
      </c>
      <c r="AR118" s="140"/>
      <c r="AS118" s="141"/>
      <c r="AT118" s="141"/>
      <c r="AU118" s="141"/>
      <c r="AV118" s="141"/>
      <c r="AW118" s="141"/>
      <c r="AX118" s="141"/>
      <c r="AY118" s="141"/>
      <c r="AZ118" s="141"/>
      <c r="BA118" s="141"/>
      <c r="BB118" s="141"/>
      <c r="BC118" s="141"/>
      <c r="BD118" s="141"/>
      <c r="BE118" s="141"/>
      <c r="BF118" s="141"/>
      <c r="BG118" s="141"/>
      <c r="BH118" s="141"/>
      <c r="BI118" s="141"/>
      <c r="BJ118" s="142"/>
    </row>
    <row r="119" spans="2:62" s="28" customFormat="1" ht="17.100000000000001" customHeight="1">
      <c r="B119" s="117"/>
      <c r="C119" s="474"/>
      <c r="D119" s="98"/>
      <c r="E119" s="98"/>
      <c r="F119" s="98"/>
      <c r="G119" s="98"/>
      <c r="H119" s="98"/>
      <c r="I119" s="98"/>
      <c r="J119" s="98"/>
      <c r="K119" s="98"/>
      <c r="L119" s="98"/>
      <c r="M119" s="98"/>
      <c r="N119" s="98"/>
      <c r="O119" s="98"/>
      <c r="P119" s="122"/>
      <c r="Q119" s="98"/>
      <c r="R119" s="98"/>
      <c r="S119" s="98"/>
      <c r="T119" s="98"/>
      <c r="U119" s="98"/>
      <c r="V119" s="98"/>
      <c r="W119" s="98"/>
      <c r="X119" s="98"/>
      <c r="Y119" s="98"/>
      <c r="Z119" s="98"/>
      <c r="AA119" s="55"/>
      <c r="AB119" s="55"/>
      <c r="AC119" s="55"/>
      <c r="AD119" s="55"/>
      <c r="AE119" s="55"/>
      <c r="AF119" s="55"/>
      <c r="AG119" s="55"/>
      <c r="AH119" s="55"/>
      <c r="AI119" s="55"/>
      <c r="AJ119" s="55"/>
      <c r="AK119" s="55"/>
      <c r="AL119" s="55"/>
      <c r="AM119" s="55"/>
      <c r="AN119" s="55"/>
      <c r="AO119" s="55"/>
      <c r="AP119" s="55"/>
      <c r="AQ119" s="55"/>
      <c r="AR119" s="55"/>
      <c r="AS119" s="55"/>
      <c r="AT119" s="120"/>
      <c r="AU119" s="55"/>
      <c r="AV119" s="55"/>
      <c r="AW119" s="55"/>
      <c r="AX119" s="55"/>
      <c r="AY119" s="55"/>
      <c r="AZ119" s="55"/>
      <c r="BA119" s="55"/>
      <c r="BB119" s="55"/>
      <c r="BC119" s="55"/>
      <c r="BD119" s="55"/>
      <c r="BE119" s="55"/>
      <c r="BF119" s="55"/>
      <c r="BG119" s="55"/>
      <c r="BH119" s="52"/>
      <c r="BI119" s="55"/>
      <c r="BJ119" s="121"/>
    </row>
    <row r="120" spans="2:62">
      <c r="B120" s="147"/>
      <c r="C120" s="495">
        <v>4.0999999999999996</v>
      </c>
      <c r="D120" s="544" t="str">
        <f>X!$C$103</f>
        <v>Ergebnis der Abschätzung gemäss Standard- Profil</v>
      </c>
      <c r="E120" s="52"/>
      <c r="F120" s="52"/>
      <c r="G120" s="52"/>
      <c r="H120" s="52"/>
      <c r="I120" s="52"/>
      <c r="J120" s="52"/>
      <c r="K120" s="52"/>
      <c r="L120" s="52"/>
      <c r="M120" s="52"/>
      <c r="N120" s="52"/>
      <c r="O120" s="52"/>
      <c r="P120" s="55"/>
      <c r="Q120" s="52"/>
      <c r="R120" s="52"/>
      <c r="S120" s="52"/>
      <c r="T120" s="52"/>
      <c r="U120" s="52"/>
      <c r="V120" s="52"/>
      <c r="W120" s="92"/>
      <c r="X120" s="92"/>
      <c r="Y120" s="92"/>
      <c r="Z120" s="92"/>
      <c r="AA120" s="92"/>
      <c r="AB120" s="92"/>
      <c r="AC120" s="92"/>
      <c r="AD120" s="92"/>
      <c r="AE120" s="9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152"/>
    </row>
    <row r="121" spans="2:62" s="28" customFormat="1" ht="6" customHeight="1">
      <c r="B121" s="117"/>
      <c r="C121" s="474"/>
      <c r="D121" s="98"/>
      <c r="E121" s="98"/>
      <c r="F121" s="98"/>
      <c r="G121" s="98"/>
      <c r="H121" s="98"/>
      <c r="I121" s="98"/>
      <c r="J121" s="98"/>
      <c r="K121" s="98"/>
      <c r="L121" s="98"/>
      <c r="M121" s="98"/>
      <c r="N121" s="98"/>
      <c r="O121" s="98"/>
      <c r="P121" s="122"/>
      <c r="Q121" s="98"/>
      <c r="R121" s="98"/>
      <c r="S121" s="135"/>
      <c r="T121" s="135"/>
      <c r="U121" s="135"/>
      <c r="V121" s="135"/>
      <c r="W121" s="135"/>
      <c r="X121" s="135"/>
      <c r="Y121" s="135"/>
      <c r="Z121" s="135"/>
      <c r="AA121" s="135"/>
      <c r="AB121" s="135"/>
      <c r="AC121" s="135"/>
      <c r="AD121" s="135"/>
      <c r="AE121" s="135"/>
      <c r="AF121" s="135"/>
      <c r="AG121" s="135"/>
      <c r="AH121" s="135"/>
      <c r="AI121" s="135"/>
      <c r="AJ121" s="135"/>
      <c r="AK121" s="135"/>
      <c r="AL121" s="461"/>
      <c r="AM121" s="135"/>
      <c r="AN121" s="135"/>
      <c r="AO121" s="442"/>
      <c r="AP121" s="135"/>
      <c r="AQ121" s="135"/>
      <c r="AR121" s="135"/>
      <c r="AS121" s="135"/>
      <c r="AT121" s="98"/>
      <c r="AU121" s="98"/>
      <c r="AV121" s="55"/>
      <c r="AW121" s="55"/>
      <c r="AX121" s="55"/>
      <c r="AY121" s="55"/>
      <c r="AZ121" s="55"/>
      <c r="BA121" s="55"/>
      <c r="BB121" s="55"/>
      <c r="BC121" s="55"/>
      <c r="BD121" s="55"/>
      <c r="BE121" s="55"/>
      <c r="BF121" s="55"/>
      <c r="BG121" s="55"/>
      <c r="BH121" s="55"/>
      <c r="BI121" s="55"/>
      <c r="BJ121" s="121"/>
    </row>
    <row r="122" spans="2:62">
      <c r="B122" s="147"/>
      <c r="C122" s="477"/>
      <c r="D122" s="52"/>
      <c r="E122" s="52"/>
      <c r="F122" s="52"/>
      <c r="G122" s="52"/>
      <c r="H122" s="52"/>
      <c r="I122" s="52"/>
      <c r="J122" s="52"/>
      <c r="K122" s="52"/>
      <c r="L122" s="52"/>
      <c r="M122" s="52"/>
      <c r="N122" s="52"/>
      <c r="O122" s="52"/>
      <c r="P122" s="55"/>
      <c r="Q122" s="52"/>
      <c r="R122" s="52"/>
      <c r="S122" s="1577" t="str">
        <f>S92</f>
        <v>Frühling</v>
      </c>
      <c r="T122" s="1577"/>
      <c r="U122" s="1577"/>
      <c r="V122" s="52"/>
      <c r="W122" s="1463" t="str">
        <f>W92</f>
        <v>Sommer</v>
      </c>
      <c r="X122" s="1463"/>
      <c r="Y122" s="1463"/>
      <c r="Z122" s="52"/>
      <c r="AA122" s="1449" t="str">
        <f>AA92</f>
        <v>Herbst</v>
      </c>
      <c r="AB122" s="1449"/>
      <c r="AC122" s="1449"/>
      <c r="AD122" s="52"/>
      <c r="AE122" s="1449" t="str">
        <f>AE92</f>
        <v>Winter</v>
      </c>
      <c r="AF122" s="1449"/>
      <c r="AG122" s="1449"/>
      <c r="AH122" s="52"/>
      <c r="AI122" s="1449" t="str">
        <f>AI92</f>
        <v>Jahr</v>
      </c>
      <c r="AJ122" s="1449"/>
      <c r="AK122" s="1449"/>
      <c r="AL122" s="462"/>
      <c r="AM122" s="52"/>
      <c r="AN122" s="52"/>
      <c r="AO122" s="52"/>
      <c r="AP122" s="52"/>
      <c r="AQ122" s="1713" t="str">
        <f>S122</f>
        <v>Frühling</v>
      </c>
      <c r="AR122" s="1713"/>
      <c r="AS122" s="1713"/>
      <c r="AT122" s="55"/>
      <c r="AU122" s="1483" t="str">
        <f>W122</f>
        <v>Sommer</v>
      </c>
      <c r="AV122" s="1483"/>
      <c r="AW122" s="1483"/>
      <c r="AX122" s="55"/>
      <c r="AY122" s="1483" t="str">
        <f>AA122</f>
        <v>Herbst</v>
      </c>
      <c r="AZ122" s="1483"/>
      <c r="BA122" s="1483"/>
      <c r="BB122" s="55"/>
      <c r="BC122" s="1483" t="str">
        <f>AE122</f>
        <v>Winter</v>
      </c>
      <c r="BD122" s="1483"/>
      <c r="BE122" s="1483"/>
      <c r="BF122" s="55"/>
      <c r="BG122" s="1483" t="str">
        <f>AI122</f>
        <v>Jahr</v>
      </c>
      <c r="BH122" s="1483"/>
      <c r="BI122" s="1483"/>
      <c r="BJ122" s="152"/>
    </row>
    <row r="123" spans="2:62" s="28" customFormat="1" ht="6" customHeight="1">
      <c r="B123" s="117"/>
      <c r="C123" s="474"/>
      <c r="D123" s="98"/>
      <c r="E123" s="98"/>
      <c r="F123" s="98"/>
      <c r="G123" s="98"/>
      <c r="H123" s="98"/>
      <c r="I123" s="98"/>
      <c r="J123" s="98"/>
      <c r="K123" s="98"/>
      <c r="L123" s="98"/>
      <c r="M123" s="98"/>
      <c r="N123" s="98"/>
      <c r="O123" s="98"/>
      <c r="P123" s="122"/>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121"/>
    </row>
    <row r="124" spans="2:62" s="28" customFormat="1" ht="14.1" customHeight="1">
      <c r="B124" s="117"/>
      <c r="C124" s="541" t="str">
        <f>X!$C$59</f>
        <v>Betriebszeiten (pro Tag)</v>
      </c>
      <c r="D124" s="202"/>
      <c r="E124" s="98"/>
      <c r="F124" s="98"/>
      <c r="G124" s="98"/>
      <c r="H124" s="98"/>
      <c r="I124" s="98"/>
      <c r="J124" s="98"/>
      <c r="K124" s="98"/>
      <c r="L124" s="98"/>
      <c r="M124" s="98"/>
      <c r="N124" s="98"/>
      <c r="O124" s="98"/>
      <c r="P124" s="122" t="s">
        <v>118</v>
      </c>
      <c r="Q124" s="98"/>
      <c r="R124" s="98"/>
      <c r="S124" s="1598">
        <f>S101</f>
        <v>0</v>
      </c>
      <c r="T124" s="1598"/>
      <c r="U124" s="1598"/>
      <c r="V124" s="165"/>
      <c r="W124" s="1598">
        <f>W101</f>
        <v>0</v>
      </c>
      <c r="X124" s="1598"/>
      <c r="Y124" s="1598"/>
      <c r="Z124" s="166"/>
      <c r="AA124" s="1598">
        <f>AA101</f>
        <v>0</v>
      </c>
      <c r="AB124" s="1598"/>
      <c r="AC124" s="1598"/>
      <c r="AD124" s="166"/>
      <c r="AE124" s="1598">
        <f>AE101</f>
        <v>0</v>
      </c>
      <c r="AF124" s="1598"/>
      <c r="AG124" s="1598"/>
      <c r="AH124" s="135"/>
      <c r="AI124" s="1598">
        <f>AI101</f>
        <v>0</v>
      </c>
      <c r="AJ124" s="1598"/>
      <c r="AK124" s="1598"/>
      <c r="AL124" s="466"/>
      <c r="AM124" s="135"/>
      <c r="AN124" s="135"/>
      <c r="AO124" s="442"/>
      <c r="AP124" s="135"/>
      <c r="AQ124" s="1598">
        <f>AQ101</f>
        <v>0</v>
      </c>
      <c r="AR124" s="1598"/>
      <c r="AS124" s="1598"/>
      <c r="AT124" s="135"/>
      <c r="AU124" s="1598">
        <f>AU101</f>
        <v>0</v>
      </c>
      <c r="AV124" s="1598"/>
      <c r="AW124" s="1598"/>
      <c r="AX124" s="168"/>
      <c r="AY124" s="1598">
        <f>AY101</f>
        <v>0</v>
      </c>
      <c r="AZ124" s="1598"/>
      <c r="BA124" s="1598"/>
      <c r="BB124" s="168"/>
      <c r="BC124" s="1598">
        <f>BC101</f>
        <v>0</v>
      </c>
      <c r="BD124" s="1598"/>
      <c r="BE124" s="1598"/>
      <c r="BF124" s="135"/>
      <c r="BG124" s="1598">
        <f>BG101</f>
        <v>0</v>
      </c>
      <c r="BH124" s="1598"/>
      <c r="BI124" s="1598"/>
      <c r="BJ124" s="121"/>
    </row>
    <row r="125" spans="2:62" s="28" customFormat="1" ht="6" customHeight="1">
      <c r="B125" s="117"/>
      <c r="C125" s="474"/>
      <c r="D125" s="98"/>
      <c r="E125" s="98"/>
      <c r="F125" s="98"/>
      <c r="G125" s="98"/>
      <c r="H125" s="98"/>
      <c r="I125" s="98"/>
      <c r="J125" s="98"/>
      <c r="K125" s="98"/>
      <c r="L125" s="98"/>
      <c r="M125" s="98"/>
      <c r="N125" s="98"/>
      <c r="O125" s="98"/>
      <c r="P125" s="122"/>
      <c r="Q125" s="98"/>
      <c r="R125" s="98"/>
      <c r="S125" s="165"/>
      <c r="T125" s="165"/>
      <c r="U125" s="165"/>
      <c r="V125" s="165"/>
      <c r="W125" s="165"/>
      <c r="X125" s="165"/>
      <c r="Y125" s="165"/>
      <c r="Z125" s="165"/>
      <c r="AA125" s="165"/>
      <c r="AB125" s="165"/>
      <c r="AC125" s="165"/>
      <c r="AD125" s="165"/>
      <c r="AE125" s="165"/>
      <c r="AF125" s="165"/>
      <c r="AG125" s="165"/>
      <c r="AH125" s="135"/>
      <c r="AI125" s="135"/>
      <c r="AJ125" s="135"/>
      <c r="AK125" s="135"/>
      <c r="AL125" s="461"/>
      <c r="AM125" s="135"/>
      <c r="AN125" s="135"/>
      <c r="AO125" s="442"/>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21"/>
    </row>
    <row r="126" spans="2:62" s="28" customFormat="1" ht="14.1" customHeight="1">
      <c r="B126" s="117"/>
      <c r="C126" s="542" t="str">
        <f>X!$C$93</f>
        <v>Elektrizitätsverbrauch</v>
      </c>
      <c r="D126" s="98"/>
      <c r="E126" s="98"/>
      <c r="F126" s="98"/>
      <c r="G126" s="98"/>
      <c r="H126" s="98"/>
      <c r="I126" s="98"/>
      <c r="J126" s="98"/>
      <c r="K126" s="98"/>
      <c r="L126" s="98"/>
      <c r="M126" s="98"/>
      <c r="N126" s="98"/>
      <c r="O126" s="98"/>
      <c r="P126" s="122"/>
      <c r="Q126" s="98"/>
      <c r="R126" s="98"/>
      <c r="S126" s="1445"/>
      <c r="T126" s="1463"/>
      <c r="U126" s="1463"/>
      <c r="V126" s="135"/>
      <c r="W126" s="136"/>
      <c r="X126" s="136"/>
      <c r="Y126" s="136"/>
      <c r="Z126" s="136"/>
      <c r="AA126" s="136"/>
      <c r="AB126" s="136"/>
      <c r="AC126" s="136"/>
      <c r="AD126" s="136"/>
      <c r="AE126" s="136"/>
      <c r="AF126" s="135"/>
      <c r="AG126" s="135"/>
      <c r="AH126" s="135"/>
      <c r="AI126" s="135"/>
      <c r="AJ126" s="135"/>
      <c r="AK126" s="135"/>
      <c r="AL126" s="461"/>
      <c r="AM126" s="135"/>
      <c r="AN126" s="135"/>
      <c r="AO126" s="442"/>
      <c r="AP126" s="135"/>
      <c r="AQ126" s="160"/>
      <c r="AR126" s="160"/>
      <c r="AS126" s="160"/>
      <c r="AT126" s="98"/>
      <c r="AU126" s="136"/>
      <c r="AV126" s="136"/>
      <c r="AW126" s="136"/>
      <c r="AX126" s="136"/>
      <c r="AY126" s="136"/>
      <c r="AZ126" s="136"/>
      <c r="BA126" s="136"/>
      <c r="BB126" s="136"/>
      <c r="BC126" s="136"/>
      <c r="BD126" s="55"/>
      <c r="BE126" s="55"/>
      <c r="BF126" s="55"/>
      <c r="BG126" s="55"/>
      <c r="BH126" s="55"/>
      <c r="BI126" s="55"/>
      <c r="BJ126" s="121"/>
    </row>
    <row r="127" spans="2:62" s="28" customFormat="1" ht="14.1" customHeight="1">
      <c r="B127" s="117"/>
      <c r="C127" s="474"/>
      <c r="D127" s="535" t="str">
        <f>X!$C$176</f>
        <v>Maschine</v>
      </c>
      <c r="E127" s="98"/>
      <c r="F127" s="98"/>
      <c r="G127" s="98"/>
      <c r="H127" s="98"/>
      <c r="I127" s="98"/>
      <c r="J127" s="98"/>
      <c r="K127" s="98"/>
      <c r="L127" s="98"/>
      <c r="M127" s="98"/>
      <c r="N127" s="98"/>
      <c r="O127" s="98"/>
      <c r="P127" s="122" t="s">
        <v>22</v>
      </c>
      <c r="Q127" s="98"/>
      <c r="R127" s="98"/>
      <c r="V127" s="135"/>
      <c r="W127" s="136"/>
      <c r="X127" s="136"/>
      <c r="Y127" s="136"/>
      <c r="Z127" s="136"/>
      <c r="AA127" s="136"/>
      <c r="AB127" s="136"/>
      <c r="AC127" s="136"/>
      <c r="AD127" s="136"/>
      <c r="AE127" s="136"/>
      <c r="AF127" s="135"/>
      <c r="AG127" s="135"/>
      <c r="AH127" s="135"/>
      <c r="AI127" s="1445">
        <f>AI183</f>
        <v>0</v>
      </c>
      <c r="AJ127" s="1463"/>
      <c r="AK127" s="1463"/>
      <c r="AL127" s="461"/>
      <c r="AM127" s="135"/>
      <c r="AN127" s="135"/>
      <c r="AO127" s="442"/>
      <c r="AP127" s="135"/>
      <c r="AQ127" s="52"/>
      <c r="AR127" s="52"/>
      <c r="AS127" s="52"/>
      <c r="AT127" s="135"/>
      <c r="AU127" s="163"/>
      <c r="AV127" s="136"/>
      <c r="AW127" s="136"/>
      <c r="AX127" s="136"/>
      <c r="AY127" s="136"/>
      <c r="AZ127" s="136"/>
      <c r="BA127" s="136"/>
      <c r="BB127" s="136"/>
      <c r="BC127" s="136"/>
      <c r="BD127" s="55"/>
      <c r="BE127" s="55"/>
      <c r="BF127" s="55"/>
      <c r="BG127" s="1445">
        <f>BG183</f>
        <v>0</v>
      </c>
      <c r="BH127" s="1463"/>
      <c r="BI127" s="1463"/>
      <c r="BJ127" s="121"/>
    </row>
    <row r="128" spans="2:62" s="28" customFormat="1" ht="14.1" customHeight="1">
      <c r="B128" s="117"/>
      <c r="C128" s="474"/>
      <c r="D128" s="535" t="str">
        <f>X!$C$122</f>
        <v>Hilfsbetriebe «warme Seite»</v>
      </c>
      <c r="E128" s="98"/>
      <c r="F128" s="98"/>
      <c r="G128" s="98"/>
      <c r="H128" s="98"/>
      <c r="I128" s="98"/>
      <c r="J128" s="98"/>
      <c r="K128" s="98"/>
      <c r="L128" s="98"/>
      <c r="M128" s="98"/>
      <c r="N128" s="98"/>
      <c r="O128" s="98"/>
      <c r="P128" s="122" t="s">
        <v>22</v>
      </c>
      <c r="Q128" s="98"/>
      <c r="R128" s="98"/>
      <c r="V128" s="135"/>
      <c r="W128" s="136"/>
      <c r="X128" s="136"/>
      <c r="Y128" s="136"/>
      <c r="Z128" s="136"/>
      <c r="AA128" s="136"/>
      <c r="AB128" s="136"/>
      <c r="AC128" s="136"/>
      <c r="AD128" s="136"/>
      <c r="AE128" s="136"/>
      <c r="AF128" s="135"/>
      <c r="AG128" s="135"/>
      <c r="AH128" s="135"/>
      <c r="AI128" s="1445">
        <f>AA195</f>
        <v>0</v>
      </c>
      <c r="AJ128" s="1463"/>
      <c r="AK128" s="1463"/>
      <c r="AL128" s="461"/>
      <c r="AM128" s="135"/>
      <c r="AN128" s="135"/>
      <c r="AO128" s="442"/>
      <c r="AP128" s="135"/>
      <c r="AQ128" s="52"/>
      <c r="AR128" s="52"/>
      <c r="AS128" s="52"/>
      <c r="AT128" s="135"/>
      <c r="AU128" s="163"/>
      <c r="AV128" s="136"/>
      <c r="AW128" s="136"/>
      <c r="AX128" s="136"/>
      <c r="AY128" s="136"/>
      <c r="AZ128" s="136"/>
      <c r="BA128" s="136"/>
      <c r="BB128" s="136"/>
      <c r="BC128" s="136"/>
      <c r="BD128" s="55"/>
      <c r="BE128" s="55"/>
      <c r="BF128" s="55"/>
      <c r="BG128" s="1445">
        <f>AY195</f>
        <v>0</v>
      </c>
      <c r="BH128" s="1463"/>
      <c r="BI128" s="1463"/>
      <c r="BJ128" s="121"/>
    </row>
    <row r="129" spans="2:62" s="28" customFormat="1" ht="14.1" customHeight="1">
      <c r="B129" s="117"/>
      <c r="C129" s="474"/>
      <c r="D129" s="535" t="str">
        <f>X!$C$121</f>
        <v>Hilfsbetriebe «kalte Seite»</v>
      </c>
      <c r="E129" s="98"/>
      <c r="F129" s="98"/>
      <c r="G129" s="98"/>
      <c r="H129" s="98"/>
      <c r="I129" s="98"/>
      <c r="J129" s="98"/>
      <c r="K129" s="98"/>
      <c r="L129" s="98"/>
      <c r="M129" s="98"/>
      <c r="N129" s="98"/>
      <c r="O129" s="98"/>
      <c r="P129" s="122" t="s">
        <v>22</v>
      </c>
      <c r="Q129" s="98"/>
      <c r="R129" s="98"/>
      <c r="V129" s="135"/>
      <c r="W129" s="168"/>
      <c r="X129" s="168"/>
      <c r="Y129" s="168"/>
      <c r="Z129" s="168"/>
      <c r="AA129" s="168"/>
      <c r="AB129" s="168"/>
      <c r="AC129" s="168"/>
      <c r="AD129" s="168"/>
      <c r="AE129" s="168"/>
      <c r="AF129" s="135"/>
      <c r="AG129" s="135"/>
      <c r="AH129" s="135"/>
      <c r="AI129" s="1445">
        <f>AA205</f>
        <v>0</v>
      </c>
      <c r="AJ129" s="1463"/>
      <c r="AK129" s="1463"/>
      <c r="AL129" s="461"/>
      <c r="AM129" s="135"/>
      <c r="AN129" s="135"/>
      <c r="AO129" s="442"/>
      <c r="AP129" s="135"/>
      <c r="AQ129" s="52"/>
      <c r="AR129" s="52"/>
      <c r="AS129" s="52"/>
      <c r="AT129" s="135"/>
      <c r="AU129" s="210"/>
      <c r="AV129" s="136"/>
      <c r="AW129" s="136"/>
      <c r="AX129" s="136"/>
      <c r="AY129" s="136"/>
      <c r="AZ129" s="136"/>
      <c r="BA129" s="136"/>
      <c r="BB129" s="136"/>
      <c r="BC129" s="136"/>
      <c r="BD129" s="55"/>
      <c r="BE129" s="55"/>
      <c r="BF129" s="55"/>
      <c r="BG129" s="1445">
        <f>AY205</f>
        <v>0</v>
      </c>
      <c r="BH129" s="1463"/>
      <c r="BI129" s="1463"/>
      <c r="BJ129" s="121"/>
    </row>
    <row r="130" spans="2:62" s="28" customFormat="1" ht="14.1" customHeight="1">
      <c r="B130" s="117"/>
      <c r="C130" s="474"/>
      <c r="D130" s="535" t="str">
        <f>X!$C$234</f>
        <v>Total Elektrizitätsverbrauch</v>
      </c>
      <c r="E130" s="98"/>
      <c r="F130" s="98"/>
      <c r="G130" s="98"/>
      <c r="H130" s="98"/>
      <c r="I130" s="98"/>
      <c r="J130" s="98"/>
      <c r="K130" s="98"/>
      <c r="L130" s="98"/>
      <c r="M130" s="98"/>
      <c r="N130" s="98"/>
      <c r="O130" s="98"/>
      <c r="P130" s="122" t="s">
        <v>22</v>
      </c>
      <c r="Q130" s="98"/>
      <c r="R130" s="98"/>
      <c r="V130" s="135"/>
      <c r="W130" s="168"/>
      <c r="X130" s="168"/>
      <c r="Y130" s="168"/>
      <c r="Z130" s="168"/>
      <c r="AA130" s="168"/>
      <c r="AB130" s="168"/>
      <c r="AC130" s="168"/>
      <c r="AD130" s="168"/>
      <c r="AE130" s="168"/>
      <c r="AF130" s="135"/>
      <c r="AG130" s="135"/>
      <c r="AH130" s="135"/>
      <c r="AI130" s="1445">
        <f>SUM(AI127:AK129)</f>
        <v>0</v>
      </c>
      <c r="AJ130" s="1463"/>
      <c r="AK130" s="1463"/>
      <c r="AL130" s="461"/>
      <c r="AM130" s="135"/>
      <c r="AN130" s="135"/>
      <c r="AO130" s="442"/>
      <c r="AP130" s="135"/>
      <c r="AQ130" s="52"/>
      <c r="AR130" s="52"/>
      <c r="AS130" s="52"/>
      <c r="AT130" s="135"/>
      <c r="AU130" s="210"/>
      <c r="AV130" s="136"/>
      <c r="AW130" s="136"/>
      <c r="AX130" s="136"/>
      <c r="AY130" s="136"/>
      <c r="AZ130" s="136"/>
      <c r="BA130" s="136"/>
      <c r="BB130" s="136"/>
      <c r="BC130" s="136"/>
      <c r="BD130" s="55"/>
      <c r="BE130" s="55"/>
      <c r="BF130" s="55"/>
      <c r="BG130" s="1445">
        <f>SUM(BG127:BI129)</f>
        <v>0</v>
      </c>
      <c r="BH130" s="1463"/>
      <c r="BI130" s="1463"/>
      <c r="BJ130" s="121"/>
    </row>
    <row r="131" spans="2:62" s="28" customFormat="1" ht="12.95" customHeight="1">
      <c r="B131" s="117"/>
      <c r="C131" s="474"/>
      <c r="D131" s="98"/>
      <c r="E131" s="98"/>
      <c r="F131" s="98"/>
      <c r="G131" s="98"/>
      <c r="H131" s="98"/>
      <c r="I131" s="98"/>
      <c r="J131" s="98"/>
      <c r="K131" s="98"/>
      <c r="L131" s="98"/>
      <c r="M131" s="98"/>
      <c r="N131" s="98"/>
      <c r="O131" s="98"/>
      <c r="P131" s="122"/>
      <c r="Q131" s="98"/>
      <c r="R131" s="98"/>
      <c r="V131" s="135"/>
      <c r="W131" s="135"/>
      <c r="X131" s="135"/>
      <c r="Y131" s="135"/>
      <c r="Z131" s="135"/>
      <c r="AA131" s="135"/>
      <c r="AB131" s="135"/>
      <c r="AC131" s="135"/>
      <c r="AD131" s="135"/>
      <c r="AE131" s="135"/>
      <c r="AF131" s="135"/>
      <c r="AG131" s="135"/>
      <c r="AH131" s="135"/>
      <c r="AI131" s="135"/>
      <c r="AJ131" s="135"/>
      <c r="AK131" s="135"/>
      <c r="AL131" s="461"/>
      <c r="AM131" s="135"/>
      <c r="AN131" s="135"/>
      <c r="AO131" s="442"/>
      <c r="AP131" s="135"/>
      <c r="AQ131" s="52"/>
      <c r="AR131" s="52"/>
      <c r="AS131" s="52"/>
      <c r="AT131" s="135"/>
      <c r="AU131" s="135"/>
      <c r="AV131" s="55"/>
      <c r="AW131" s="55"/>
      <c r="AX131" s="55"/>
      <c r="AY131" s="55"/>
      <c r="AZ131" s="55"/>
      <c r="BA131" s="55"/>
      <c r="BB131" s="55"/>
      <c r="BC131" s="55"/>
      <c r="BD131" s="55"/>
      <c r="BE131" s="55"/>
      <c r="BF131" s="55"/>
      <c r="BG131" s="135"/>
      <c r="BH131" s="135"/>
      <c r="BI131" s="135"/>
      <c r="BJ131" s="121"/>
    </row>
    <row r="132" spans="2:62" s="28" customFormat="1" ht="14.1" customHeight="1">
      <c r="B132" s="117"/>
      <c r="C132" s="542" t="str">
        <f>X!$C$95</f>
        <v>Energie</v>
      </c>
      <c r="D132" s="98"/>
      <c r="E132" s="98"/>
      <c r="F132" s="98"/>
      <c r="G132" s="98"/>
      <c r="H132" s="98"/>
      <c r="I132" s="98"/>
      <c r="J132" s="98"/>
      <c r="K132" s="98"/>
      <c r="L132" s="98"/>
      <c r="M132" s="98"/>
      <c r="N132" s="98"/>
      <c r="O132" s="98"/>
      <c r="P132" s="122"/>
      <c r="Q132" s="98"/>
      <c r="R132" s="98"/>
      <c r="V132" s="135"/>
      <c r="W132" s="136"/>
      <c r="X132" s="136"/>
      <c r="Y132" s="136"/>
      <c r="Z132" s="136"/>
      <c r="AA132" s="136"/>
      <c r="AB132" s="136"/>
      <c r="AC132" s="136"/>
      <c r="AD132" s="136"/>
      <c r="AE132" s="136"/>
      <c r="AF132" s="135"/>
      <c r="AG132" s="135"/>
      <c r="AH132" s="135"/>
      <c r="AI132" s="1445"/>
      <c r="AJ132" s="1463"/>
      <c r="AK132" s="1463"/>
      <c r="AL132" s="461"/>
      <c r="AM132" s="135"/>
      <c r="AN132" s="135"/>
      <c r="AO132" s="442"/>
      <c r="AP132" s="135"/>
      <c r="AQ132" s="52"/>
      <c r="AR132" s="52"/>
      <c r="AS132" s="52"/>
      <c r="AT132" s="135"/>
      <c r="AU132" s="163"/>
      <c r="AV132" s="136"/>
      <c r="AW132" s="136"/>
      <c r="AX132" s="136"/>
      <c r="AY132" s="136"/>
      <c r="AZ132" s="136"/>
      <c r="BA132" s="136"/>
      <c r="BB132" s="136"/>
      <c r="BC132" s="136"/>
      <c r="BD132" s="55"/>
      <c r="BE132" s="55"/>
      <c r="BF132" s="55"/>
      <c r="BG132" s="1445"/>
      <c r="BH132" s="1463"/>
      <c r="BI132" s="1463"/>
      <c r="BJ132" s="121"/>
    </row>
    <row r="133" spans="2:62" s="28" customFormat="1" ht="14.1" customHeight="1">
      <c r="B133" s="117"/>
      <c r="C133" s="474"/>
      <c r="D133" s="98" t="str">
        <f>C176</f>
        <v>Kälteproduktion der Anlage</v>
      </c>
      <c r="E133" s="98"/>
      <c r="F133" s="98"/>
      <c r="G133" s="98"/>
      <c r="H133" s="98"/>
      <c r="I133" s="98"/>
      <c r="J133" s="98"/>
      <c r="K133" s="98"/>
      <c r="L133" s="98"/>
      <c r="M133" s="98"/>
      <c r="N133" s="98"/>
      <c r="O133" s="98"/>
      <c r="P133" s="122" t="s">
        <v>22</v>
      </c>
      <c r="Q133" s="98"/>
      <c r="R133" s="98"/>
      <c r="V133" s="135"/>
      <c r="W133" s="136"/>
      <c r="X133" s="136"/>
      <c r="Y133" s="136"/>
      <c r="Z133" s="136"/>
      <c r="AA133" s="136"/>
      <c r="AB133" s="136"/>
      <c r="AC133" s="136"/>
      <c r="AD133" s="136"/>
      <c r="AE133" s="136"/>
      <c r="AF133" s="135"/>
      <c r="AG133" s="135"/>
      <c r="AH133" s="135"/>
      <c r="AI133" s="1445">
        <f>AI181</f>
        <v>0</v>
      </c>
      <c r="AJ133" s="1463"/>
      <c r="AK133" s="1463"/>
      <c r="AL133" s="461"/>
      <c r="AM133" s="135"/>
      <c r="AN133" s="135"/>
      <c r="AO133" s="442"/>
      <c r="AP133" s="135"/>
      <c r="AQ133" s="52"/>
      <c r="AR133" s="52"/>
      <c r="AS133" s="52"/>
      <c r="AT133" s="135"/>
      <c r="AU133" s="163"/>
      <c r="AV133" s="136"/>
      <c r="AW133" s="136"/>
      <c r="AX133" s="136"/>
      <c r="AY133" s="136"/>
      <c r="AZ133" s="136"/>
      <c r="BA133" s="136"/>
      <c r="BB133" s="136"/>
      <c r="BC133" s="136"/>
      <c r="BD133" s="55"/>
      <c r="BE133" s="55"/>
      <c r="BF133" s="55"/>
      <c r="BG133" s="1445">
        <f>BG181</f>
        <v>0</v>
      </c>
      <c r="BH133" s="1463"/>
      <c r="BI133" s="1463"/>
      <c r="BJ133" s="121"/>
    </row>
    <row r="134" spans="2:62" s="28" customFormat="1" ht="14.1" customHeight="1">
      <c r="B134" s="117"/>
      <c r="C134" s="474"/>
      <c r="D134" s="98" t="str">
        <f>C126</f>
        <v>Elektrizitätsverbrauch</v>
      </c>
      <c r="E134" s="98"/>
      <c r="F134" s="98"/>
      <c r="G134" s="98"/>
      <c r="H134" s="98"/>
      <c r="I134" s="98"/>
      <c r="J134" s="98"/>
      <c r="K134" s="98"/>
      <c r="L134" s="98"/>
      <c r="M134" s="98"/>
      <c r="N134" s="98"/>
      <c r="O134" s="98"/>
      <c r="P134" s="122" t="s">
        <v>22</v>
      </c>
      <c r="Q134" s="98"/>
      <c r="R134" s="98"/>
      <c r="V134" s="135"/>
      <c r="W134" s="136"/>
      <c r="X134" s="136"/>
      <c r="Y134" s="136"/>
      <c r="Z134" s="136"/>
      <c r="AA134" s="136"/>
      <c r="AB134" s="136"/>
      <c r="AC134" s="136"/>
      <c r="AD134" s="136"/>
      <c r="AE134" s="136"/>
      <c r="AF134" s="135"/>
      <c r="AG134" s="135"/>
      <c r="AH134" s="135"/>
      <c r="AI134" s="1445">
        <f>AI130</f>
        <v>0</v>
      </c>
      <c r="AJ134" s="1463"/>
      <c r="AK134" s="1463"/>
      <c r="AL134" s="461"/>
      <c r="AM134" s="135"/>
      <c r="AN134" s="135"/>
      <c r="AO134" s="442"/>
      <c r="AP134" s="135"/>
      <c r="AQ134" s="52"/>
      <c r="AR134" s="52"/>
      <c r="AS134" s="52"/>
      <c r="AT134" s="135"/>
      <c r="AU134" s="163"/>
      <c r="AV134" s="136"/>
      <c r="AW134" s="136"/>
      <c r="AX134" s="136"/>
      <c r="AY134" s="136"/>
      <c r="AZ134" s="136"/>
      <c r="BA134" s="136"/>
      <c r="BB134" s="136"/>
      <c r="BC134" s="136"/>
      <c r="BD134" s="55"/>
      <c r="BE134" s="55"/>
      <c r="BF134" s="55"/>
      <c r="BG134" s="1445">
        <f>BG130</f>
        <v>0</v>
      </c>
      <c r="BH134" s="1463"/>
      <c r="BI134" s="1463"/>
      <c r="BJ134" s="121"/>
    </row>
    <row r="135" spans="2:62" s="28" customFormat="1" ht="12.95" customHeight="1">
      <c r="B135" s="117"/>
      <c r="C135" s="474"/>
      <c r="D135" s="98"/>
      <c r="E135" s="98"/>
      <c r="F135" s="98"/>
      <c r="G135" s="98"/>
      <c r="H135" s="98"/>
      <c r="I135" s="98"/>
      <c r="J135" s="98"/>
      <c r="K135" s="98"/>
      <c r="L135" s="98"/>
      <c r="M135" s="98"/>
      <c r="N135" s="98"/>
      <c r="O135" s="98"/>
      <c r="P135" s="122"/>
      <c r="Q135" s="98"/>
      <c r="R135" s="98"/>
      <c r="V135" s="135"/>
      <c r="W135" s="135"/>
      <c r="X135" s="135"/>
      <c r="Y135" s="135"/>
      <c r="Z135" s="135"/>
      <c r="AA135" s="135"/>
      <c r="AB135" s="135"/>
      <c r="AC135" s="135"/>
      <c r="AD135" s="135"/>
      <c r="AE135" s="135"/>
      <c r="AF135" s="135"/>
      <c r="AG135" s="135"/>
      <c r="AH135" s="135"/>
      <c r="AI135" s="135"/>
      <c r="AJ135" s="135"/>
      <c r="AK135" s="135"/>
      <c r="AL135" s="461"/>
      <c r="AM135" s="135"/>
      <c r="AN135" s="135"/>
      <c r="AO135" s="442"/>
      <c r="AP135" s="135"/>
      <c r="AQ135" s="52"/>
      <c r="AR135" s="52"/>
      <c r="AS135" s="52"/>
      <c r="AT135" s="135"/>
      <c r="AU135" s="135"/>
      <c r="AV135" s="55"/>
      <c r="AW135" s="55"/>
      <c r="AX135" s="55"/>
      <c r="AY135" s="55"/>
      <c r="AZ135" s="55"/>
      <c r="BA135" s="55"/>
      <c r="BB135" s="55"/>
      <c r="BC135" s="55"/>
      <c r="BD135" s="55"/>
      <c r="BE135" s="55"/>
      <c r="BF135" s="55"/>
      <c r="BG135" s="135"/>
      <c r="BH135" s="135"/>
      <c r="BI135" s="135"/>
      <c r="BJ135" s="121"/>
    </row>
    <row r="136" spans="2:62" s="28" customFormat="1" ht="14.1" customHeight="1">
      <c r="B136" s="117"/>
      <c r="C136" s="542" t="str">
        <f>X!$C$96</f>
        <v>Energieeffizienz-Zahl</v>
      </c>
      <c r="D136" s="98"/>
      <c r="E136" s="98"/>
      <c r="F136" s="98"/>
      <c r="G136" s="98"/>
      <c r="H136" s="98"/>
      <c r="I136" s="98"/>
      <c r="J136" s="98"/>
      <c r="K136" s="98"/>
      <c r="L136" s="98"/>
      <c r="M136" s="98"/>
      <c r="N136" s="98"/>
      <c r="O136" s="98"/>
      <c r="P136" s="122" t="s">
        <v>282</v>
      </c>
      <c r="Q136" s="98"/>
      <c r="R136" s="98"/>
      <c r="V136" s="135"/>
      <c r="X136" s="168"/>
      <c r="Y136" s="168"/>
      <c r="Z136" s="168"/>
      <c r="AA136" s="168"/>
      <c r="AB136" s="168"/>
      <c r="AC136" s="168"/>
      <c r="AD136" s="168"/>
      <c r="AE136" s="168"/>
      <c r="AF136" s="135"/>
      <c r="AG136" s="135"/>
      <c r="AH136" s="632" t="str">
        <f>X!$C$16</f>
        <v>(erzeugte Kälte / Total Elektrizitätsverbrauch)</v>
      </c>
      <c r="AI136" s="1452">
        <f>IF(AI134=0,0,AI133/AI134)</f>
        <v>0</v>
      </c>
      <c r="AJ136" s="1452"/>
      <c r="AK136" s="1452"/>
      <c r="AL136" s="461"/>
      <c r="AM136" s="135"/>
      <c r="AN136" s="135"/>
      <c r="AO136" s="442"/>
      <c r="AP136" s="135"/>
      <c r="AQ136" s="52"/>
      <c r="AR136" s="52"/>
      <c r="AS136" s="52"/>
      <c r="AT136" s="135"/>
      <c r="AV136" s="136"/>
      <c r="AW136" s="136"/>
      <c r="AX136" s="136"/>
      <c r="AY136" s="136"/>
      <c r="AZ136" s="136"/>
      <c r="BA136" s="136"/>
      <c r="BB136" s="136"/>
      <c r="BC136" s="136"/>
      <c r="BD136" s="55"/>
      <c r="BE136" s="55"/>
      <c r="BF136" s="631" t="str">
        <f>X!$C$16</f>
        <v>(erzeugte Kälte / Total Elektrizitätsverbrauch)</v>
      </c>
      <c r="BG136" s="1452">
        <f>IF(BG134=0,0,BG133/BG134)</f>
        <v>0</v>
      </c>
      <c r="BH136" s="1452"/>
      <c r="BI136" s="1452"/>
      <c r="BJ136" s="121"/>
    </row>
    <row r="137" spans="2:62">
      <c r="B137" s="147"/>
      <c r="C137" s="477"/>
      <c r="D137" s="52"/>
      <c r="E137" s="52"/>
      <c r="F137" s="52"/>
      <c r="G137" s="52"/>
      <c r="H137" s="52"/>
      <c r="I137" s="52"/>
      <c r="J137" s="52"/>
      <c r="K137" s="52"/>
      <c r="L137" s="52"/>
      <c r="M137" s="52"/>
      <c r="N137" s="52"/>
      <c r="O137" s="52"/>
      <c r="P137" s="55"/>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152"/>
    </row>
    <row r="138" spans="2:62">
      <c r="B138" s="147"/>
      <c r="C138" s="477"/>
      <c r="D138" s="52"/>
      <c r="E138" s="52"/>
      <c r="F138" s="52"/>
      <c r="G138" s="52"/>
      <c r="H138" s="52"/>
      <c r="I138" s="52"/>
      <c r="J138" s="52"/>
      <c r="K138" s="52"/>
      <c r="L138" s="52"/>
      <c r="M138" s="52"/>
      <c r="N138" s="52"/>
      <c r="O138" s="52"/>
      <c r="P138" s="55"/>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152"/>
    </row>
    <row r="139" spans="2:62" s="28" customFormat="1" ht="17.100000000000001" customHeight="1">
      <c r="B139" s="117"/>
      <c r="C139" s="474"/>
      <c r="D139" s="98"/>
      <c r="E139" s="98"/>
      <c r="F139" s="98"/>
      <c r="G139" s="98"/>
      <c r="H139" s="98"/>
      <c r="I139" s="98"/>
      <c r="J139" s="98"/>
      <c r="K139" s="98"/>
      <c r="L139" s="98"/>
      <c r="M139" s="98"/>
      <c r="N139" s="98"/>
      <c r="O139" s="98"/>
      <c r="P139" s="122"/>
      <c r="Q139" s="98"/>
      <c r="R139" s="98"/>
      <c r="S139" s="98"/>
      <c r="T139" s="98"/>
      <c r="U139" s="98"/>
      <c r="V139" s="98"/>
      <c r="W139" s="98"/>
      <c r="X139" s="98"/>
      <c r="Y139" s="98"/>
      <c r="Z139" s="98"/>
      <c r="AA139" s="55"/>
      <c r="AB139" s="55"/>
      <c r="AC139" s="55"/>
      <c r="AD139" s="55"/>
      <c r="AE139" s="55"/>
      <c r="AF139" s="55"/>
      <c r="AG139" s="55"/>
      <c r="AH139" s="55"/>
      <c r="AI139" s="55"/>
      <c r="AJ139" s="55"/>
      <c r="AK139" s="55"/>
      <c r="AL139" s="55"/>
      <c r="AM139" s="55"/>
      <c r="AN139" s="55"/>
      <c r="AO139" s="55"/>
      <c r="AP139" s="55"/>
      <c r="AQ139" s="55"/>
      <c r="AR139" s="55"/>
      <c r="AS139" s="55"/>
      <c r="AT139" s="120"/>
      <c r="AU139" s="55"/>
      <c r="AV139" s="55"/>
      <c r="AW139" s="55"/>
      <c r="AX139" s="55"/>
      <c r="AY139" s="55"/>
      <c r="AZ139" s="55"/>
      <c r="BA139" s="55"/>
      <c r="BB139" s="55"/>
      <c r="BC139" s="55"/>
      <c r="BD139" s="55"/>
      <c r="BE139" s="55"/>
      <c r="BF139" s="55"/>
      <c r="BG139" s="55"/>
      <c r="BH139" s="52"/>
      <c r="BI139" s="55"/>
      <c r="BJ139" s="121"/>
    </row>
    <row r="140" spans="2:62">
      <c r="B140" s="147"/>
      <c r="C140" s="495">
        <v>4.2</v>
      </c>
      <c r="D140" s="544" t="str">
        <f>X!$C$102</f>
        <v>Ergebnis der Abschätzung gemäss Annahmen des Planers</v>
      </c>
      <c r="E140" s="52"/>
      <c r="F140" s="52"/>
      <c r="G140" s="52"/>
      <c r="H140" s="52"/>
      <c r="I140" s="52"/>
      <c r="J140" s="52"/>
      <c r="K140" s="52"/>
      <c r="L140" s="52"/>
      <c r="M140" s="52"/>
      <c r="N140" s="52"/>
      <c r="O140" s="52"/>
      <c r="P140" s="55"/>
      <c r="Q140" s="52"/>
      <c r="R140" s="52"/>
      <c r="S140" s="52"/>
      <c r="T140" s="52"/>
      <c r="U140" s="52"/>
      <c r="V140" s="52"/>
      <c r="W140" s="92"/>
      <c r="X140" s="92"/>
      <c r="Y140" s="92"/>
      <c r="Z140" s="92"/>
      <c r="AA140" s="92"/>
      <c r="AB140" s="92"/>
      <c r="AC140" s="92"/>
      <c r="AD140" s="92"/>
      <c r="AE140" s="9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152"/>
    </row>
    <row r="141" spans="2:62" s="28" customFormat="1" ht="6" customHeight="1">
      <c r="B141" s="117"/>
      <c r="C141" s="474"/>
      <c r="D141" s="98"/>
      <c r="E141" s="98"/>
      <c r="F141" s="98"/>
      <c r="G141" s="98"/>
      <c r="H141" s="98"/>
      <c r="I141" s="98"/>
      <c r="J141" s="98"/>
      <c r="K141" s="98"/>
      <c r="L141" s="98"/>
      <c r="M141" s="98"/>
      <c r="N141" s="98"/>
      <c r="O141" s="98"/>
      <c r="P141" s="122"/>
      <c r="Q141" s="98"/>
      <c r="R141" s="98"/>
      <c r="S141" s="135"/>
      <c r="T141" s="135"/>
      <c r="U141" s="135"/>
      <c r="V141" s="135"/>
      <c r="W141" s="135"/>
      <c r="X141" s="135"/>
      <c r="Y141" s="135"/>
      <c r="Z141" s="135"/>
      <c r="AA141" s="135"/>
      <c r="AB141" s="135"/>
      <c r="AC141" s="135"/>
      <c r="AD141" s="135"/>
      <c r="AE141" s="135"/>
      <c r="AF141" s="135"/>
      <c r="AG141" s="135"/>
      <c r="AH141" s="135"/>
      <c r="AI141" s="135"/>
      <c r="AJ141" s="135"/>
      <c r="AK141" s="135"/>
      <c r="AL141" s="461"/>
      <c r="AM141" s="135"/>
      <c r="AN141" s="135"/>
      <c r="AO141" s="442"/>
      <c r="AP141" s="135"/>
      <c r="AQ141" s="135"/>
      <c r="AR141" s="135"/>
      <c r="AS141" s="135"/>
      <c r="AT141" s="98"/>
      <c r="AU141" s="98"/>
      <c r="AV141" s="55"/>
      <c r="AW141" s="55"/>
      <c r="AX141" s="55"/>
      <c r="AY141" s="55"/>
      <c r="AZ141" s="55"/>
      <c r="BA141" s="55"/>
      <c r="BB141" s="55"/>
      <c r="BC141" s="55"/>
      <c r="BD141" s="55"/>
      <c r="BE141" s="55"/>
      <c r="BF141" s="55"/>
      <c r="BG141" s="55"/>
      <c r="BH141" s="55"/>
      <c r="BI141" s="55"/>
      <c r="BJ141" s="121"/>
    </row>
    <row r="142" spans="2:62">
      <c r="B142" s="147"/>
      <c r="C142" s="477"/>
      <c r="D142" s="52"/>
      <c r="E142" s="52"/>
      <c r="F142" s="52"/>
      <c r="G142" s="52"/>
      <c r="H142" s="52"/>
      <c r="I142" s="52"/>
      <c r="J142" s="52"/>
      <c r="K142" s="52"/>
      <c r="L142" s="52"/>
      <c r="M142" s="52"/>
      <c r="N142" s="52"/>
      <c r="O142" s="52"/>
      <c r="P142" s="55"/>
      <c r="Q142" s="52"/>
      <c r="R142" s="52"/>
      <c r="S142" s="1577" t="str">
        <f>S122</f>
        <v>Frühling</v>
      </c>
      <c r="T142" s="1577"/>
      <c r="U142" s="1577"/>
      <c r="V142" s="52"/>
      <c r="W142" s="1463" t="str">
        <f>W122</f>
        <v>Sommer</v>
      </c>
      <c r="X142" s="1463"/>
      <c r="Y142" s="1463"/>
      <c r="Z142" s="52"/>
      <c r="AA142" s="1449" t="str">
        <f>AA122</f>
        <v>Herbst</v>
      </c>
      <c r="AB142" s="1449"/>
      <c r="AC142" s="1449"/>
      <c r="AD142" s="52"/>
      <c r="AE142" s="1449" t="str">
        <f>AE122</f>
        <v>Winter</v>
      </c>
      <c r="AF142" s="1449"/>
      <c r="AG142" s="1449"/>
      <c r="AH142" s="52"/>
      <c r="AI142" s="1449" t="str">
        <f>AI122</f>
        <v>Jahr</v>
      </c>
      <c r="AJ142" s="1449"/>
      <c r="AK142" s="1449"/>
      <c r="AL142" s="462"/>
      <c r="AM142" s="52"/>
      <c r="AN142" s="52"/>
      <c r="AO142" s="52"/>
      <c r="AP142" s="52"/>
      <c r="AQ142" s="1713" t="str">
        <f>S142</f>
        <v>Frühling</v>
      </c>
      <c r="AR142" s="1713"/>
      <c r="AS142" s="1713"/>
      <c r="AT142" s="55"/>
      <c r="AU142" s="1483" t="str">
        <f>W142</f>
        <v>Sommer</v>
      </c>
      <c r="AV142" s="1483"/>
      <c r="AW142" s="1483"/>
      <c r="AX142" s="55"/>
      <c r="AY142" s="1483" t="str">
        <f>AA142</f>
        <v>Herbst</v>
      </c>
      <c r="AZ142" s="1483"/>
      <c r="BA142" s="1483"/>
      <c r="BB142" s="55"/>
      <c r="BC142" s="1483" t="str">
        <f>AE142</f>
        <v>Winter</v>
      </c>
      <c r="BD142" s="1483"/>
      <c r="BE142" s="1483"/>
      <c r="BF142" s="55"/>
      <c r="BG142" s="1483" t="str">
        <f>AI142</f>
        <v>Jahr</v>
      </c>
      <c r="BH142" s="1483"/>
      <c r="BI142" s="1483"/>
      <c r="BJ142" s="152"/>
    </row>
    <row r="143" spans="2:62" s="28" customFormat="1" ht="6" customHeight="1">
      <c r="B143" s="117"/>
      <c r="C143" s="474"/>
      <c r="D143" s="98"/>
      <c r="E143" s="98"/>
      <c r="F143" s="98"/>
      <c r="G143" s="98"/>
      <c r="H143" s="98"/>
      <c r="I143" s="98"/>
      <c r="J143" s="98"/>
      <c r="K143" s="98"/>
      <c r="L143" s="98"/>
      <c r="M143" s="98"/>
      <c r="N143" s="98"/>
      <c r="O143" s="98"/>
      <c r="P143" s="122"/>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121"/>
    </row>
    <row r="144" spans="2:62" s="28" customFormat="1" ht="14.1" customHeight="1">
      <c r="B144" s="117"/>
      <c r="C144" s="477" t="str">
        <f>C124</f>
        <v>Betriebszeiten (pro Tag)</v>
      </c>
      <c r="D144" s="202"/>
      <c r="E144" s="98"/>
      <c r="F144" s="98"/>
      <c r="G144" s="98"/>
      <c r="H144" s="98"/>
      <c r="I144" s="98"/>
      <c r="J144" s="98"/>
      <c r="K144" s="98"/>
      <c r="L144" s="98"/>
      <c r="M144" s="98"/>
      <c r="N144" s="98"/>
      <c r="O144" s="98"/>
      <c r="P144" s="122" t="s">
        <v>118</v>
      </c>
      <c r="Q144" s="98"/>
      <c r="R144" s="98"/>
      <c r="S144" s="1598">
        <f>S103</f>
        <v>0</v>
      </c>
      <c r="T144" s="1598"/>
      <c r="U144" s="1598"/>
      <c r="V144" s="165"/>
      <c r="W144" s="1598">
        <f>W103</f>
        <v>0</v>
      </c>
      <c r="X144" s="1598"/>
      <c r="Y144" s="1598"/>
      <c r="Z144" s="166"/>
      <c r="AA144" s="1598">
        <f>AA103</f>
        <v>0</v>
      </c>
      <c r="AB144" s="1598"/>
      <c r="AC144" s="1598"/>
      <c r="AD144" s="166"/>
      <c r="AE144" s="1598">
        <f>AE103</f>
        <v>0</v>
      </c>
      <c r="AF144" s="1598"/>
      <c r="AG144" s="1598"/>
      <c r="AH144" s="135"/>
      <c r="AI144" s="1598">
        <f>AI103</f>
        <v>0</v>
      </c>
      <c r="AJ144" s="1598"/>
      <c r="AK144" s="1598"/>
      <c r="AL144" s="466"/>
      <c r="AM144" s="135"/>
      <c r="AN144" s="135"/>
      <c r="AO144" s="442"/>
      <c r="AP144" s="135"/>
      <c r="AQ144" s="1598">
        <f>AQ103</f>
        <v>0</v>
      </c>
      <c r="AR144" s="1598"/>
      <c r="AS144" s="1598"/>
      <c r="AT144" s="135"/>
      <c r="AU144" s="1598">
        <f>AU103</f>
        <v>0</v>
      </c>
      <c r="AV144" s="1598"/>
      <c r="AW144" s="1598"/>
      <c r="AX144" s="168"/>
      <c r="AY144" s="1598">
        <f>AY103</f>
        <v>0</v>
      </c>
      <c r="AZ144" s="1598"/>
      <c r="BA144" s="1598"/>
      <c r="BB144" s="168"/>
      <c r="BC144" s="1598">
        <f>BC103</f>
        <v>0</v>
      </c>
      <c r="BD144" s="1598"/>
      <c r="BE144" s="1598"/>
      <c r="BF144" s="135"/>
      <c r="BG144" s="1598">
        <f>BG103</f>
        <v>0</v>
      </c>
      <c r="BH144" s="1598"/>
      <c r="BI144" s="1598"/>
      <c r="BJ144" s="121"/>
    </row>
    <row r="145" spans="2:62" s="28" customFormat="1" ht="12.95" customHeight="1">
      <c r="B145" s="117"/>
      <c r="C145" s="474"/>
      <c r="D145" s="98"/>
      <c r="E145" s="98"/>
      <c r="F145" s="98"/>
      <c r="G145" s="98"/>
      <c r="H145" s="98"/>
      <c r="I145" s="98"/>
      <c r="J145" s="98"/>
      <c r="K145" s="98"/>
      <c r="L145" s="98"/>
      <c r="M145" s="98"/>
      <c r="N145" s="98"/>
      <c r="O145" s="98"/>
      <c r="P145" s="122"/>
      <c r="Q145" s="98"/>
      <c r="R145" s="98"/>
      <c r="S145" s="135"/>
      <c r="T145" s="135"/>
      <c r="U145" s="135"/>
      <c r="V145" s="135"/>
      <c r="W145" s="135"/>
      <c r="X145" s="135"/>
      <c r="Y145" s="135"/>
      <c r="Z145" s="135"/>
      <c r="AA145" s="135"/>
      <c r="AB145" s="135"/>
      <c r="AC145" s="135"/>
      <c r="AD145" s="135"/>
      <c r="AE145" s="135"/>
      <c r="AF145" s="135"/>
      <c r="AG145" s="135"/>
      <c r="AH145" s="135"/>
      <c r="AI145" s="135"/>
      <c r="AJ145" s="135"/>
      <c r="AK145" s="135"/>
      <c r="AL145" s="461"/>
      <c r="AM145" s="135"/>
      <c r="AN145" s="135"/>
      <c r="AO145" s="442"/>
      <c r="AP145" s="135"/>
      <c r="AQ145" s="135"/>
      <c r="AR145" s="135"/>
      <c r="AS145" s="135"/>
      <c r="AT145" s="135"/>
      <c r="AU145" s="135"/>
      <c r="AV145" s="55"/>
      <c r="AW145" s="55"/>
      <c r="AX145" s="55"/>
      <c r="AY145" s="55"/>
      <c r="AZ145" s="55"/>
      <c r="BA145" s="55"/>
      <c r="BB145" s="55"/>
      <c r="BC145" s="55"/>
      <c r="BD145" s="55"/>
      <c r="BE145" s="55"/>
      <c r="BF145" s="55"/>
      <c r="BG145" s="55"/>
      <c r="BH145" s="55"/>
      <c r="BI145" s="55"/>
      <c r="BJ145" s="121"/>
    </row>
    <row r="146" spans="2:62" s="28" customFormat="1" ht="17.100000000000001" customHeight="1">
      <c r="B146" s="117"/>
      <c r="C146" s="474" t="str">
        <f>C126</f>
        <v>Elektrizitätsverbrauch</v>
      </c>
      <c r="D146" s="98"/>
      <c r="E146" s="98"/>
      <c r="F146" s="98"/>
      <c r="G146" s="98"/>
      <c r="H146" s="98"/>
      <c r="I146" s="98"/>
      <c r="J146" s="98"/>
      <c r="K146" s="98"/>
      <c r="L146" s="98"/>
      <c r="M146" s="98"/>
      <c r="N146" s="98"/>
      <c r="O146" s="98"/>
      <c r="P146" s="122"/>
      <c r="Q146" s="98"/>
      <c r="R146" s="98"/>
      <c r="S146" s="1445"/>
      <c r="T146" s="1463"/>
      <c r="U146" s="1463"/>
      <c r="V146" s="135"/>
      <c r="W146" s="136"/>
      <c r="X146" s="136"/>
      <c r="Y146" s="136"/>
      <c r="Z146" s="136"/>
      <c r="AA146" s="136"/>
      <c r="AB146" s="136"/>
      <c r="AC146" s="136"/>
      <c r="AD146" s="136"/>
      <c r="AE146" s="136"/>
      <c r="AF146" s="135"/>
      <c r="AG146" s="135"/>
      <c r="AH146" s="135"/>
      <c r="AI146" s="135"/>
      <c r="AJ146" s="135"/>
      <c r="AK146" s="135"/>
      <c r="AL146" s="461"/>
      <c r="AM146" s="135"/>
      <c r="AN146" s="135"/>
      <c r="AO146" s="442"/>
      <c r="AP146" s="135"/>
      <c r="AQ146" s="160"/>
      <c r="AR146" s="160"/>
      <c r="AS146" s="160"/>
      <c r="AT146" s="98"/>
      <c r="AU146" s="136"/>
      <c r="AV146" s="136"/>
      <c r="AW146" s="136"/>
      <c r="AX146" s="136"/>
      <c r="AY146" s="136"/>
      <c r="AZ146" s="136"/>
      <c r="BA146" s="136"/>
      <c r="BB146" s="136"/>
      <c r="BC146" s="136"/>
      <c r="BD146" s="55"/>
      <c r="BE146" s="55"/>
      <c r="BF146" s="55"/>
      <c r="BG146" s="55"/>
      <c r="BH146" s="55"/>
      <c r="BI146" s="55"/>
      <c r="BJ146" s="121"/>
    </row>
    <row r="147" spans="2:62" s="28" customFormat="1" ht="14.1" customHeight="1">
      <c r="B147" s="117"/>
      <c r="C147" s="474"/>
      <c r="D147" s="98" t="str">
        <f>D127</f>
        <v>Maschine</v>
      </c>
      <c r="E147" s="98"/>
      <c r="F147" s="98"/>
      <c r="G147" s="98"/>
      <c r="H147" s="98"/>
      <c r="I147" s="98"/>
      <c r="J147" s="98"/>
      <c r="K147" s="98"/>
      <c r="L147" s="98"/>
      <c r="M147" s="98"/>
      <c r="N147" s="98"/>
      <c r="O147" s="98"/>
      <c r="P147" s="122" t="s">
        <v>22</v>
      </c>
      <c r="Q147" s="98"/>
      <c r="R147" s="98"/>
      <c r="V147" s="135"/>
      <c r="W147" s="136"/>
      <c r="X147" s="136"/>
      <c r="Y147" s="136"/>
      <c r="Z147" s="136"/>
      <c r="AA147" s="136"/>
      <c r="AB147" s="136"/>
      <c r="AC147" s="136"/>
      <c r="AD147" s="136"/>
      <c r="AE147" s="136"/>
      <c r="AF147" s="135"/>
      <c r="AG147" s="135"/>
      <c r="AH147" s="135"/>
      <c r="AI147" s="1445">
        <f>AI228</f>
        <v>0</v>
      </c>
      <c r="AJ147" s="1463"/>
      <c r="AK147" s="1463"/>
      <c r="AL147" s="461"/>
      <c r="AM147" s="135"/>
      <c r="AN147" s="135"/>
      <c r="AO147" s="442"/>
      <c r="AP147" s="135"/>
      <c r="AQ147" s="160"/>
      <c r="AR147" s="160"/>
      <c r="AS147" s="160"/>
      <c r="AT147" s="135"/>
      <c r="AU147" s="163"/>
      <c r="AV147" s="136"/>
      <c r="AW147" s="136"/>
      <c r="AX147" s="136"/>
      <c r="AY147" s="136"/>
      <c r="AZ147" s="136"/>
      <c r="BA147" s="136"/>
      <c r="BB147" s="136"/>
      <c r="BC147" s="136"/>
      <c r="BD147" s="55"/>
      <c r="BE147" s="55"/>
      <c r="BF147" s="55"/>
      <c r="BG147" s="1445">
        <f>BG228</f>
        <v>0</v>
      </c>
      <c r="BH147" s="1463"/>
      <c r="BI147" s="1463"/>
      <c r="BJ147" s="121"/>
    </row>
    <row r="148" spans="2:62" s="28" customFormat="1" ht="14.1" customHeight="1">
      <c r="B148" s="117"/>
      <c r="C148" s="474"/>
      <c r="D148" s="98" t="str">
        <f>D128</f>
        <v>Hilfsbetriebe «warme Seite»</v>
      </c>
      <c r="E148" s="98"/>
      <c r="F148" s="98"/>
      <c r="G148" s="98"/>
      <c r="H148" s="98"/>
      <c r="I148" s="98"/>
      <c r="J148" s="98"/>
      <c r="K148" s="98"/>
      <c r="L148" s="98"/>
      <c r="M148" s="98"/>
      <c r="N148" s="98"/>
      <c r="O148" s="98"/>
      <c r="P148" s="122" t="s">
        <v>22</v>
      </c>
      <c r="Q148" s="98"/>
      <c r="R148" s="98"/>
      <c r="V148" s="135"/>
      <c r="W148" s="136"/>
      <c r="X148" s="136"/>
      <c r="Y148" s="136"/>
      <c r="Z148" s="136"/>
      <c r="AA148" s="136"/>
      <c r="AB148" s="136"/>
      <c r="AC148" s="136"/>
      <c r="AD148" s="136"/>
      <c r="AE148" s="136"/>
      <c r="AF148" s="135"/>
      <c r="AG148" s="135"/>
      <c r="AH148" s="135"/>
      <c r="AI148" s="1445">
        <f>AA235</f>
        <v>0</v>
      </c>
      <c r="AJ148" s="1463"/>
      <c r="AK148" s="1463"/>
      <c r="AL148" s="461"/>
      <c r="AM148" s="135"/>
      <c r="AN148" s="135"/>
      <c r="AO148" s="442"/>
      <c r="AP148" s="135"/>
      <c r="AQ148" s="160"/>
      <c r="AR148" s="160"/>
      <c r="AS148" s="160"/>
      <c r="AT148" s="135"/>
      <c r="AU148" s="163"/>
      <c r="AV148" s="136"/>
      <c r="AW148" s="136"/>
      <c r="AX148" s="136"/>
      <c r="AY148" s="136"/>
      <c r="AZ148" s="136"/>
      <c r="BA148" s="136"/>
      <c r="BB148" s="136"/>
      <c r="BC148" s="136"/>
      <c r="BD148" s="55"/>
      <c r="BE148" s="55"/>
      <c r="BF148" s="55"/>
      <c r="BG148" s="1445">
        <f>AY235</f>
        <v>0</v>
      </c>
      <c r="BH148" s="1463"/>
      <c r="BI148" s="1463"/>
      <c r="BJ148" s="121"/>
    </row>
    <row r="149" spans="2:62" s="28" customFormat="1" ht="14.1" customHeight="1">
      <c r="B149" s="117"/>
      <c r="C149" s="474"/>
      <c r="D149" s="98" t="str">
        <f>D129</f>
        <v>Hilfsbetriebe «kalte Seite»</v>
      </c>
      <c r="E149" s="98"/>
      <c r="F149" s="98"/>
      <c r="G149" s="98"/>
      <c r="H149" s="98"/>
      <c r="I149" s="98"/>
      <c r="J149" s="98"/>
      <c r="K149" s="98"/>
      <c r="L149" s="98"/>
      <c r="M149" s="98"/>
      <c r="N149" s="98"/>
      <c r="O149" s="98"/>
      <c r="P149" s="122" t="s">
        <v>22</v>
      </c>
      <c r="Q149" s="98"/>
      <c r="R149" s="98"/>
      <c r="V149" s="135"/>
      <c r="W149" s="168"/>
      <c r="X149" s="168"/>
      <c r="Y149" s="168"/>
      <c r="Z149" s="168"/>
      <c r="AA149" s="168"/>
      <c r="AB149" s="168"/>
      <c r="AC149" s="168"/>
      <c r="AD149" s="168"/>
      <c r="AE149" s="168"/>
      <c r="AF149" s="135"/>
      <c r="AG149" s="135"/>
      <c r="AH149" s="135"/>
      <c r="AI149" s="1445">
        <f>AA242</f>
        <v>0</v>
      </c>
      <c r="AJ149" s="1463"/>
      <c r="AK149" s="1463"/>
      <c r="AL149" s="461"/>
      <c r="AM149" s="135"/>
      <c r="AN149" s="135"/>
      <c r="AO149" s="442"/>
      <c r="AP149" s="135"/>
      <c r="AQ149" s="160"/>
      <c r="AR149" s="160"/>
      <c r="AS149" s="160"/>
      <c r="AT149" s="135"/>
      <c r="AU149" s="210"/>
      <c r="AV149" s="136"/>
      <c r="AW149" s="136"/>
      <c r="AX149" s="136"/>
      <c r="AY149" s="136"/>
      <c r="AZ149" s="136"/>
      <c r="BA149" s="136"/>
      <c r="BB149" s="136"/>
      <c r="BC149" s="136"/>
      <c r="BD149" s="55"/>
      <c r="BE149" s="55"/>
      <c r="BF149" s="55"/>
      <c r="BG149" s="1445">
        <f>AY242</f>
        <v>0</v>
      </c>
      <c r="BH149" s="1463"/>
      <c r="BI149" s="1463"/>
      <c r="BJ149" s="121"/>
    </row>
    <row r="150" spans="2:62" s="28" customFormat="1" ht="14.1" customHeight="1">
      <c r="B150" s="117"/>
      <c r="C150" s="474"/>
      <c r="D150" s="98" t="str">
        <f>D130</f>
        <v>Total Elektrizitätsverbrauch</v>
      </c>
      <c r="E150" s="98"/>
      <c r="F150" s="98"/>
      <c r="G150" s="98"/>
      <c r="H150" s="98"/>
      <c r="I150" s="98"/>
      <c r="J150" s="98"/>
      <c r="K150" s="98"/>
      <c r="L150" s="98"/>
      <c r="M150" s="98"/>
      <c r="N150" s="98"/>
      <c r="O150" s="98"/>
      <c r="P150" s="122" t="s">
        <v>22</v>
      </c>
      <c r="Q150" s="98"/>
      <c r="R150" s="98"/>
      <c r="V150" s="135"/>
      <c r="W150" s="168"/>
      <c r="X150" s="168"/>
      <c r="Y150" s="168"/>
      <c r="Z150" s="168"/>
      <c r="AA150" s="168"/>
      <c r="AB150" s="168"/>
      <c r="AC150" s="168"/>
      <c r="AD150" s="168"/>
      <c r="AE150" s="168"/>
      <c r="AF150" s="135"/>
      <c r="AG150" s="135"/>
      <c r="AH150" s="135"/>
      <c r="AI150" s="1445">
        <f>SUM(AI147:AK149)</f>
        <v>0</v>
      </c>
      <c r="AJ150" s="1463"/>
      <c r="AK150" s="1463"/>
      <c r="AL150" s="461"/>
      <c r="AM150" s="135"/>
      <c r="AN150" s="135"/>
      <c r="AO150" s="442"/>
      <c r="AP150" s="135"/>
      <c r="AQ150" s="160"/>
      <c r="AR150" s="160"/>
      <c r="AS150" s="160"/>
      <c r="AT150" s="135"/>
      <c r="AU150" s="210"/>
      <c r="AV150" s="136"/>
      <c r="AW150" s="136"/>
      <c r="AX150" s="136"/>
      <c r="AY150" s="136"/>
      <c r="AZ150" s="136"/>
      <c r="BA150" s="136"/>
      <c r="BB150" s="136"/>
      <c r="BC150" s="136"/>
      <c r="BD150" s="55"/>
      <c r="BE150" s="55"/>
      <c r="BF150" s="55"/>
      <c r="BG150" s="1445">
        <f>SUM(BG147:BI149)</f>
        <v>0</v>
      </c>
      <c r="BH150" s="1463"/>
      <c r="BI150" s="1463"/>
      <c r="BJ150" s="121"/>
    </row>
    <row r="151" spans="2:62" s="28" customFormat="1" ht="12.95" customHeight="1">
      <c r="B151" s="117"/>
      <c r="C151" s="474"/>
      <c r="D151" s="98"/>
      <c r="E151" s="98"/>
      <c r="F151" s="98"/>
      <c r="G151" s="98"/>
      <c r="H151" s="98"/>
      <c r="I151" s="98"/>
      <c r="J151" s="98"/>
      <c r="K151" s="98"/>
      <c r="L151" s="98"/>
      <c r="M151" s="98"/>
      <c r="N151" s="98"/>
      <c r="O151" s="98"/>
      <c r="P151" s="122"/>
      <c r="Q151" s="98"/>
      <c r="R151" s="98"/>
      <c r="V151" s="135"/>
      <c r="W151" s="135"/>
      <c r="X151" s="135"/>
      <c r="Y151" s="135"/>
      <c r="Z151" s="135"/>
      <c r="AA151" s="135"/>
      <c r="AB151" s="135"/>
      <c r="AC151" s="135"/>
      <c r="AD151" s="135"/>
      <c r="AE151" s="135"/>
      <c r="AF151" s="135"/>
      <c r="AG151" s="135"/>
      <c r="AH151" s="135"/>
      <c r="AI151" s="135"/>
      <c r="AJ151" s="135"/>
      <c r="AK151" s="135"/>
      <c r="AL151" s="461"/>
      <c r="AM151" s="135"/>
      <c r="AN151" s="135"/>
      <c r="AO151" s="442"/>
      <c r="AP151" s="135"/>
      <c r="AQ151" s="160"/>
      <c r="AR151" s="160"/>
      <c r="AS151" s="160"/>
      <c r="AT151" s="135"/>
      <c r="AU151" s="135"/>
      <c r="AV151" s="55"/>
      <c r="AW151" s="55"/>
      <c r="AX151" s="55"/>
      <c r="AY151" s="55"/>
      <c r="AZ151" s="55"/>
      <c r="BA151" s="55"/>
      <c r="BB151" s="55"/>
      <c r="BC151" s="55"/>
      <c r="BD151" s="55"/>
      <c r="BE151" s="55"/>
      <c r="BF151" s="55"/>
      <c r="BG151" s="135"/>
      <c r="BH151" s="135"/>
      <c r="BI151" s="135"/>
      <c r="BJ151" s="121"/>
    </row>
    <row r="152" spans="2:62" s="28" customFormat="1" ht="17.100000000000001" customHeight="1">
      <c r="B152" s="117"/>
      <c r="C152" s="529" t="str">
        <f>C132</f>
        <v>Energie</v>
      </c>
      <c r="D152" s="98"/>
      <c r="E152" s="98"/>
      <c r="F152" s="98"/>
      <c r="G152" s="98"/>
      <c r="H152" s="98"/>
      <c r="I152" s="98"/>
      <c r="J152" s="98"/>
      <c r="K152" s="98"/>
      <c r="L152" s="98"/>
      <c r="M152" s="98"/>
      <c r="N152" s="98"/>
      <c r="O152" s="98"/>
      <c r="P152" s="122"/>
      <c r="Q152" s="98"/>
      <c r="R152" s="98"/>
      <c r="V152" s="135"/>
      <c r="W152" s="136"/>
      <c r="X152" s="136"/>
      <c r="Y152" s="136"/>
      <c r="Z152" s="136"/>
      <c r="AA152" s="136"/>
      <c r="AB152" s="136"/>
      <c r="AC152" s="136"/>
      <c r="AD152" s="136"/>
      <c r="AE152" s="136"/>
      <c r="AF152" s="135"/>
      <c r="AG152" s="135"/>
      <c r="AH152" s="135"/>
      <c r="AI152" s="1445"/>
      <c r="AJ152" s="1463"/>
      <c r="AK152" s="1463"/>
      <c r="AL152" s="461"/>
      <c r="AM152" s="135"/>
      <c r="AN152" s="135"/>
      <c r="AO152" s="442"/>
      <c r="AP152" s="135"/>
      <c r="AQ152" s="160"/>
      <c r="AR152" s="160"/>
      <c r="AS152" s="160"/>
      <c r="AT152" s="135"/>
      <c r="AU152" s="163"/>
      <c r="AV152" s="136"/>
      <c r="AW152" s="136"/>
      <c r="AX152" s="136"/>
      <c r="AY152" s="136"/>
      <c r="AZ152" s="136"/>
      <c r="BA152" s="136"/>
      <c r="BB152" s="136"/>
      <c r="BC152" s="136"/>
      <c r="BD152" s="55"/>
      <c r="BE152" s="55"/>
      <c r="BF152" s="55"/>
      <c r="BG152" s="1445"/>
      <c r="BH152" s="1463"/>
      <c r="BI152" s="1463"/>
      <c r="BJ152" s="121"/>
    </row>
    <row r="153" spans="2:62" s="28" customFormat="1" ht="14.1" customHeight="1">
      <c r="B153" s="117"/>
      <c r="C153" s="474"/>
      <c r="D153" s="98" t="str">
        <f>D133</f>
        <v>Kälteproduktion der Anlage</v>
      </c>
      <c r="E153" s="98"/>
      <c r="F153" s="98"/>
      <c r="G153" s="98"/>
      <c r="H153" s="98"/>
      <c r="I153" s="98"/>
      <c r="J153" s="98"/>
      <c r="K153" s="98"/>
      <c r="L153" s="98"/>
      <c r="M153" s="98"/>
      <c r="N153" s="98"/>
      <c r="O153" s="98"/>
      <c r="P153" s="122" t="s">
        <v>22</v>
      </c>
      <c r="Q153" s="98"/>
      <c r="R153" s="98"/>
      <c r="V153" s="135"/>
      <c r="W153" s="136"/>
      <c r="X153" s="136"/>
      <c r="Y153" s="136"/>
      <c r="Z153" s="136"/>
      <c r="AA153" s="136"/>
      <c r="AB153" s="136"/>
      <c r="AC153" s="136"/>
      <c r="AD153" s="136"/>
      <c r="AE153" s="136"/>
      <c r="AF153" s="135"/>
      <c r="AG153" s="135"/>
      <c r="AH153" s="135"/>
      <c r="AI153" s="1445">
        <f>AI221</f>
        <v>0</v>
      </c>
      <c r="AJ153" s="1463"/>
      <c r="AK153" s="1463"/>
      <c r="AL153" s="461"/>
      <c r="AM153" s="135"/>
      <c r="AN153" s="135"/>
      <c r="AO153" s="442"/>
      <c r="AP153" s="135"/>
      <c r="AQ153" s="160"/>
      <c r="AR153" s="160"/>
      <c r="AS153" s="160"/>
      <c r="AT153" s="135"/>
      <c r="AU153" s="163"/>
      <c r="AV153" s="136"/>
      <c r="AW153" s="136"/>
      <c r="AX153" s="136"/>
      <c r="AY153" s="136"/>
      <c r="AZ153" s="136"/>
      <c r="BA153" s="136"/>
      <c r="BB153" s="136"/>
      <c r="BC153" s="136"/>
      <c r="BD153" s="55"/>
      <c r="BE153" s="55"/>
      <c r="BF153" s="55"/>
      <c r="BG153" s="1445">
        <f>BG221</f>
        <v>0</v>
      </c>
      <c r="BH153" s="1463"/>
      <c r="BI153" s="1463"/>
      <c r="BJ153" s="121"/>
    </row>
    <row r="154" spans="2:62" s="28" customFormat="1" ht="14.1" customHeight="1">
      <c r="B154" s="117"/>
      <c r="C154" s="474"/>
      <c r="D154" s="98" t="str">
        <f>C146</f>
        <v>Elektrizitätsverbrauch</v>
      </c>
      <c r="E154" s="98"/>
      <c r="F154" s="98"/>
      <c r="G154" s="98"/>
      <c r="H154" s="98"/>
      <c r="I154" s="98"/>
      <c r="J154" s="98"/>
      <c r="K154" s="98"/>
      <c r="L154" s="98"/>
      <c r="M154" s="98"/>
      <c r="N154" s="98"/>
      <c r="O154" s="98"/>
      <c r="P154" s="122" t="s">
        <v>22</v>
      </c>
      <c r="Q154" s="98"/>
      <c r="R154" s="98"/>
      <c r="V154" s="135"/>
      <c r="W154" s="136"/>
      <c r="X154" s="136"/>
      <c r="Y154" s="136"/>
      <c r="Z154" s="136"/>
      <c r="AA154" s="136"/>
      <c r="AB154" s="136"/>
      <c r="AC154" s="136"/>
      <c r="AD154" s="136"/>
      <c r="AE154" s="136"/>
      <c r="AF154" s="135"/>
      <c r="AG154" s="135"/>
      <c r="AH154" s="135"/>
      <c r="AI154" s="1445">
        <f>AI150</f>
        <v>0</v>
      </c>
      <c r="AJ154" s="1463"/>
      <c r="AK154" s="1463"/>
      <c r="AL154" s="461"/>
      <c r="AM154" s="135"/>
      <c r="AN154" s="135"/>
      <c r="AO154" s="442"/>
      <c r="AP154" s="135"/>
      <c r="AQ154" s="160"/>
      <c r="AR154" s="160"/>
      <c r="AS154" s="160"/>
      <c r="AT154" s="135"/>
      <c r="AU154" s="163"/>
      <c r="AV154" s="136"/>
      <c r="AW154" s="136"/>
      <c r="AX154" s="136"/>
      <c r="AY154" s="136"/>
      <c r="AZ154" s="136"/>
      <c r="BA154" s="136"/>
      <c r="BB154" s="136"/>
      <c r="BC154" s="136"/>
      <c r="BD154" s="55"/>
      <c r="BE154" s="55"/>
      <c r="BF154" s="55"/>
      <c r="BG154" s="1445">
        <f>BG150</f>
        <v>0</v>
      </c>
      <c r="BH154" s="1463"/>
      <c r="BI154" s="1463"/>
      <c r="BJ154" s="121"/>
    </row>
    <row r="155" spans="2:62" s="28" customFormat="1" ht="12.95" customHeight="1">
      <c r="B155" s="117"/>
      <c r="C155" s="474"/>
      <c r="D155" s="98"/>
      <c r="E155" s="98"/>
      <c r="F155" s="98"/>
      <c r="G155" s="98"/>
      <c r="H155" s="98"/>
      <c r="I155" s="98"/>
      <c r="J155" s="98"/>
      <c r="K155" s="98"/>
      <c r="L155" s="98"/>
      <c r="M155" s="98"/>
      <c r="N155" s="98"/>
      <c r="O155" s="98"/>
      <c r="P155" s="122"/>
      <c r="Q155" s="98"/>
      <c r="R155" s="98"/>
      <c r="V155" s="135"/>
      <c r="W155" s="135"/>
      <c r="X155" s="135"/>
      <c r="Y155" s="135"/>
      <c r="Z155" s="135"/>
      <c r="AA155" s="135"/>
      <c r="AB155" s="135"/>
      <c r="AC155" s="135"/>
      <c r="AD155" s="135"/>
      <c r="AE155" s="135"/>
      <c r="AF155" s="135"/>
      <c r="AG155" s="135"/>
      <c r="AH155" s="135"/>
      <c r="AI155" s="135"/>
      <c r="AJ155" s="135"/>
      <c r="AK155" s="135"/>
      <c r="AL155" s="461"/>
      <c r="AM155" s="135"/>
      <c r="AN155" s="135"/>
      <c r="AO155" s="442"/>
      <c r="AP155" s="135"/>
      <c r="AQ155" s="160"/>
      <c r="AR155" s="160"/>
      <c r="AS155" s="160"/>
      <c r="AT155" s="135"/>
      <c r="AU155" s="135"/>
      <c r="AV155" s="55"/>
      <c r="AW155" s="55"/>
      <c r="AX155" s="55"/>
      <c r="AY155" s="55"/>
      <c r="AZ155" s="55"/>
      <c r="BA155" s="55"/>
      <c r="BB155" s="55"/>
      <c r="BC155" s="55"/>
      <c r="BD155" s="55"/>
      <c r="BE155" s="55"/>
      <c r="BF155" s="55"/>
      <c r="BG155" s="135"/>
      <c r="BH155" s="135"/>
      <c r="BI155" s="135"/>
      <c r="BJ155" s="121"/>
    </row>
    <row r="156" spans="2:62" s="28" customFormat="1" ht="14.1" customHeight="1">
      <c r="B156" s="117"/>
      <c r="C156" s="529" t="str">
        <f>C136</f>
        <v>Energieeffizienz-Zahl</v>
      </c>
      <c r="D156" s="98"/>
      <c r="E156" s="98"/>
      <c r="F156" s="98"/>
      <c r="G156" s="98"/>
      <c r="H156" s="98"/>
      <c r="I156" s="98"/>
      <c r="J156" s="98"/>
      <c r="K156" s="98"/>
      <c r="L156" s="98"/>
      <c r="M156" s="98"/>
      <c r="N156" s="98"/>
      <c r="O156" s="98"/>
      <c r="P156" s="122" t="s">
        <v>282</v>
      </c>
      <c r="Q156" s="98"/>
      <c r="R156" s="98"/>
      <c r="V156" s="135"/>
      <c r="W156" s="585" t="str">
        <f>AH136</f>
        <v>(erzeugte Kälte / Total Elektrizitätsverbrauch)</v>
      </c>
      <c r="X156" s="168"/>
      <c r="Y156" s="168"/>
      <c r="Z156" s="168"/>
      <c r="AA156" s="168"/>
      <c r="AB156" s="168"/>
      <c r="AC156" s="168"/>
      <c r="AD156" s="168"/>
      <c r="AE156" s="168"/>
      <c r="AF156" s="135"/>
      <c r="AG156" s="135"/>
      <c r="AH156" s="135"/>
      <c r="AI156" s="1452">
        <f>IF(AI154=0,0,AI153/AI154)</f>
        <v>0</v>
      </c>
      <c r="AJ156" s="1452"/>
      <c r="AK156" s="1452"/>
      <c r="AL156" s="461"/>
      <c r="AM156" s="135"/>
      <c r="AN156" s="135"/>
      <c r="AO156" s="442"/>
      <c r="AP156" s="135"/>
      <c r="AQ156" s="160"/>
      <c r="AR156" s="160"/>
      <c r="AS156" s="160"/>
      <c r="AT156" s="135"/>
      <c r="AU156" s="586" t="str">
        <f>X!$C$16</f>
        <v>(erzeugte Kälte / Total Elektrizitätsverbrauch)</v>
      </c>
      <c r="AV156" s="136"/>
      <c r="AW156" s="136"/>
      <c r="AX156" s="136"/>
      <c r="AY156" s="136"/>
      <c r="AZ156" s="136"/>
      <c r="BA156" s="136"/>
      <c r="BB156" s="136"/>
      <c r="BC156" s="136"/>
      <c r="BD156" s="55"/>
      <c r="BE156" s="55"/>
      <c r="BF156" s="55"/>
      <c r="BG156" s="1452">
        <f>IF(BG154=0,0,BG153/BG154)</f>
        <v>0</v>
      </c>
      <c r="BH156" s="1452"/>
      <c r="BI156" s="1452"/>
      <c r="BJ156" s="121"/>
    </row>
    <row r="157" spans="2:62">
      <c r="B157" s="161"/>
      <c r="C157" s="506"/>
      <c r="D157" s="127"/>
      <c r="E157" s="127"/>
      <c r="F157" s="127"/>
      <c r="G157" s="127"/>
      <c r="H157" s="127"/>
      <c r="I157" s="127"/>
      <c r="J157" s="127"/>
      <c r="K157" s="127"/>
      <c r="L157" s="127"/>
      <c r="M157" s="127"/>
      <c r="N157" s="127"/>
      <c r="O157" s="127"/>
      <c r="P157" s="126"/>
      <c r="Q157" s="127"/>
      <c r="R157" s="127"/>
      <c r="S157" s="127"/>
      <c r="T157" s="127"/>
      <c r="U157" s="127"/>
      <c r="V157" s="127"/>
      <c r="W157" s="58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7"/>
      <c r="BG157" s="127"/>
      <c r="BH157" s="127"/>
      <c r="BI157" s="127"/>
      <c r="BJ157" s="162"/>
    </row>
    <row r="159" spans="2:62" ht="17.100000000000001" customHeight="1">
      <c r="B159" s="52"/>
      <c r="C159" s="477"/>
      <c r="D159" s="52"/>
      <c r="E159" s="52"/>
      <c r="F159" s="52"/>
      <c r="G159" s="52"/>
      <c r="H159" s="52"/>
      <c r="I159" s="52"/>
      <c r="J159" s="52"/>
      <c r="K159" s="52"/>
      <c r="L159" s="52"/>
      <c r="M159" s="52"/>
      <c r="N159" s="52"/>
      <c r="O159" s="52"/>
      <c r="P159" s="55"/>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row>
    <row r="160" spans="2:62" ht="17.100000000000001" customHeight="1">
      <c r="B160" s="52"/>
      <c r="C160" s="477"/>
      <c r="D160" s="52"/>
      <c r="E160" s="52"/>
      <c r="F160" s="52"/>
      <c r="G160" s="52"/>
      <c r="H160" s="52"/>
      <c r="I160" s="52"/>
      <c r="J160" s="52"/>
      <c r="K160" s="52"/>
      <c r="L160" s="52"/>
      <c r="M160" s="52"/>
      <c r="N160" s="52"/>
      <c r="O160" s="52"/>
      <c r="P160" s="55"/>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row>
    <row r="161" spans="2:62" ht="17.100000000000001" customHeight="1">
      <c r="B161" s="401" t="s">
        <v>13</v>
      </c>
      <c r="C161" s="564" t="str">
        <f>X!$C$79</f>
        <v>Details zur Berechnung einblenden?</v>
      </c>
      <c r="D161" s="402"/>
      <c r="E161" s="402"/>
      <c r="F161" s="402"/>
      <c r="G161" s="402"/>
      <c r="H161" s="402"/>
      <c r="I161" s="402"/>
      <c r="J161" s="402"/>
      <c r="K161" s="402"/>
      <c r="L161" s="402"/>
      <c r="M161" s="402"/>
      <c r="N161" s="402"/>
      <c r="O161" s="403"/>
      <c r="P161" s="403"/>
      <c r="Q161" s="403"/>
      <c r="R161" s="1702"/>
      <c r="S161" s="1702"/>
      <c r="T161" s="1703"/>
      <c r="U161" s="214"/>
      <c r="V161" s="214"/>
      <c r="W161" s="214"/>
      <c r="X161" s="214"/>
      <c r="Y161" s="214"/>
      <c r="Z161" s="214"/>
      <c r="AA161" s="214"/>
      <c r="AB161" s="214"/>
      <c r="AC161" s="214"/>
      <c r="AD161" s="214"/>
      <c r="AE161" s="214"/>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1439" t="str">
        <f>X!C291</f>
        <v>nach oben</v>
      </c>
      <c r="BA161" s="1439"/>
      <c r="BB161" s="1439"/>
      <c r="BC161" s="1439"/>
      <c r="BD161" s="1439"/>
      <c r="BE161" s="1439"/>
      <c r="BF161" s="1439"/>
      <c r="BG161" s="1439"/>
      <c r="BH161" s="627" t="s">
        <v>670</v>
      </c>
      <c r="BI161" s="214"/>
      <c r="BJ161" s="214"/>
    </row>
    <row r="162" spans="2:62" ht="17.100000000000001" customHeight="1">
      <c r="B162" s="213"/>
      <c r="C162" s="524"/>
      <c r="D162" s="214"/>
      <c r="E162" s="214"/>
      <c r="F162" s="214"/>
      <c r="G162" s="214"/>
      <c r="H162" s="214"/>
      <c r="I162" s="214"/>
      <c r="J162" s="214"/>
      <c r="K162" s="214"/>
      <c r="L162" s="214"/>
      <c r="M162" s="214"/>
      <c r="N162" s="214"/>
      <c r="O162" s="214"/>
      <c r="P162" s="215"/>
      <c r="Q162" s="214"/>
      <c r="R162" s="214"/>
      <c r="S162" s="214"/>
      <c r="T162" s="214"/>
      <c r="U162" s="214"/>
      <c r="V162" s="214"/>
      <c r="W162" s="214"/>
      <c r="X162" s="214"/>
      <c r="Y162" s="214"/>
      <c r="Z162" s="214"/>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c r="BJ162" s="214"/>
    </row>
    <row r="163" spans="2:62" ht="17.100000000000001" customHeight="1"/>
    <row r="164" spans="2:62">
      <c r="B164" s="103"/>
      <c r="C164" s="502"/>
      <c r="D164" s="104"/>
      <c r="E164" s="104"/>
      <c r="F164" s="104"/>
      <c r="G164" s="104"/>
      <c r="H164" s="104"/>
      <c r="I164" s="104"/>
      <c r="J164" s="104"/>
      <c r="K164" s="104"/>
      <c r="L164" s="104"/>
      <c r="M164" s="104"/>
      <c r="N164" s="104"/>
      <c r="O164" s="104"/>
      <c r="P164" s="105"/>
      <c r="Q164" s="104"/>
      <c r="R164" s="104"/>
      <c r="S164" s="104"/>
      <c r="T164" s="104"/>
      <c r="U164" s="104"/>
      <c r="V164" s="104"/>
      <c r="W164" s="104"/>
      <c r="X164" s="104"/>
      <c r="Y164" s="104"/>
      <c r="Z164" s="104"/>
      <c r="AA164" s="104"/>
      <c r="AB164" s="104"/>
      <c r="AC164" s="104"/>
      <c r="AD164" s="104"/>
      <c r="AE164" s="104"/>
      <c r="AF164" s="104"/>
      <c r="AG164" s="104"/>
      <c r="AH164" s="104"/>
      <c r="AI164" s="104"/>
      <c r="AJ164" s="104"/>
      <c r="AK164" s="104"/>
      <c r="AL164" s="104"/>
      <c r="AM164" s="104"/>
      <c r="AN164" s="104"/>
      <c r="AO164" s="104"/>
      <c r="AP164" s="104"/>
      <c r="AQ164" s="104"/>
      <c r="AR164" s="104"/>
      <c r="AS164" s="104"/>
      <c r="AT164" s="104"/>
      <c r="AU164" s="104"/>
      <c r="AV164" s="104"/>
      <c r="AW164" s="104"/>
      <c r="AX164" s="104"/>
      <c r="AY164" s="104"/>
      <c r="AZ164" s="104"/>
      <c r="BA164" s="104"/>
      <c r="BB164" s="104"/>
      <c r="BC164" s="104"/>
      <c r="BD164" s="104"/>
      <c r="BE164" s="104"/>
      <c r="BF164" s="104"/>
      <c r="BG164" s="104"/>
      <c r="BH164" s="104"/>
      <c r="BI164" s="104"/>
      <c r="BJ164" s="106"/>
    </row>
    <row r="165" spans="2:62">
      <c r="B165" s="147"/>
      <c r="C165" s="477"/>
      <c r="D165" s="52"/>
      <c r="E165" s="52"/>
      <c r="F165" s="52"/>
      <c r="G165" s="52"/>
      <c r="H165" s="52"/>
      <c r="I165" s="52"/>
      <c r="J165" s="52"/>
      <c r="K165" s="52"/>
      <c r="L165" s="52"/>
      <c r="M165" s="52"/>
      <c r="N165" s="52"/>
      <c r="O165" s="52"/>
      <c r="P165" s="55"/>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152"/>
    </row>
    <row r="166" spans="2:62" s="116" customFormat="1" ht="21" customHeight="1">
      <c r="B166" s="107"/>
      <c r="C166" s="486">
        <v>5</v>
      </c>
      <c r="D166" s="546" t="str">
        <f>X!$C$50</f>
        <v>Berechnungen (A: Standard-Profil)</v>
      </c>
      <c r="E166" s="109"/>
      <c r="F166" s="109"/>
      <c r="G166" s="110"/>
      <c r="H166" s="110"/>
      <c r="I166" s="111"/>
      <c r="J166" s="111"/>
      <c r="K166" s="111"/>
      <c r="L166" s="111"/>
      <c r="M166" s="111"/>
      <c r="N166" s="111"/>
      <c r="O166" s="111"/>
      <c r="P166" s="111"/>
      <c r="Q166" s="111"/>
      <c r="R166" s="111"/>
      <c r="S166" s="109"/>
      <c r="T166" s="109"/>
      <c r="U166" s="110"/>
      <c r="V166" s="110"/>
      <c r="W166" s="110"/>
      <c r="X166" s="110"/>
      <c r="Y166" s="110"/>
      <c r="Z166" s="110"/>
      <c r="AA166" s="110"/>
      <c r="AB166" s="110"/>
      <c r="AC166" s="110"/>
      <c r="AD166" s="110"/>
      <c r="AE166" s="110"/>
      <c r="AF166" s="110"/>
      <c r="AG166" s="110"/>
      <c r="AH166" s="110"/>
      <c r="AI166" s="110"/>
      <c r="AJ166" s="110"/>
      <c r="AK166" s="110"/>
      <c r="AL166" s="110"/>
      <c r="AM166" s="111"/>
      <c r="AN166" s="111"/>
      <c r="AO166" s="111"/>
      <c r="AP166" s="111"/>
      <c r="AQ166" s="109"/>
      <c r="AR166" s="109"/>
      <c r="AS166" s="110"/>
      <c r="AT166" s="110"/>
      <c r="AU166" s="110"/>
      <c r="AV166" s="110"/>
      <c r="AW166" s="110"/>
      <c r="AX166" s="110"/>
      <c r="AY166" s="110"/>
      <c r="AZ166" s="110"/>
      <c r="BA166" s="110"/>
      <c r="BB166" s="110"/>
      <c r="BC166" s="110"/>
      <c r="BD166" s="110"/>
      <c r="BE166" s="110"/>
      <c r="BF166" s="110"/>
      <c r="BG166" s="110"/>
      <c r="BH166" s="110"/>
      <c r="BI166" s="110"/>
      <c r="BJ166" s="115"/>
    </row>
    <row r="167" spans="2:62" s="28" customFormat="1" ht="17.100000000000001" customHeight="1">
      <c r="B167" s="117"/>
      <c r="C167" s="489"/>
      <c r="D167" s="98"/>
      <c r="E167" s="98"/>
      <c r="F167" s="98"/>
      <c r="G167" s="98"/>
      <c r="H167" s="98"/>
      <c r="I167" s="98"/>
      <c r="J167" s="98"/>
      <c r="K167" s="98"/>
      <c r="L167" s="98"/>
      <c r="M167" s="98"/>
      <c r="N167" s="98"/>
      <c r="O167" s="98"/>
      <c r="P167" s="122"/>
      <c r="Q167" s="98"/>
      <c r="R167" s="98"/>
      <c r="S167" s="135"/>
      <c r="T167" s="135"/>
      <c r="U167" s="135"/>
      <c r="V167" s="98"/>
      <c r="W167" s="136"/>
      <c r="X167" s="136"/>
      <c r="Y167" s="136"/>
      <c r="Z167" s="136"/>
      <c r="AA167" s="136"/>
      <c r="AB167" s="136"/>
      <c r="AC167" s="136"/>
      <c r="AD167" s="136"/>
      <c r="AE167" s="136"/>
      <c r="AF167" s="98"/>
      <c r="AG167" s="98"/>
      <c r="AH167" s="98"/>
      <c r="AI167" s="98"/>
      <c r="AJ167" s="98"/>
      <c r="AK167" s="98"/>
      <c r="AL167" s="98"/>
      <c r="AM167" s="98"/>
      <c r="AN167" s="98"/>
      <c r="AO167" s="98"/>
      <c r="AP167" s="98"/>
      <c r="AQ167" s="135"/>
      <c r="AR167" s="135"/>
      <c r="AS167" s="135"/>
      <c r="AT167" s="98"/>
      <c r="AU167" s="136"/>
      <c r="AV167" s="136"/>
      <c r="AW167" s="136"/>
      <c r="AX167" s="136"/>
      <c r="AY167" s="136"/>
      <c r="AZ167" s="136"/>
      <c r="BA167" s="136"/>
      <c r="BB167" s="136"/>
      <c r="BC167" s="136"/>
      <c r="BD167" s="55"/>
      <c r="BE167" s="55"/>
      <c r="BF167" s="55"/>
      <c r="BG167" s="55"/>
      <c r="BH167" s="52"/>
      <c r="BI167" s="55"/>
      <c r="BJ167" s="121"/>
    </row>
    <row r="168" spans="2:62" s="139" customFormat="1" ht="17.100000000000001" customHeight="1">
      <c r="B168" s="137"/>
      <c r="C168" s="488"/>
      <c r="D168" s="138"/>
      <c r="E168" s="138"/>
      <c r="F168" s="138"/>
      <c r="S168" s="140" t="str">
        <f>'1 System specification'!O132</f>
        <v>Variante A</v>
      </c>
      <c r="T168" s="140"/>
      <c r="U168" s="141"/>
      <c r="V168" s="141"/>
      <c r="W168" s="141"/>
      <c r="X168" s="141"/>
      <c r="Y168" s="141"/>
      <c r="Z168" s="141"/>
      <c r="AA168" s="141"/>
      <c r="AB168" s="141"/>
      <c r="AC168" s="141"/>
      <c r="AD168" s="141"/>
      <c r="AE168" s="141"/>
      <c r="AF168" s="141"/>
      <c r="AG168" s="141"/>
      <c r="AH168" s="141"/>
      <c r="AI168" s="141"/>
      <c r="AJ168" s="141"/>
      <c r="AK168" s="141"/>
      <c r="AL168" s="431"/>
      <c r="AQ168" s="140" t="str">
        <f>'1 System specification'!O133</f>
        <v/>
      </c>
      <c r="AR168" s="140"/>
      <c r="AS168" s="141"/>
      <c r="AT168" s="141"/>
      <c r="AU168" s="141"/>
      <c r="AV168" s="141"/>
      <c r="AW168" s="141"/>
      <c r="AX168" s="141"/>
      <c r="AY168" s="141"/>
      <c r="AZ168" s="141"/>
      <c r="BA168" s="141"/>
      <c r="BB168" s="141"/>
      <c r="BC168" s="141"/>
      <c r="BD168" s="141"/>
      <c r="BE168" s="141"/>
      <c r="BF168" s="141"/>
      <c r="BG168" s="141"/>
      <c r="BH168" s="141"/>
      <c r="BI168" s="141"/>
      <c r="BJ168" s="142"/>
    </row>
    <row r="169" spans="2:62" s="28" customFormat="1" ht="17.100000000000001" customHeight="1">
      <c r="B169" s="117"/>
      <c r="C169" s="474"/>
      <c r="D169" s="98"/>
      <c r="E169" s="98"/>
      <c r="F169" s="98"/>
      <c r="G169" s="98"/>
      <c r="H169" s="98"/>
      <c r="I169" s="98"/>
      <c r="J169" s="98"/>
      <c r="K169" s="98"/>
      <c r="L169" s="98"/>
      <c r="M169" s="98"/>
      <c r="N169" s="98"/>
      <c r="O169" s="98"/>
      <c r="P169" s="122"/>
      <c r="Q169" s="98"/>
      <c r="R169" s="98"/>
      <c r="S169" s="98"/>
      <c r="T169" s="98"/>
      <c r="U169" s="98"/>
      <c r="V169" s="98"/>
      <c r="W169" s="98"/>
      <c r="X169" s="98"/>
      <c r="Y169" s="98"/>
      <c r="Z169" s="98"/>
      <c r="AA169" s="55"/>
      <c r="AB169" s="55"/>
      <c r="AC169" s="55"/>
      <c r="AD169" s="55"/>
      <c r="AE169" s="55"/>
      <c r="AF169" s="55"/>
      <c r="AG169" s="55"/>
      <c r="AH169" s="55"/>
      <c r="AI169" s="55"/>
      <c r="AJ169" s="55"/>
      <c r="AK169" s="55"/>
      <c r="AL169" s="55"/>
      <c r="AM169" s="55"/>
      <c r="AN169" s="55"/>
      <c r="AO169" s="55"/>
      <c r="AP169" s="55"/>
      <c r="AQ169" s="55"/>
      <c r="AR169" s="55"/>
      <c r="AS169" s="55"/>
      <c r="AT169" s="120"/>
      <c r="AU169" s="55"/>
      <c r="AV169" s="55"/>
      <c r="AW169" s="55"/>
      <c r="AX169" s="55"/>
      <c r="AY169" s="55"/>
      <c r="AZ169" s="55"/>
      <c r="BA169" s="55"/>
      <c r="BB169" s="55"/>
      <c r="BC169" s="55"/>
      <c r="BD169" s="55"/>
      <c r="BE169" s="55"/>
      <c r="BF169" s="55"/>
      <c r="BG169" s="55"/>
      <c r="BH169" s="52"/>
      <c r="BI169" s="55"/>
      <c r="BJ169" s="121"/>
    </row>
    <row r="170" spans="2:62">
      <c r="B170" s="147"/>
      <c r="C170" s="495">
        <v>5.0999999999999996</v>
      </c>
      <c r="D170" s="536" t="str">
        <f>X!$C$139</f>
        <v>Kälteproduktion Profil</v>
      </c>
      <c r="E170" s="52"/>
      <c r="F170" s="52"/>
      <c r="G170" s="52"/>
      <c r="H170" s="52"/>
      <c r="I170" s="52"/>
      <c r="J170" s="52"/>
      <c r="K170" s="52"/>
      <c r="L170" s="52"/>
      <c r="M170" s="52"/>
      <c r="N170" s="52"/>
      <c r="O170" s="52"/>
      <c r="P170" s="55"/>
      <c r="Q170" s="52"/>
      <c r="R170" s="52"/>
      <c r="S170" s="52"/>
      <c r="T170" s="52"/>
      <c r="U170" s="52"/>
      <c r="V170" s="52"/>
      <c r="W170" s="92"/>
      <c r="X170" s="92"/>
      <c r="Y170" s="92"/>
      <c r="Z170" s="92"/>
      <c r="AA170" s="92"/>
      <c r="AB170" s="92"/>
      <c r="AC170" s="92"/>
      <c r="AD170" s="92"/>
      <c r="AE170" s="9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152"/>
    </row>
    <row r="171" spans="2:62" s="28" customFormat="1" ht="6" customHeight="1">
      <c r="B171" s="117"/>
      <c r="C171" s="474"/>
      <c r="D171" s="98"/>
      <c r="E171" s="98"/>
      <c r="F171" s="98"/>
      <c r="G171" s="98"/>
      <c r="H171" s="98"/>
      <c r="I171" s="98"/>
      <c r="J171" s="98"/>
      <c r="K171" s="98"/>
      <c r="L171" s="98"/>
      <c r="M171" s="98"/>
      <c r="N171" s="98"/>
      <c r="O171" s="98"/>
      <c r="P171" s="122"/>
      <c r="Q171" s="98"/>
      <c r="R171" s="98"/>
      <c r="S171" s="135"/>
      <c r="T171" s="135"/>
      <c r="U171" s="135"/>
      <c r="V171" s="135"/>
      <c r="W171" s="135"/>
      <c r="X171" s="135"/>
      <c r="Y171" s="135"/>
      <c r="Z171" s="135"/>
      <c r="AA171" s="135"/>
      <c r="AB171" s="135"/>
      <c r="AC171" s="135"/>
      <c r="AD171" s="135"/>
      <c r="AE171" s="135"/>
      <c r="AF171" s="135"/>
      <c r="AG171" s="135"/>
      <c r="AH171" s="135"/>
      <c r="AI171" s="135"/>
      <c r="AJ171" s="135"/>
      <c r="AK171" s="135"/>
      <c r="AL171" s="461"/>
      <c r="AM171" s="135"/>
      <c r="AN171" s="135"/>
      <c r="AO171" s="442"/>
      <c r="AP171" s="135"/>
      <c r="AQ171" s="135"/>
      <c r="AR171" s="135"/>
      <c r="AS171" s="135"/>
      <c r="AT171" s="98"/>
      <c r="AU171" s="98"/>
      <c r="AV171" s="55"/>
      <c r="AW171" s="55"/>
      <c r="AX171" s="55"/>
      <c r="AY171" s="55"/>
      <c r="AZ171" s="55"/>
      <c r="BA171" s="55"/>
      <c r="BB171" s="55"/>
      <c r="BC171" s="55"/>
      <c r="BD171" s="55"/>
      <c r="BE171" s="55"/>
      <c r="BF171" s="55"/>
      <c r="BG171" s="55"/>
      <c r="BH171" s="55"/>
      <c r="BI171" s="55"/>
      <c r="BJ171" s="121"/>
    </row>
    <row r="172" spans="2:62" s="28" customFormat="1" ht="14.1" customHeight="1">
      <c r="B172" s="117"/>
      <c r="C172" s="474" t="str">
        <f>C27</f>
        <v>Kühlleistungsbedarf (Gebäude)</v>
      </c>
      <c r="D172" s="98"/>
      <c r="E172" s="98"/>
      <c r="F172" s="98"/>
      <c r="G172" s="98"/>
      <c r="H172" s="98"/>
      <c r="I172" s="98"/>
      <c r="J172" s="98"/>
      <c r="K172" s="98"/>
      <c r="L172" s="98"/>
      <c r="M172" s="98"/>
      <c r="N172" s="98"/>
      <c r="O172" s="98"/>
      <c r="P172" s="122" t="s">
        <v>106</v>
      </c>
      <c r="Q172" s="98"/>
      <c r="R172" s="98"/>
      <c r="V172" s="135"/>
      <c r="W172" s="168"/>
      <c r="X172" s="168"/>
      <c r="Y172" s="168"/>
      <c r="Z172" s="168"/>
      <c r="AA172" s="168"/>
      <c r="AB172" s="168"/>
      <c r="AC172" s="168"/>
      <c r="AD172" s="168"/>
      <c r="AE172" s="168"/>
      <c r="AF172" s="135"/>
      <c r="AG172" s="135"/>
      <c r="AH172" s="135"/>
      <c r="AI172" s="1696">
        <f>S27</f>
        <v>0</v>
      </c>
      <c r="AJ172" s="1696"/>
      <c r="AK172" s="1696"/>
      <c r="AL172" s="461"/>
      <c r="AM172" s="135"/>
      <c r="AN172" s="135"/>
      <c r="AO172" s="442"/>
      <c r="AP172" s="135"/>
      <c r="AQ172" s="618"/>
      <c r="AR172" s="618"/>
      <c r="AS172" s="618"/>
      <c r="AT172" s="98"/>
      <c r="AU172" s="136"/>
      <c r="AV172" s="136"/>
      <c r="AW172" s="136"/>
      <c r="AX172" s="136"/>
      <c r="AY172" s="136"/>
      <c r="AZ172" s="136"/>
      <c r="BA172" s="136"/>
      <c r="BB172" s="136"/>
      <c r="BC172" s="136"/>
      <c r="BD172" s="55"/>
      <c r="BE172" s="55"/>
      <c r="BF172" s="55"/>
      <c r="BG172" s="1696">
        <f>S27</f>
        <v>0</v>
      </c>
      <c r="BH172" s="1696"/>
      <c r="BI172" s="1696"/>
      <c r="BJ172" s="121"/>
    </row>
    <row r="173" spans="2:62" s="28" customFormat="1" ht="14.1" customHeight="1">
      <c r="B173" s="117"/>
      <c r="C173" s="474" t="str">
        <f>D53</f>
        <v>Kälteleistung der Maschinen</v>
      </c>
      <c r="D173" s="98"/>
      <c r="E173" s="98"/>
      <c r="F173" s="98"/>
      <c r="G173" s="98"/>
      <c r="H173" s="98"/>
      <c r="I173" s="98"/>
      <c r="J173" s="98"/>
      <c r="K173" s="98"/>
      <c r="L173" s="98"/>
      <c r="M173" s="98"/>
      <c r="N173" s="98"/>
      <c r="O173" s="98"/>
      <c r="P173" s="122" t="s">
        <v>106</v>
      </c>
      <c r="Q173" s="98"/>
      <c r="R173" s="98"/>
      <c r="V173" s="135"/>
      <c r="W173" s="168" t="str">
        <f>IF($S67=0,"",$S67)</f>
        <v/>
      </c>
      <c r="X173" s="168"/>
      <c r="Y173" s="168"/>
      <c r="Z173" s="168"/>
      <c r="AA173" s="168"/>
      <c r="AB173" s="168"/>
      <c r="AC173" s="168"/>
      <c r="AD173" s="168"/>
      <c r="AE173" s="168"/>
      <c r="AF173" s="135"/>
      <c r="AG173" s="135"/>
      <c r="AH173" s="135"/>
      <c r="AI173" s="1696">
        <f>S53</f>
        <v>0</v>
      </c>
      <c r="AJ173" s="1696"/>
      <c r="AK173" s="1696"/>
      <c r="AL173" s="461"/>
      <c r="AM173" s="135"/>
      <c r="AN173" s="135"/>
      <c r="AO173" s="442"/>
      <c r="AP173" s="135"/>
      <c r="AQ173" s="618"/>
      <c r="AR173" s="618"/>
      <c r="AS173" s="618"/>
      <c r="AT173" s="98"/>
      <c r="AU173" s="136" t="str">
        <f>IF($S67=0,"",$S67)</f>
        <v/>
      </c>
      <c r="AV173" s="136"/>
      <c r="AW173" s="136"/>
      <c r="AX173" s="136"/>
      <c r="AY173" s="136"/>
      <c r="AZ173" s="136"/>
      <c r="BA173" s="136"/>
      <c r="BB173" s="136"/>
      <c r="BC173" s="136"/>
      <c r="BD173" s="55"/>
      <c r="BE173" s="55"/>
      <c r="BF173" s="55"/>
      <c r="BG173" s="1696">
        <f>AQ53</f>
        <v>0</v>
      </c>
      <c r="BH173" s="1696"/>
      <c r="BI173" s="1696"/>
      <c r="BJ173" s="121"/>
    </row>
    <row r="174" spans="2:62" s="28" customFormat="1" ht="14.1" customHeight="1">
      <c r="B174" s="117"/>
      <c r="C174" s="542" t="str">
        <f>X!$C$17</f>
        <v>(Über-)Dimensionierung</v>
      </c>
      <c r="D174" s="98"/>
      <c r="E174" s="98"/>
      <c r="F174" s="98"/>
      <c r="G174" s="98"/>
      <c r="H174" s="98"/>
      <c r="I174" s="98"/>
      <c r="J174" s="98"/>
      <c r="K174" s="98"/>
      <c r="L174" s="98"/>
      <c r="M174" s="98"/>
      <c r="N174" s="98"/>
      <c r="O174" s="98"/>
      <c r="P174" s="122" t="s">
        <v>30</v>
      </c>
      <c r="Q174" s="98"/>
      <c r="R174" s="98"/>
      <c r="V174" s="135"/>
      <c r="W174" s="168" t="str">
        <f>IF($S69=0,"",$S69)</f>
        <v/>
      </c>
      <c r="X174" s="168"/>
      <c r="Y174" s="168"/>
      <c r="Z174" s="168"/>
      <c r="AA174" s="168"/>
      <c r="AB174" s="168"/>
      <c r="AC174" s="168"/>
      <c r="AD174" s="168"/>
      <c r="AE174" s="168"/>
      <c r="AF174" s="135"/>
      <c r="AG174" s="135"/>
      <c r="AH174" s="135"/>
      <c r="AI174" s="1533">
        <f>IF(AI172=0,0,AI173/AI172)</f>
        <v>0</v>
      </c>
      <c r="AJ174" s="1533"/>
      <c r="AK174" s="1533"/>
      <c r="AL174" s="461"/>
      <c r="AM174" s="135"/>
      <c r="AN174" s="135"/>
      <c r="AO174" s="442"/>
      <c r="AP174" s="135"/>
      <c r="AQ174" s="618"/>
      <c r="AR174" s="618"/>
      <c r="AS174" s="618"/>
      <c r="AT174" s="98"/>
      <c r="AU174" s="136" t="str">
        <f>IF($S69=0,"",$S69)</f>
        <v/>
      </c>
      <c r="AV174" s="136"/>
      <c r="AW174" s="136"/>
      <c r="AX174" s="136"/>
      <c r="AY174" s="136"/>
      <c r="AZ174" s="136"/>
      <c r="BA174" s="136"/>
      <c r="BB174" s="136"/>
      <c r="BC174" s="136"/>
      <c r="BD174" s="55"/>
      <c r="BE174" s="55"/>
      <c r="BF174" s="55"/>
      <c r="BG174" s="1533">
        <f>IF(BG172=0,0,BG173/BG172)</f>
        <v>0</v>
      </c>
      <c r="BH174" s="1533"/>
      <c r="BI174" s="1533"/>
      <c r="BJ174" s="121"/>
    </row>
    <row r="175" spans="2:62" s="28" customFormat="1" ht="14.1" customHeight="1">
      <c r="B175" s="117"/>
      <c r="C175" s="542" t="str">
        <f>X!$C$57</f>
        <v>Betriebsstunden Maschine pro Jahr</v>
      </c>
      <c r="D175" s="98"/>
      <c r="E175" s="98"/>
      <c r="F175" s="98"/>
      <c r="G175" s="98"/>
      <c r="H175" s="98"/>
      <c r="I175" s="98"/>
      <c r="J175" s="98"/>
      <c r="K175" s="98"/>
      <c r="L175" s="98"/>
      <c r="M175" s="98"/>
      <c r="N175" s="98"/>
      <c r="O175" s="98"/>
      <c r="P175" s="122" t="s">
        <v>152</v>
      </c>
      <c r="Q175" s="98"/>
      <c r="R175" s="98"/>
      <c r="V175" s="135"/>
      <c r="W175" s="168"/>
      <c r="X175" s="168"/>
      <c r="Y175" s="168"/>
      <c r="Z175" s="168"/>
      <c r="AA175" s="168"/>
      <c r="AB175" s="168"/>
      <c r="AC175" s="168"/>
      <c r="AD175" s="168"/>
      <c r="AE175" s="168"/>
      <c r="AF175" s="135"/>
      <c r="AG175" s="135"/>
      <c r="AH175" s="135"/>
      <c r="AI175" s="1445">
        <f>AI396</f>
        <v>0</v>
      </c>
      <c r="AJ175" s="1463"/>
      <c r="AK175" s="1463"/>
      <c r="AL175" s="461"/>
      <c r="AM175" s="135"/>
      <c r="AN175" s="135"/>
      <c r="AO175" s="442"/>
      <c r="AP175" s="135"/>
      <c r="AQ175" s="618"/>
      <c r="AR175" s="618"/>
      <c r="AS175" s="618"/>
      <c r="AT175" s="98"/>
      <c r="AU175" s="136"/>
      <c r="AV175" s="136"/>
      <c r="AW175" s="136"/>
      <c r="AX175" s="136"/>
      <c r="AY175" s="136"/>
      <c r="AZ175" s="136"/>
      <c r="BA175" s="136"/>
      <c r="BB175" s="136"/>
      <c r="BC175" s="136"/>
      <c r="BD175" s="55"/>
      <c r="BE175" s="55"/>
      <c r="BF175" s="55"/>
      <c r="BG175" s="1445">
        <f>BG396</f>
        <v>0</v>
      </c>
      <c r="BH175" s="1463"/>
      <c r="BI175" s="1463"/>
      <c r="BJ175" s="121"/>
    </row>
    <row r="176" spans="2:62" s="28" customFormat="1" ht="14.1" customHeight="1">
      <c r="B176" s="117"/>
      <c r="C176" s="542" t="str">
        <f>X!$C$137</f>
        <v>Kälteproduktion der Anlage</v>
      </c>
      <c r="D176" s="98"/>
      <c r="E176" s="98"/>
      <c r="F176" s="98"/>
      <c r="G176" s="98"/>
      <c r="H176" s="98"/>
      <c r="I176" s="98"/>
      <c r="J176" s="98"/>
      <c r="K176" s="98"/>
      <c r="L176" s="98"/>
      <c r="M176" s="98"/>
      <c r="N176" s="98"/>
      <c r="O176" s="98"/>
      <c r="P176" s="122" t="s">
        <v>22</v>
      </c>
      <c r="Q176" s="98"/>
      <c r="R176" s="98"/>
      <c r="V176" s="135"/>
      <c r="W176" s="168" t="str">
        <f>IF($S83=0,"",$S83)</f>
        <v/>
      </c>
      <c r="X176" s="168"/>
      <c r="Y176" s="168"/>
      <c r="Z176" s="168"/>
      <c r="AA176" s="168"/>
      <c r="AB176" s="168"/>
      <c r="AC176" s="168"/>
      <c r="AD176" s="168"/>
      <c r="AE176" s="168"/>
      <c r="AF176" s="135"/>
      <c r="AG176" s="135"/>
      <c r="AH176" s="135"/>
      <c r="AI176" s="1684">
        <f>IF(AI173*AI175&gt;100000,ROUND(AI173*AI175,-4),ROUND(AI173*AI175,-3))</f>
        <v>0</v>
      </c>
      <c r="AJ176" s="1684"/>
      <c r="AK176" s="1684"/>
      <c r="AL176" s="461"/>
      <c r="AM176" s="135"/>
      <c r="AN176" s="135"/>
      <c r="AO176" s="442"/>
      <c r="AP176" s="135"/>
      <c r="AQ176" s="618"/>
      <c r="AR176" s="618"/>
      <c r="AS176" s="618"/>
      <c r="AT176" s="98"/>
      <c r="AU176" s="136" t="str">
        <f>IF($S83=0,"",$S83)</f>
        <v/>
      </c>
      <c r="AV176" s="136"/>
      <c r="AW176" s="136"/>
      <c r="AX176" s="136"/>
      <c r="AY176" s="136"/>
      <c r="AZ176" s="136"/>
      <c r="BA176" s="136"/>
      <c r="BB176" s="136"/>
      <c r="BC176" s="136"/>
      <c r="BD176" s="55"/>
      <c r="BE176" s="55"/>
      <c r="BF176" s="55"/>
      <c r="BG176" s="1684">
        <f>IF(BG173*BG175&gt;100000,ROUND(BG173*BG175,-4),ROUND(BG173*BG175,-3))</f>
        <v>0</v>
      </c>
      <c r="BH176" s="1684"/>
      <c r="BI176" s="1684"/>
      <c r="BJ176" s="121"/>
    </row>
    <row r="177" spans="2:66">
      <c r="B177" s="147"/>
      <c r="C177" s="477"/>
      <c r="D177" s="52"/>
      <c r="E177" s="52"/>
      <c r="F177" s="52"/>
      <c r="G177" s="52"/>
      <c r="H177" s="52"/>
      <c r="I177" s="52"/>
      <c r="J177" s="52"/>
      <c r="K177" s="52"/>
      <c r="L177" s="52"/>
      <c r="M177" s="52"/>
      <c r="N177" s="52"/>
      <c r="O177" s="52"/>
      <c r="P177" s="55"/>
      <c r="Q177" s="52"/>
      <c r="R177" s="52"/>
      <c r="V177" s="52"/>
      <c r="W177" s="92"/>
      <c r="X177" s="92"/>
      <c r="Y177" s="92"/>
      <c r="Z177" s="92"/>
      <c r="AA177" s="92"/>
      <c r="AB177" s="92"/>
      <c r="AC177" s="92"/>
      <c r="AD177" s="92"/>
      <c r="AE177" s="92"/>
      <c r="AF177" s="52"/>
      <c r="AG177" s="52"/>
      <c r="AH177" s="52"/>
      <c r="AI177" s="1684"/>
      <c r="AJ177" s="1684"/>
      <c r="AK177" s="1684"/>
      <c r="AL177" s="52"/>
      <c r="AM177" s="52"/>
      <c r="AN177" s="52"/>
      <c r="AO177" s="52"/>
      <c r="AP177" s="52"/>
      <c r="AQ177" s="618"/>
      <c r="AR177" s="618"/>
      <c r="AS177" s="618"/>
      <c r="AT177" s="52"/>
      <c r="AU177" s="52"/>
      <c r="AV177" s="52"/>
      <c r="AW177" s="52"/>
      <c r="AX177" s="52"/>
      <c r="AY177" s="52"/>
      <c r="AZ177" s="52"/>
      <c r="BA177" s="52"/>
      <c r="BB177" s="52"/>
      <c r="BC177" s="52"/>
      <c r="BD177" s="52"/>
      <c r="BE177" s="52"/>
      <c r="BF177" s="52"/>
      <c r="BG177" s="52"/>
      <c r="BH177" s="52"/>
      <c r="BI177" s="52"/>
      <c r="BJ177" s="152"/>
    </row>
    <row r="178" spans="2:66">
      <c r="B178" s="147"/>
      <c r="C178" s="477"/>
      <c r="D178" s="52"/>
      <c r="E178" s="52"/>
      <c r="F178" s="52"/>
      <c r="G178" s="52"/>
      <c r="H178" s="52"/>
      <c r="I178" s="52"/>
      <c r="J178" s="52"/>
      <c r="K178" s="52"/>
      <c r="L178" s="52"/>
      <c r="M178" s="52"/>
      <c r="N178" s="52"/>
      <c r="O178" s="52"/>
      <c r="P178" s="55"/>
      <c r="Q178" s="52"/>
      <c r="R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618"/>
      <c r="AR178" s="618"/>
      <c r="AS178" s="618"/>
      <c r="AT178" s="52"/>
      <c r="AU178" s="52"/>
      <c r="AV178" s="52"/>
      <c r="AW178" s="52"/>
      <c r="AX178" s="52"/>
      <c r="AY178" s="52"/>
      <c r="AZ178" s="52"/>
      <c r="BA178" s="52"/>
      <c r="BB178" s="52"/>
      <c r="BC178" s="52"/>
      <c r="BD178" s="52"/>
      <c r="BE178" s="52"/>
      <c r="BF178" s="52"/>
      <c r="BG178" s="52"/>
      <c r="BH178" s="52"/>
      <c r="BI178" s="52"/>
      <c r="BJ178" s="152"/>
    </row>
    <row r="179" spans="2:66">
      <c r="B179" s="147"/>
      <c r="C179" s="495">
        <v>5.2</v>
      </c>
      <c r="D179" s="536" t="str">
        <f>X!$C$100</f>
        <v>Energieverbrauch Kältemaschine</v>
      </c>
      <c r="E179" s="52"/>
      <c r="F179" s="52"/>
      <c r="G179" s="52"/>
      <c r="H179" s="52"/>
      <c r="I179" s="52"/>
      <c r="J179" s="52"/>
      <c r="K179" s="52"/>
      <c r="L179" s="52"/>
      <c r="M179" s="52"/>
      <c r="N179" s="52"/>
      <c r="O179" s="52"/>
      <c r="P179" s="55"/>
      <c r="Q179" s="52"/>
      <c r="R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618"/>
      <c r="AR179" s="618"/>
      <c r="AS179" s="618"/>
      <c r="AT179" s="52"/>
      <c r="AU179" s="52"/>
      <c r="AV179" s="52"/>
      <c r="AW179" s="52"/>
      <c r="AX179" s="52"/>
      <c r="AY179" s="52"/>
      <c r="AZ179" s="52"/>
      <c r="BA179" s="52"/>
      <c r="BB179" s="52"/>
      <c r="BC179" s="52"/>
      <c r="BD179" s="52"/>
      <c r="BE179" s="52"/>
      <c r="BF179" s="52"/>
      <c r="BG179" s="52"/>
      <c r="BH179" s="52"/>
      <c r="BI179" s="52"/>
      <c r="BJ179" s="152"/>
    </row>
    <row r="180" spans="2:66" s="28" customFormat="1" ht="6" customHeight="1">
      <c r="B180" s="117"/>
      <c r="C180" s="474"/>
      <c r="D180" s="98"/>
      <c r="E180" s="98"/>
      <c r="F180" s="98"/>
      <c r="G180" s="55"/>
      <c r="H180" s="98"/>
      <c r="I180" s="98"/>
      <c r="J180" s="98"/>
      <c r="K180" s="98"/>
      <c r="L180" s="98"/>
      <c r="M180" s="98"/>
      <c r="N180" s="98"/>
      <c r="O180" s="98"/>
      <c r="P180" s="122"/>
      <c r="Q180" s="98"/>
      <c r="R180" s="98"/>
      <c r="V180" s="135"/>
      <c r="W180" s="366"/>
      <c r="X180" s="366"/>
      <c r="Y180" s="366"/>
      <c r="Z180" s="91"/>
      <c r="AA180" s="135"/>
      <c r="AB180" s="135"/>
      <c r="AC180" s="135"/>
      <c r="AD180" s="52"/>
      <c r="AE180" s="52"/>
      <c r="AF180" s="52"/>
      <c r="AG180" s="52"/>
      <c r="AH180" s="52"/>
      <c r="AI180" s="135"/>
      <c r="AJ180" s="135"/>
      <c r="AK180" s="135"/>
      <c r="AL180" s="52"/>
      <c r="AM180" s="52"/>
      <c r="AN180" s="98"/>
      <c r="AO180" s="98"/>
      <c r="AP180" s="98"/>
      <c r="AQ180" s="618"/>
      <c r="AR180" s="618"/>
      <c r="AS180" s="618"/>
      <c r="AT180" s="135"/>
      <c r="AU180" s="366"/>
      <c r="AV180" s="366"/>
      <c r="AW180" s="366"/>
      <c r="AX180" s="91"/>
      <c r="AY180" s="135"/>
      <c r="AZ180" s="135"/>
      <c r="BA180" s="135"/>
      <c r="BB180" s="52"/>
      <c r="BC180" s="52"/>
      <c r="BD180" s="52"/>
      <c r="BE180" s="52"/>
      <c r="BF180" s="52"/>
      <c r="BG180" s="135"/>
      <c r="BH180" s="135"/>
      <c r="BI180" s="135"/>
      <c r="BJ180" s="152"/>
    </row>
    <row r="181" spans="2:66" s="28" customFormat="1" ht="14.1" customHeight="1">
      <c r="B181" s="117"/>
      <c r="C181" s="474" t="str">
        <f>C176</f>
        <v>Kälteproduktion der Anlage</v>
      </c>
      <c r="D181" s="98"/>
      <c r="E181" s="98"/>
      <c r="F181" s="98"/>
      <c r="G181" s="98"/>
      <c r="H181" s="98"/>
      <c r="I181" s="98"/>
      <c r="J181" s="98"/>
      <c r="K181" s="98"/>
      <c r="L181" s="98"/>
      <c r="M181" s="98"/>
      <c r="N181" s="98"/>
      <c r="O181" s="98"/>
      <c r="P181" s="122" t="s">
        <v>22</v>
      </c>
      <c r="Q181" s="98"/>
      <c r="R181" s="98"/>
      <c r="V181" s="135"/>
      <c r="W181" s="52"/>
      <c r="X181" s="52"/>
      <c r="Y181" s="52"/>
      <c r="Z181" s="52"/>
      <c r="AA181" s="52"/>
      <c r="AB181" s="52"/>
      <c r="AC181" s="52"/>
      <c r="AD181" s="52"/>
      <c r="AE181" s="52"/>
      <c r="AF181" s="52"/>
      <c r="AG181" s="52"/>
      <c r="AH181" s="135"/>
      <c r="AI181" s="1684">
        <f>AI176</f>
        <v>0</v>
      </c>
      <c r="AJ181" s="1696"/>
      <c r="AK181" s="1696"/>
      <c r="AL181" s="461"/>
      <c r="AM181" s="135"/>
      <c r="AN181" s="135"/>
      <c r="AO181" s="442"/>
      <c r="AP181" s="135"/>
      <c r="AQ181" s="618"/>
      <c r="AR181" s="618"/>
      <c r="AS181" s="618"/>
      <c r="AT181" s="98"/>
      <c r="AU181" s="52"/>
      <c r="AV181" s="52"/>
      <c r="AW181" s="52"/>
      <c r="AX181" s="52"/>
      <c r="AY181" s="52"/>
      <c r="AZ181" s="52"/>
      <c r="BA181" s="52"/>
      <c r="BB181" s="52"/>
      <c r="BC181" s="52"/>
      <c r="BD181" s="55"/>
      <c r="BE181" s="55"/>
      <c r="BF181" s="55"/>
      <c r="BG181" s="1684">
        <f>BG176</f>
        <v>0</v>
      </c>
      <c r="BH181" s="1696"/>
      <c r="BI181" s="1696"/>
      <c r="BJ181" s="121"/>
    </row>
    <row r="182" spans="2:66" s="28" customFormat="1" ht="14.1" customHeight="1">
      <c r="B182" s="117"/>
      <c r="C182" s="1052" t="str">
        <f>X!$C$107</f>
        <v>SEER-Wert Maschine</v>
      </c>
      <c r="D182" s="98"/>
      <c r="E182" s="98"/>
      <c r="F182" s="98"/>
      <c r="G182" s="98"/>
      <c r="H182" s="98"/>
      <c r="I182" s="98"/>
      <c r="J182" s="98"/>
      <c r="K182" s="98"/>
      <c r="L182" s="98"/>
      <c r="M182" s="98"/>
      <c r="N182" s="98"/>
      <c r="O182" s="98"/>
      <c r="P182" s="122" t="s">
        <v>16</v>
      </c>
      <c r="Q182" s="98"/>
      <c r="R182" s="98"/>
      <c r="V182" s="135"/>
      <c r="W182" s="52"/>
      <c r="X182" s="52"/>
      <c r="Y182" s="52"/>
      <c r="Z182" s="52"/>
      <c r="AA182" s="52"/>
      <c r="AB182" s="52"/>
      <c r="AC182" s="52"/>
      <c r="AD182" s="52"/>
      <c r="AE182" s="52"/>
      <c r="AF182" s="52"/>
      <c r="AG182" s="52"/>
      <c r="AH182" s="135"/>
      <c r="AI182" s="1696">
        <f>S57</f>
        <v>0</v>
      </c>
      <c r="AJ182" s="1696"/>
      <c r="AK182" s="1696"/>
      <c r="AL182" s="461"/>
      <c r="AM182" s="135"/>
      <c r="AN182" s="135"/>
      <c r="AO182" s="442"/>
      <c r="AP182" s="135"/>
      <c r="AQ182" s="618"/>
      <c r="AR182" s="618"/>
      <c r="AS182" s="618"/>
      <c r="AT182" s="98"/>
      <c r="AU182" s="52"/>
      <c r="AV182" s="52"/>
      <c r="AW182" s="52"/>
      <c r="AX182" s="52"/>
      <c r="AY182" s="52"/>
      <c r="AZ182" s="52"/>
      <c r="BA182" s="52"/>
      <c r="BB182" s="52"/>
      <c r="BC182" s="52"/>
      <c r="BD182" s="55"/>
      <c r="BE182" s="55"/>
      <c r="BF182" s="55"/>
      <c r="BG182" s="1696">
        <f>AQ57</f>
        <v>0</v>
      </c>
      <c r="BH182" s="1696"/>
      <c r="BI182" s="1696"/>
      <c r="BJ182" s="121"/>
      <c r="BN182" s="803" t="s">
        <v>884</v>
      </c>
    </row>
    <row r="183" spans="2:66" s="28" customFormat="1" ht="14.1" customHeight="1">
      <c r="B183" s="117"/>
      <c r="C183" s="542" t="str">
        <f>X!$C$221</f>
        <v>Stromverbrauch Maschine</v>
      </c>
      <c r="D183" s="98"/>
      <c r="E183" s="98"/>
      <c r="F183" s="98"/>
      <c r="G183" s="98"/>
      <c r="H183" s="98"/>
      <c r="I183" s="98"/>
      <c r="J183" s="98"/>
      <c r="K183" s="98"/>
      <c r="L183" s="98"/>
      <c r="M183" s="98"/>
      <c r="N183" s="98"/>
      <c r="O183" s="98"/>
      <c r="P183" s="122" t="s">
        <v>22</v>
      </c>
      <c r="Q183" s="98"/>
      <c r="R183" s="98"/>
      <c r="V183" s="135"/>
      <c r="W183" s="52"/>
      <c r="X183" s="52"/>
      <c r="Y183" s="52"/>
      <c r="Z183" s="52"/>
      <c r="AA183" s="52"/>
      <c r="AB183" s="52"/>
      <c r="AC183" s="52"/>
      <c r="AD183" s="52"/>
      <c r="AE183" s="52"/>
      <c r="AF183" s="52"/>
      <c r="AG183" s="52"/>
      <c r="AH183" s="135"/>
      <c r="AI183" s="1543">
        <f>IF(AI182=0,0,IF(AI181/AI182&gt;100000,ROUND(AI181/AI182,-4),ROUND(AI181/AI182,-3)))</f>
        <v>0</v>
      </c>
      <c r="AJ183" s="1543"/>
      <c r="AK183" s="1543"/>
      <c r="AL183" s="461"/>
      <c r="AM183" s="135"/>
      <c r="AN183" s="135"/>
      <c r="AO183" s="442"/>
      <c r="AP183" s="135"/>
      <c r="AQ183" s="618"/>
      <c r="AR183" s="618"/>
      <c r="AS183" s="618"/>
      <c r="AT183" s="98"/>
      <c r="AU183" s="52"/>
      <c r="AV183" s="52"/>
      <c r="AW183" s="52"/>
      <c r="AX183" s="52"/>
      <c r="AY183" s="52"/>
      <c r="AZ183" s="52"/>
      <c r="BA183" s="52"/>
      <c r="BB183" s="52"/>
      <c r="BC183" s="52"/>
      <c r="BD183" s="55"/>
      <c r="BE183" s="55"/>
      <c r="BF183" s="55"/>
      <c r="BG183" s="1543">
        <f>IF(BG182=0,0,IF(BG181/BG182&gt;100000,ROUND(BG181/BG182,-4),ROUND(BG181/BG182,-3)))</f>
        <v>0</v>
      </c>
      <c r="BH183" s="1711"/>
      <c r="BI183" s="1711"/>
      <c r="BJ183" s="121"/>
    </row>
    <row r="184" spans="2:66">
      <c r="B184" s="147"/>
      <c r="C184" s="477"/>
      <c r="D184" s="52"/>
      <c r="E184" s="52"/>
      <c r="F184" s="52"/>
      <c r="G184" s="52"/>
      <c r="H184" s="52"/>
      <c r="I184" s="52"/>
      <c r="J184" s="52"/>
      <c r="K184" s="52"/>
      <c r="L184" s="52"/>
      <c r="M184" s="52"/>
      <c r="N184" s="52"/>
      <c r="O184" s="52"/>
      <c r="P184" s="55"/>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135"/>
      <c r="AN184" s="135"/>
      <c r="AO184" s="442"/>
      <c r="AP184" s="135"/>
      <c r="AQ184" s="52"/>
      <c r="AR184" s="52"/>
      <c r="AS184" s="52"/>
      <c r="AT184" s="52"/>
      <c r="AU184" s="52"/>
      <c r="AV184" s="52"/>
      <c r="AW184" s="52"/>
      <c r="AX184" s="52"/>
      <c r="AY184" s="52"/>
      <c r="AZ184" s="52"/>
      <c r="BA184" s="52"/>
      <c r="BB184" s="52"/>
      <c r="BC184" s="52"/>
      <c r="BD184" s="52"/>
      <c r="BE184" s="52"/>
      <c r="BF184" s="52"/>
      <c r="BG184" s="52"/>
      <c r="BH184" s="52"/>
      <c r="BI184" s="52"/>
      <c r="BJ184" s="152"/>
    </row>
    <row r="185" spans="2:66">
      <c r="B185" s="147"/>
      <c r="C185" s="477"/>
      <c r="D185" s="52"/>
      <c r="E185" s="52"/>
      <c r="F185" s="52"/>
      <c r="G185" s="52"/>
      <c r="H185" s="52"/>
      <c r="I185" s="52"/>
      <c r="J185" s="52"/>
      <c r="K185" s="52"/>
      <c r="L185" s="52"/>
      <c r="M185" s="52"/>
      <c r="N185" s="52"/>
      <c r="O185" s="52"/>
      <c r="P185" s="55"/>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135"/>
      <c r="AN185" s="135"/>
      <c r="AO185" s="442"/>
      <c r="AP185" s="135"/>
      <c r="AQ185" s="52"/>
      <c r="AR185" s="52"/>
      <c r="AS185" s="52"/>
      <c r="AT185" s="52"/>
      <c r="AU185" s="52"/>
      <c r="AV185" s="52"/>
      <c r="AW185" s="52"/>
      <c r="AX185" s="52"/>
      <c r="AY185" s="52"/>
      <c r="AZ185" s="52"/>
      <c r="BA185" s="52"/>
      <c r="BB185" s="52"/>
      <c r="BC185" s="52"/>
      <c r="BD185" s="52"/>
      <c r="BE185" s="52"/>
      <c r="BF185" s="52"/>
      <c r="BG185" s="52"/>
      <c r="BH185" s="52"/>
      <c r="BI185" s="52"/>
      <c r="BJ185" s="152"/>
    </row>
    <row r="186" spans="2:66">
      <c r="B186" s="147"/>
      <c r="C186" s="525">
        <v>5.3</v>
      </c>
      <c r="D186" s="565" t="str">
        <f>X!$C$99</f>
        <v>Energieverbrauch Hilfsbetriebe «warme Seite»</v>
      </c>
      <c r="E186" s="36"/>
      <c r="F186" s="36"/>
      <c r="G186" s="36"/>
      <c r="H186" s="36"/>
      <c r="I186" s="36"/>
      <c r="J186" s="36"/>
      <c r="K186" s="36"/>
      <c r="L186" s="36"/>
      <c r="M186" s="36"/>
      <c r="N186" s="36"/>
      <c r="O186" s="36"/>
      <c r="P186" s="231"/>
      <c r="Q186" s="36"/>
      <c r="R186" s="52"/>
      <c r="S186" s="1710" t="s">
        <v>150</v>
      </c>
      <c r="T186" s="1710"/>
      <c r="U186" s="1710"/>
      <c r="V186" s="40"/>
      <c r="W186" s="1709" t="str">
        <f>X!$C$205</f>
        <v>Regelung</v>
      </c>
      <c r="X186" s="1710"/>
      <c r="Y186" s="1710"/>
      <c r="Z186" s="40"/>
      <c r="AA186" s="1709" t="str">
        <f>X!$C$192</f>
        <v>Pe (korr.)</v>
      </c>
      <c r="AB186" s="1710"/>
      <c r="AC186" s="1710"/>
      <c r="AD186" s="36"/>
      <c r="AE186" s="36"/>
      <c r="AF186" s="36"/>
      <c r="AG186" s="36"/>
      <c r="AH186" s="36"/>
      <c r="AI186" s="36"/>
      <c r="AJ186" s="36"/>
      <c r="AK186" s="36"/>
      <c r="AL186" s="52"/>
      <c r="AM186" s="135"/>
      <c r="AN186" s="135"/>
      <c r="AO186" s="442"/>
      <c r="AP186" s="135"/>
      <c r="AQ186" s="1710" t="s">
        <v>150</v>
      </c>
      <c r="AR186" s="1710"/>
      <c r="AS186" s="1710"/>
      <c r="AT186" s="40"/>
      <c r="AU186" s="1710" t="str">
        <f>W186</f>
        <v>Regelung</v>
      </c>
      <c r="AV186" s="1710"/>
      <c r="AW186" s="1710"/>
      <c r="AX186" s="40"/>
      <c r="AY186" s="1710" t="str">
        <f>AA186</f>
        <v>Pe (korr.)</v>
      </c>
      <c r="AZ186" s="1710"/>
      <c r="BA186" s="1710"/>
      <c r="BB186" s="36"/>
      <c r="BC186" s="36"/>
      <c r="BD186" s="36"/>
      <c r="BE186" s="36"/>
      <c r="BF186" s="36"/>
      <c r="BG186" s="36"/>
      <c r="BH186" s="36"/>
      <c r="BI186" s="36"/>
      <c r="BJ186" s="152"/>
    </row>
    <row r="187" spans="2:66" s="28" customFormat="1" ht="6" customHeight="1">
      <c r="B187" s="117"/>
      <c r="C187" s="474"/>
      <c r="D187" s="98"/>
      <c r="E187" s="98"/>
      <c r="F187" s="98"/>
      <c r="G187" s="98"/>
      <c r="H187" s="98"/>
      <c r="I187" s="98"/>
      <c r="J187" s="98"/>
      <c r="K187" s="98"/>
      <c r="L187" s="98"/>
      <c r="M187" s="98"/>
      <c r="N187" s="98"/>
      <c r="O187" s="98"/>
      <c r="P187" s="122"/>
      <c r="Q187" s="98"/>
      <c r="R187" s="52"/>
      <c r="S187" s="135"/>
      <c r="T187" s="135"/>
      <c r="U187" s="135"/>
      <c r="V187" s="135"/>
      <c r="W187" s="135"/>
      <c r="X187" s="135"/>
      <c r="Y187" s="135"/>
      <c r="Z187" s="52"/>
      <c r="AA187" s="52"/>
      <c r="AB187" s="52"/>
      <c r="AC187" s="52"/>
      <c r="AD187" s="52"/>
      <c r="AE187" s="52"/>
      <c r="AF187" s="52"/>
      <c r="AG187" s="52"/>
      <c r="AH187" s="52"/>
      <c r="AI187" s="52"/>
      <c r="AJ187" s="52"/>
      <c r="AK187" s="52"/>
      <c r="AL187" s="52"/>
      <c r="AM187" s="135"/>
      <c r="AN187" s="135"/>
      <c r="AO187" s="442"/>
      <c r="AP187" s="135"/>
      <c r="AQ187" s="135"/>
      <c r="AR187" s="135"/>
      <c r="AS187" s="135"/>
      <c r="AT187" s="135"/>
      <c r="AU187" s="135"/>
      <c r="AV187" s="135"/>
      <c r="AW187" s="135"/>
      <c r="AX187" s="52"/>
      <c r="AY187" s="52"/>
      <c r="AZ187" s="52"/>
      <c r="BA187" s="52"/>
      <c r="BB187" s="52"/>
      <c r="BC187" s="52"/>
      <c r="BD187" s="52"/>
      <c r="BE187" s="52"/>
      <c r="BF187" s="52"/>
      <c r="BG187" s="52"/>
      <c r="BH187" s="52"/>
      <c r="BI187" s="52"/>
      <c r="BJ187" s="152"/>
    </row>
    <row r="188" spans="2:66" s="155" customFormat="1" ht="14.1" customHeight="1">
      <c r="B188" s="154"/>
      <c r="C188" s="1472" t="str">
        <f>D64</f>
        <v xml:space="preserve">Pumpen im Rückkühlkreis </v>
      </c>
      <c r="D188" s="1472"/>
      <c r="E188" s="1472"/>
      <c r="F188" s="1472"/>
      <c r="G188" s="1472"/>
      <c r="H188" s="1472"/>
      <c r="I188" s="1472"/>
      <c r="J188" s="1472"/>
      <c r="K188" s="1472"/>
      <c r="L188" s="1472"/>
      <c r="M188" s="1472"/>
      <c r="N188" s="1472"/>
      <c r="O188" s="122"/>
      <c r="P188" s="122" t="s">
        <v>106</v>
      </c>
      <c r="Q188" s="122"/>
      <c r="R188" s="52"/>
      <c r="S188" s="1452">
        <f>S64</f>
        <v>0</v>
      </c>
      <c r="T188" s="1452"/>
      <c r="U188" s="1452"/>
      <c r="V188" s="135"/>
      <c r="W188" s="1453">
        <f>-AK285</f>
        <v>0</v>
      </c>
      <c r="X188" s="1454"/>
      <c r="Y188" s="1454"/>
      <c r="Z188" s="91"/>
      <c r="AA188" s="1452">
        <f>S188*(1+W188)</f>
        <v>0</v>
      </c>
      <c r="AB188" s="1452"/>
      <c r="AC188" s="1452"/>
      <c r="AD188" s="52"/>
      <c r="AE188" s="52"/>
      <c r="AF188" s="52"/>
      <c r="AG188" s="52"/>
      <c r="AH188" s="52"/>
      <c r="AI188" s="52"/>
      <c r="AJ188" s="52"/>
      <c r="AK188" s="52"/>
      <c r="AL188" s="52"/>
      <c r="AM188" s="135"/>
      <c r="AN188" s="135"/>
      <c r="AO188" s="442"/>
      <c r="AP188" s="135"/>
      <c r="AQ188" s="1452">
        <f>AQ64</f>
        <v>0</v>
      </c>
      <c r="AR188" s="1452"/>
      <c r="AS188" s="1452"/>
      <c r="AT188" s="135"/>
      <c r="AU188" s="1453">
        <f>-BI285</f>
        <v>0</v>
      </c>
      <c r="AV188" s="1454"/>
      <c r="AW188" s="1454"/>
      <c r="AX188" s="91"/>
      <c r="AY188" s="1452">
        <f>AQ188*(1+AU188)</f>
        <v>0</v>
      </c>
      <c r="AZ188" s="1452"/>
      <c r="BA188" s="1452"/>
      <c r="BB188" s="52"/>
      <c r="BC188" s="52"/>
      <c r="BD188" s="52"/>
      <c r="BE188" s="52"/>
      <c r="BF188" s="52"/>
      <c r="BG188" s="52"/>
      <c r="BH188" s="52"/>
      <c r="BI188" s="52"/>
      <c r="BJ188" s="152"/>
    </row>
    <row r="189" spans="2:66" s="28" customFormat="1" ht="14.1" customHeight="1">
      <c r="B189" s="117"/>
      <c r="C189" s="1472" t="str">
        <f>D66</f>
        <v>Innen-Pumpen für die Besprühung</v>
      </c>
      <c r="D189" s="1472"/>
      <c r="E189" s="1472"/>
      <c r="F189" s="1472"/>
      <c r="G189" s="1472"/>
      <c r="H189" s="1472"/>
      <c r="I189" s="1472"/>
      <c r="J189" s="1472"/>
      <c r="K189" s="1472"/>
      <c r="L189" s="1472"/>
      <c r="M189" s="1472"/>
      <c r="N189" s="1472"/>
      <c r="O189" s="98"/>
      <c r="P189" s="122" t="s">
        <v>106</v>
      </c>
      <c r="Q189" s="98"/>
      <c r="R189" s="52"/>
      <c r="S189" s="1452">
        <f>S66</f>
        <v>0</v>
      </c>
      <c r="T189" s="1452"/>
      <c r="U189" s="1452"/>
      <c r="V189" s="135"/>
      <c r="W189" s="1453">
        <f>-AK295</f>
        <v>0</v>
      </c>
      <c r="X189" s="1454"/>
      <c r="Y189" s="1454"/>
      <c r="Z189" s="91"/>
      <c r="AA189" s="1452">
        <f>S189*(1+W189)</f>
        <v>0</v>
      </c>
      <c r="AB189" s="1452"/>
      <c r="AC189" s="1452"/>
      <c r="AD189" s="52"/>
      <c r="AE189" s="52"/>
      <c r="AF189" s="52"/>
      <c r="AG189" s="52"/>
      <c r="AH189" s="52"/>
      <c r="AI189" s="52"/>
      <c r="AJ189" s="52"/>
      <c r="AK189" s="52"/>
      <c r="AL189" s="52"/>
      <c r="AM189" s="52"/>
      <c r="AN189" s="98"/>
      <c r="AO189" s="98"/>
      <c r="AP189" s="98"/>
      <c r="AQ189" s="1452">
        <f>AQ66</f>
        <v>0</v>
      </c>
      <c r="AR189" s="1452"/>
      <c r="AS189" s="1452"/>
      <c r="AT189" s="135"/>
      <c r="AU189" s="1453">
        <f>-BI295</f>
        <v>0</v>
      </c>
      <c r="AV189" s="1454"/>
      <c r="AW189" s="1454"/>
      <c r="AX189" s="91"/>
      <c r="AY189" s="1452">
        <f>AQ189*(1+AU189)</f>
        <v>0</v>
      </c>
      <c r="AZ189" s="1452"/>
      <c r="BA189" s="1452"/>
      <c r="BB189" s="52"/>
      <c r="BC189" s="52"/>
      <c r="BD189" s="52"/>
      <c r="BE189" s="52"/>
      <c r="BF189" s="52"/>
      <c r="BG189" s="52"/>
      <c r="BH189" s="52"/>
      <c r="BI189" s="52"/>
      <c r="BJ189" s="152"/>
    </row>
    <row r="190" spans="2:66" s="28" customFormat="1" ht="14.1" customHeight="1">
      <c r="B190" s="117"/>
      <c r="C190" s="1472" t="str">
        <f>D68</f>
        <v>Ventilatoren Rückkühler/Kondensator</v>
      </c>
      <c r="D190" s="1472"/>
      <c r="E190" s="1472"/>
      <c r="F190" s="1472"/>
      <c r="G190" s="1472"/>
      <c r="H190" s="1472"/>
      <c r="I190" s="1472"/>
      <c r="J190" s="1472"/>
      <c r="K190" s="1472"/>
      <c r="L190" s="1472"/>
      <c r="M190" s="1472"/>
      <c r="N190" s="1472"/>
      <c r="O190" s="98"/>
      <c r="P190" s="122" t="s">
        <v>106</v>
      </c>
      <c r="Q190" s="98"/>
      <c r="R190" s="98"/>
      <c r="S190" s="1452">
        <f>S68</f>
        <v>0</v>
      </c>
      <c r="T190" s="1452"/>
      <c r="U190" s="1452"/>
      <c r="V190" s="135"/>
      <c r="W190" s="1453">
        <f>-AK305</f>
        <v>0</v>
      </c>
      <c r="X190" s="1454"/>
      <c r="Y190" s="1454"/>
      <c r="Z190" s="91"/>
      <c r="AA190" s="1452">
        <f>S190*(1+W190)</f>
        <v>0</v>
      </c>
      <c r="AB190" s="1452"/>
      <c r="AC190" s="1452"/>
      <c r="AD190" s="52"/>
      <c r="AE190" s="52"/>
      <c r="AF190" s="52"/>
      <c r="AG190" s="52"/>
      <c r="AH190" s="52"/>
      <c r="AI190" s="52"/>
      <c r="AJ190" s="52"/>
      <c r="AK190" s="52"/>
      <c r="AL190" s="52"/>
      <c r="AM190" s="52"/>
      <c r="AN190" s="98"/>
      <c r="AO190" s="98"/>
      <c r="AP190" s="98"/>
      <c r="AQ190" s="1452">
        <f>AQ68</f>
        <v>0</v>
      </c>
      <c r="AR190" s="1452"/>
      <c r="AS190" s="1452"/>
      <c r="AT190" s="135"/>
      <c r="AU190" s="1453">
        <f>-BI305</f>
        <v>0</v>
      </c>
      <c r="AV190" s="1454"/>
      <c r="AW190" s="1454"/>
      <c r="AX190" s="91"/>
      <c r="AY190" s="1452">
        <f>AQ190*(1+AU190)</f>
        <v>0</v>
      </c>
      <c r="AZ190" s="1452"/>
      <c r="BA190" s="1452"/>
      <c r="BB190" s="52"/>
      <c r="BC190" s="52"/>
      <c r="BD190" s="52"/>
      <c r="BE190" s="52"/>
      <c r="BF190" s="52"/>
      <c r="BG190" s="52"/>
      <c r="BH190" s="52"/>
      <c r="BI190" s="52"/>
      <c r="BJ190" s="152"/>
    </row>
    <row r="191" spans="2:66" s="28" customFormat="1" ht="14.1" customHeight="1">
      <c r="B191" s="117"/>
      <c r="C191" s="1472">
        <f>D70</f>
        <v>0</v>
      </c>
      <c r="D191" s="1472"/>
      <c r="E191" s="1472"/>
      <c r="F191" s="1472"/>
      <c r="G191" s="1472"/>
      <c r="H191" s="1472"/>
      <c r="I191" s="1472"/>
      <c r="J191" s="1472"/>
      <c r="K191" s="1472"/>
      <c r="L191" s="1472"/>
      <c r="M191" s="1472"/>
      <c r="N191" s="1472"/>
      <c r="O191" s="98"/>
      <c r="P191" s="122" t="s">
        <v>106</v>
      </c>
      <c r="Q191" s="98"/>
      <c r="R191" s="98"/>
      <c r="S191" s="1452">
        <f>S70</f>
        <v>0</v>
      </c>
      <c r="T191" s="1452"/>
      <c r="U191" s="1452"/>
      <c r="V191" s="135"/>
      <c r="W191" s="1453">
        <f>-AK315</f>
        <v>0</v>
      </c>
      <c r="X191" s="1454"/>
      <c r="Y191" s="1454"/>
      <c r="Z191" s="91"/>
      <c r="AA191" s="1452">
        <f>S191*(1+W191)</f>
        <v>0</v>
      </c>
      <c r="AB191" s="1452"/>
      <c r="AC191" s="1452"/>
      <c r="AD191" s="52"/>
      <c r="AE191" s="52"/>
      <c r="AF191" s="52"/>
      <c r="AG191" s="52"/>
      <c r="AH191" s="52"/>
      <c r="AI191" s="52"/>
      <c r="AJ191" s="52"/>
      <c r="AK191" s="52"/>
      <c r="AL191" s="52"/>
      <c r="AM191" s="52"/>
      <c r="AN191" s="98"/>
      <c r="AO191" s="98"/>
      <c r="AP191" s="98"/>
      <c r="AQ191" s="1452">
        <f>AQ70</f>
        <v>0</v>
      </c>
      <c r="AR191" s="1452"/>
      <c r="AS191" s="1452"/>
      <c r="AT191" s="135"/>
      <c r="AU191" s="1453">
        <f>-BI315</f>
        <v>0</v>
      </c>
      <c r="AV191" s="1454"/>
      <c r="AW191" s="1454"/>
      <c r="AX191" s="91"/>
      <c r="AY191" s="1452">
        <f>AQ191*(1+AU191)</f>
        <v>0</v>
      </c>
      <c r="AZ191" s="1452"/>
      <c r="BA191" s="1452"/>
      <c r="BB191" s="52"/>
      <c r="BC191" s="52"/>
      <c r="BD191" s="52"/>
      <c r="BE191" s="52"/>
      <c r="BF191" s="52"/>
      <c r="BG191" s="52"/>
      <c r="BH191" s="52"/>
      <c r="BI191" s="52"/>
      <c r="BJ191" s="152"/>
    </row>
    <row r="192" spans="2:66" s="155" customFormat="1" ht="14.1" customHeight="1">
      <c r="B192" s="154"/>
      <c r="C192" s="1706" t="str">
        <f>X!$C$232</f>
        <v>Total</v>
      </c>
      <c r="D192" s="1707"/>
      <c r="E192" s="1707"/>
      <c r="F192" s="1707"/>
      <c r="G192" s="1707"/>
      <c r="H192" s="1707"/>
      <c r="I192" s="1707"/>
      <c r="J192" s="1707"/>
      <c r="K192" s="1707"/>
      <c r="L192" s="1707"/>
      <c r="M192" s="1707"/>
      <c r="N192" s="1707"/>
      <c r="O192" s="144"/>
      <c r="P192" s="190" t="s">
        <v>106</v>
      </c>
      <c r="Q192" s="144"/>
      <c r="R192" s="144"/>
      <c r="S192" s="1462"/>
      <c r="T192" s="1462"/>
      <c r="U192" s="1462"/>
      <c r="V192" s="173"/>
      <c r="W192" s="1537"/>
      <c r="X192" s="1537"/>
      <c r="Y192" s="1537"/>
      <c r="Z192" s="223"/>
      <c r="AA192" s="1452">
        <f>SUM(AA188:AC191)</f>
        <v>0</v>
      </c>
      <c r="AB192" s="1452"/>
      <c r="AC192" s="1452"/>
      <c r="AD192" s="224"/>
      <c r="AE192" s="224"/>
      <c r="AF192" s="224"/>
      <c r="AG192" s="224"/>
      <c r="AH192" s="224"/>
      <c r="AI192" s="224"/>
      <c r="AJ192" s="224"/>
      <c r="AK192" s="224"/>
      <c r="AL192" s="224"/>
      <c r="AM192" s="224"/>
      <c r="AN192" s="144"/>
      <c r="AO192" s="144"/>
      <c r="AP192" s="144"/>
      <c r="AQ192" s="1462"/>
      <c r="AR192" s="1462"/>
      <c r="AS192" s="1462"/>
      <c r="AT192" s="173"/>
      <c r="AU192" s="1537"/>
      <c r="AV192" s="1537"/>
      <c r="AW192" s="1537"/>
      <c r="AX192" s="223"/>
      <c r="AY192" s="1452">
        <f>SUM(AY188:BA191)</f>
        <v>0</v>
      </c>
      <c r="AZ192" s="1452"/>
      <c r="BA192" s="1452"/>
      <c r="BB192" s="224"/>
      <c r="BC192" s="224"/>
      <c r="BD192" s="224"/>
      <c r="BE192" s="224"/>
      <c r="BF192" s="224"/>
      <c r="BG192" s="224"/>
      <c r="BH192" s="224"/>
      <c r="BI192" s="224"/>
      <c r="BJ192" s="225"/>
    </row>
    <row r="193" spans="2:62" s="28" customFormat="1" ht="6" customHeight="1">
      <c r="B193" s="117"/>
      <c r="C193" s="474"/>
      <c r="D193" s="98"/>
      <c r="E193" s="98"/>
      <c r="F193" s="98"/>
      <c r="G193" s="98"/>
      <c r="H193" s="98"/>
      <c r="I193" s="98"/>
      <c r="J193" s="98"/>
      <c r="K193" s="98"/>
      <c r="L193" s="98"/>
      <c r="M193" s="98"/>
      <c r="N193" s="98"/>
      <c r="O193" s="98"/>
      <c r="P193" s="122"/>
      <c r="Q193" s="98"/>
      <c r="R193" s="98"/>
      <c r="S193" s="135"/>
      <c r="T193" s="135"/>
      <c r="U193" s="135"/>
      <c r="V193" s="135"/>
      <c r="W193" s="135"/>
      <c r="X193" s="135"/>
      <c r="Y193" s="135"/>
      <c r="Z193" s="52"/>
      <c r="AA193" s="52"/>
      <c r="AB193" s="52"/>
      <c r="AC193" s="52"/>
      <c r="AD193" s="52"/>
      <c r="AE193" s="52"/>
      <c r="AF193" s="52"/>
      <c r="AG193" s="52"/>
      <c r="AH193" s="52"/>
      <c r="AI193" s="52"/>
      <c r="AJ193" s="52"/>
      <c r="AK193" s="52"/>
      <c r="AL193" s="52"/>
      <c r="AM193" s="52"/>
      <c r="AN193" s="135"/>
      <c r="AO193" s="442"/>
      <c r="AP193" s="135"/>
      <c r="AQ193" s="135"/>
      <c r="AR193" s="135"/>
      <c r="AS193" s="135"/>
      <c r="AT193" s="135"/>
      <c r="AU193" s="135"/>
      <c r="AV193" s="135"/>
      <c r="AW193" s="135"/>
      <c r="AX193" s="52"/>
      <c r="AY193" s="52"/>
      <c r="AZ193" s="52"/>
      <c r="BA193" s="52"/>
      <c r="BB193" s="52"/>
      <c r="BC193" s="52"/>
      <c r="BD193" s="52"/>
      <c r="BE193" s="52"/>
      <c r="BF193" s="52"/>
      <c r="BG193" s="52"/>
      <c r="BH193" s="52"/>
      <c r="BI193" s="52"/>
      <c r="BJ193" s="152"/>
    </row>
    <row r="194" spans="2:62" s="227" customFormat="1" ht="14.1" customHeight="1">
      <c r="B194" s="226"/>
      <c r="C194" s="1708" t="str">
        <f>X!$C$163</f>
        <v>Laufzeit</v>
      </c>
      <c r="D194" s="1472"/>
      <c r="E194" s="1472"/>
      <c r="F194" s="1472"/>
      <c r="G194" s="1472"/>
      <c r="H194" s="1472"/>
      <c r="I194" s="1472"/>
      <c r="J194" s="1472"/>
      <c r="K194" s="1472"/>
      <c r="L194" s="1472"/>
      <c r="M194" s="1472"/>
      <c r="N194" s="1472"/>
      <c r="O194" s="98"/>
      <c r="P194" s="122" t="s">
        <v>152</v>
      </c>
      <c r="Q194" s="98"/>
      <c r="R194" s="98"/>
      <c r="S194" s="1452"/>
      <c r="T194" s="1452"/>
      <c r="U194" s="1452"/>
      <c r="V194" s="135"/>
      <c r="W194" s="1463"/>
      <c r="X194" s="1463"/>
      <c r="Y194" s="1463"/>
      <c r="Z194" s="228"/>
      <c r="AA194" s="1445">
        <f>AI175</f>
        <v>0</v>
      </c>
      <c r="AB194" s="1463"/>
      <c r="AC194" s="1463"/>
      <c r="AD194" s="64"/>
      <c r="AE194" s="64"/>
      <c r="AF194" s="64"/>
      <c r="AG194" s="64"/>
      <c r="AH194" s="64"/>
      <c r="AI194" s="64"/>
      <c r="AJ194" s="64"/>
      <c r="AK194" s="64"/>
      <c r="AL194" s="64"/>
      <c r="AM194" s="64"/>
      <c r="AN194" s="98"/>
      <c r="AO194" s="98"/>
      <c r="AP194" s="98"/>
      <c r="AQ194" s="1452"/>
      <c r="AR194" s="1452"/>
      <c r="AS194" s="1452"/>
      <c r="AT194" s="135"/>
      <c r="AU194" s="1463"/>
      <c r="AV194" s="1463"/>
      <c r="AW194" s="1463"/>
      <c r="AX194" s="228"/>
      <c r="AY194" s="1445">
        <f>BG175</f>
        <v>0</v>
      </c>
      <c r="AZ194" s="1463"/>
      <c r="BA194" s="1463"/>
      <c r="BB194" s="64"/>
      <c r="BC194" s="64"/>
      <c r="BD194" s="64"/>
      <c r="BE194" s="64"/>
      <c r="BF194" s="64"/>
      <c r="BG194" s="64"/>
      <c r="BH194" s="64"/>
      <c r="BI194" s="64"/>
      <c r="BJ194" s="229"/>
    </row>
    <row r="195" spans="2:62" s="155" customFormat="1" ht="14.1" customHeight="1">
      <c r="B195" s="154"/>
      <c r="C195" s="1706" t="str">
        <f>X!$C$232</f>
        <v>Total</v>
      </c>
      <c r="D195" s="1707"/>
      <c r="E195" s="1707"/>
      <c r="F195" s="1707"/>
      <c r="G195" s="1707"/>
      <c r="H195" s="1707"/>
      <c r="I195" s="1707"/>
      <c r="J195" s="1707"/>
      <c r="K195" s="1707"/>
      <c r="L195" s="1707"/>
      <c r="M195" s="1707"/>
      <c r="N195" s="1707"/>
      <c r="O195" s="144"/>
      <c r="P195" s="190" t="s">
        <v>22</v>
      </c>
      <c r="Q195" s="144"/>
      <c r="R195" s="144"/>
      <c r="S195" s="1462"/>
      <c r="T195" s="1462"/>
      <c r="U195" s="1462"/>
      <c r="V195" s="173"/>
      <c r="W195" s="1537"/>
      <c r="X195" s="1537"/>
      <c r="Y195" s="1537"/>
      <c r="Z195" s="223"/>
      <c r="AA195" s="1543">
        <f>IF(AA192*AA194&gt;10000,ROUND(AA192*AA194,-3),ROUND(AA192*AA194,-2))</f>
        <v>0</v>
      </c>
      <c r="AB195" s="1543"/>
      <c r="AC195" s="1543"/>
      <c r="AD195" s="224"/>
      <c r="AE195" s="224"/>
      <c r="AF195" s="224"/>
      <c r="AG195" s="224"/>
      <c r="AH195" s="224"/>
      <c r="AI195" s="224"/>
      <c r="AJ195" s="224"/>
      <c r="AK195" s="224"/>
      <c r="AL195" s="224"/>
      <c r="AM195" s="224"/>
      <c r="AN195" s="144"/>
      <c r="AO195" s="144"/>
      <c r="AP195" s="144"/>
      <c r="AQ195" s="1462"/>
      <c r="AR195" s="1462"/>
      <c r="AS195" s="1462"/>
      <c r="AT195" s="173"/>
      <c r="AU195" s="1537"/>
      <c r="AV195" s="1537"/>
      <c r="AW195" s="1537"/>
      <c r="AX195" s="223"/>
      <c r="AY195" s="1543">
        <f>IF(AY192*AY194&gt;10000,ROUND(AY192*AY194,-3),ROUND(AY192*AY194,-2))</f>
        <v>0</v>
      </c>
      <c r="AZ195" s="1543"/>
      <c r="BA195" s="1543"/>
      <c r="BB195" s="224"/>
      <c r="BC195" s="224"/>
      <c r="BD195" s="224"/>
      <c r="BE195" s="224"/>
      <c r="BF195" s="224"/>
      <c r="BG195" s="224"/>
      <c r="BH195" s="224"/>
      <c r="BI195" s="224"/>
      <c r="BJ195" s="225"/>
    </row>
    <row r="196" spans="2:62">
      <c r="B196" s="147"/>
      <c r="C196" s="477"/>
      <c r="D196" s="52"/>
      <c r="E196" s="52"/>
      <c r="F196" s="52"/>
      <c r="G196" s="52"/>
      <c r="H196" s="52"/>
      <c r="I196" s="52"/>
      <c r="J196" s="52"/>
      <c r="K196" s="52"/>
      <c r="L196" s="52"/>
      <c r="M196" s="52"/>
      <c r="N196" s="52"/>
      <c r="O196" s="52"/>
      <c r="P196" s="55"/>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152"/>
    </row>
    <row r="197" spans="2:62">
      <c r="B197" s="147"/>
      <c r="C197" s="477"/>
      <c r="D197" s="52"/>
      <c r="E197" s="52"/>
      <c r="F197" s="52"/>
      <c r="G197" s="52"/>
      <c r="H197" s="52"/>
      <c r="I197" s="52"/>
      <c r="J197" s="52"/>
      <c r="K197" s="52"/>
      <c r="L197" s="52"/>
      <c r="M197" s="52"/>
      <c r="N197" s="52"/>
      <c r="O197" s="52"/>
      <c r="P197" s="55"/>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152"/>
    </row>
    <row r="198" spans="2:62">
      <c r="B198" s="147"/>
      <c r="C198" s="495">
        <v>5.4</v>
      </c>
      <c r="D198" s="536" t="str">
        <f>X!$C$98</f>
        <v>Energieverbrauch Hilfsbetriebe «kalte Seite»</v>
      </c>
      <c r="E198" s="52"/>
      <c r="F198" s="52"/>
      <c r="G198" s="52"/>
      <c r="H198" s="52"/>
      <c r="I198" s="52"/>
      <c r="J198" s="52"/>
      <c r="K198" s="52"/>
      <c r="L198" s="52"/>
      <c r="M198" s="52"/>
      <c r="N198" s="52"/>
      <c r="O198" s="52"/>
      <c r="P198" s="55"/>
      <c r="Q198" s="52"/>
      <c r="R198" s="52"/>
      <c r="S198" s="1540" t="s">
        <v>150</v>
      </c>
      <c r="T198" s="1540"/>
      <c r="U198" s="1540"/>
      <c r="V198" s="101"/>
      <c r="W198" s="1540" t="str">
        <f>W186</f>
        <v>Regelung</v>
      </c>
      <c r="X198" s="1540"/>
      <c r="Y198" s="1540"/>
      <c r="Z198" s="101"/>
      <c r="AA198" s="1540" t="str">
        <f>AA186</f>
        <v>Pe (korr.)</v>
      </c>
      <c r="AB198" s="1540"/>
      <c r="AC198" s="1540"/>
      <c r="AD198" s="101"/>
      <c r="AE198" s="101"/>
      <c r="AF198" s="101"/>
      <c r="AG198" s="101"/>
      <c r="AH198" s="101"/>
      <c r="AI198" s="101"/>
      <c r="AJ198" s="101"/>
      <c r="AK198" s="101"/>
      <c r="AL198" s="101"/>
      <c r="AM198" s="101"/>
      <c r="AN198" s="101"/>
      <c r="AO198" s="101"/>
      <c r="AP198" s="101"/>
      <c r="AQ198" s="1540" t="s">
        <v>150</v>
      </c>
      <c r="AR198" s="1540"/>
      <c r="AS198" s="1540"/>
      <c r="AT198" s="101"/>
      <c r="AU198" s="1540" t="str">
        <f>AU186</f>
        <v>Regelung</v>
      </c>
      <c r="AV198" s="1540"/>
      <c r="AW198" s="1540"/>
      <c r="AX198" s="101"/>
      <c r="AY198" s="1540" t="str">
        <f>AY186</f>
        <v>Pe (korr.)</v>
      </c>
      <c r="AZ198" s="1540"/>
      <c r="BA198" s="1540"/>
      <c r="BB198" s="52"/>
      <c r="BC198" s="52"/>
      <c r="BD198" s="52"/>
      <c r="BE198" s="52"/>
      <c r="BF198" s="52"/>
      <c r="BG198" s="52"/>
      <c r="BH198" s="52"/>
      <c r="BI198" s="52"/>
      <c r="BJ198" s="152"/>
    </row>
    <row r="199" spans="2:62" s="28" customFormat="1" ht="6" customHeight="1">
      <c r="B199" s="117"/>
      <c r="C199" s="474"/>
      <c r="D199" s="98"/>
      <c r="E199" s="98"/>
      <c r="F199" s="98"/>
      <c r="G199" s="98"/>
      <c r="H199" s="98"/>
      <c r="I199" s="98"/>
      <c r="J199" s="98"/>
      <c r="K199" s="98"/>
      <c r="L199" s="98"/>
      <c r="M199" s="98"/>
      <c r="N199" s="98"/>
      <c r="O199" s="98"/>
      <c r="P199" s="122"/>
      <c r="Q199" s="98"/>
      <c r="R199" s="98"/>
      <c r="S199" s="135"/>
      <c r="T199" s="135"/>
      <c r="U199" s="135"/>
      <c r="V199" s="135"/>
      <c r="W199" s="135"/>
      <c r="X199" s="135"/>
      <c r="Y199" s="135"/>
      <c r="Z199" s="52"/>
      <c r="AA199" s="52"/>
      <c r="AB199" s="52"/>
      <c r="AC199" s="52"/>
      <c r="AD199" s="52"/>
      <c r="AE199" s="52"/>
      <c r="AF199" s="52"/>
      <c r="AG199" s="52"/>
      <c r="AH199" s="52"/>
      <c r="AI199" s="52"/>
      <c r="AJ199" s="52"/>
      <c r="AK199" s="52"/>
      <c r="AL199" s="52"/>
      <c r="AM199" s="52"/>
      <c r="AN199" s="135"/>
      <c r="AO199" s="442"/>
      <c r="AP199" s="135"/>
      <c r="AQ199" s="135"/>
      <c r="AR199" s="135"/>
      <c r="AS199" s="135"/>
      <c r="AT199" s="135"/>
      <c r="AU199" s="135"/>
      <c r="AV199" s="135"/>
      <c r="AW199" s="135"/>
      <c r="AX199" s="52"/>
      <c r="AY199" s="52"/>
      <c r="AZ199" s="52"/>
      <c r="BA199" s="52"/>
      <c r="BB199" s="52"/>
      <c r="BC199" s="52"/>
      <c r="BD199" s="52"/>
      <c r="BE199" s="52"/>
      <c r="BF199" s="52"/>
      <c r="BG199" s="52"/>
      <c r="BH199" s="52"/>
      <c r="BI199" s="52"/>
      <c r="BJ199" s="152"/>
    </row>
    <row r="200" spans="2:62" s="155" customFormat="1" ht="14.1" customHeight="1">
      <c r="B200" s="154"/>
      <c r="C200" s="463">
        <f>D75</f>
        <v>0</v>
      </c>
      <c r="D200" s="122"/>
      <c r="E200" s="122"/>
      <c r="F200" s="122"/>
      <c r="G200" s="156"/>
      <c r="H200" s="122"/>
      <c r="I200" s="122"/>
      <c r="J200" s="122"/>
      <c r="K200" s="122"/>
      <c r="L200" s="122"/>
      <c r="M200" s="122"/>
      <c r="N200" s="122"/>
      <c r="O200" s="122"/>
      <c r="P200" s="122" t="s">
        <v>106</v>
      </c>
      <c r="Q200" s="122"/>
      <c r="R200" s="122"/>
      <c r="S200" s="1452">
        <f>S75</f>
        <v>0</v>
      </c>
      <c r="T200" s="1452"/>
      <c r="U200" s="1452"/>
      <c r="V200" s="135"/>
      <c r="W200" s="1538">
        <f>-AK330</f>
        <v>0</v>
      </c>
      <c r="X200" s="1539"/>
      <c r="Y200" s="1539"/>
      <c r="Z200" s="91"/>
      <c r="AA200" s="1452">
        <f>S200*(1+W200)</f>
        <v>0</v>
      </c>
      <c r="AB200" s="1452"/>
      <c r="AC200" s="1452"/>
      <c r="AD200" s="52"/>
      <c r="AE200" s="52"/>
      <c r="AF200" s="52"/>
      <c r="AG200" s="52"/>
      <c r="AH200" s="52"/>
      <c r="AI200" s="52"/>
      <c r="AJ200" s="52"/>
      <c r="AK200" s="52"/>
      <c r="AL200" s="52"/>
      <c r="AM200" s="52"/>
      <c r="AN200" s="98"/>
      <c r="AO200" s="98"/>
      <c r="AP200" s="98"/>
      <c r="AQ200" s="1452">
        <f>AQ75</f>
        <v>0</v>
      </c>
      <c r="AR200" s="1452"/>
      <c r="AS200" s="1452"/>
      <c r="AT200" s="135"/>
      <c r="AU200" s="1538">
        <f>-BI330</f>
        <v>0</v>
      </c>
      <c r="AV200" s="1539"/>
      <c r="AW200" s="1539"/>
      <c r="AX200" s="91"/>
      <c r="AY200" s="1452">
        <f>AQ200*(1+AU200)</f>
        <v>0</v>
      </c>
      <c r="AZ200" s="1452"/>
      <c r="BA200" s="1452"/>
      <c r="BB200" s="52"/>
      <c r="BC200" s="52"/>
      <c r="BD200" s="52"/>
      <c r="BE200" s="52"/>
      <c r="BF200" s="52"/>
      <c r="BG200" s="52"/>
      <c r="BH200" s="52"/>
      <c r="BI200" s="52"/>
      <c r="BJ200" s="152"/>
    </row>
    <row r="201" spans="2:62" s="28" customFormat="1" ht="14.1" customHeight="1">
      <c r="B201" s="117"/>
      <c r="C201" s="474">
        <f>D77</f>
        <v>0</v>
      </c>
      <c r="D201" s="98"/>
      <c r="E201" s="98"/>
      <c r="F201" s="98"/>
      <c r="G201" s="55"/>
      <c r="H201" s="98"/>
      <c r="I201" s="98"/>
      <c r="J201" s="98"/>
      <c r="K201" s="98"/>
      <c r="L201" s="98"/>
      <c r="M201" s="98"/>
      <c r="N201" s="98"/>
      <c r="O201" s="98"/>
      <c r="P201" s="122" t="s">
        <v>106</v>
      </c>
      <c r="Q201" s="98"/>
      <c r="R201" s="98"/>
      <c r="S201" s="1452">
        <f>S77</f>
        <v>0</v>
      </c>
      <c r="T201" s="1452"/>
      <c r="U201" s="1452"/>
      <c r="V201" s="135"/>
      <c r="W201" s="1538">
        <f>-AK340</f>
        <v>0</v>
      </c>
      <c r="X201" s="1539"/>
      <c r="Y201" s="1539"/>
      <c r="Z201" s="91"/>
      <c r="AA201" s="1452">
        <f>S201*(1+W201)</f>
        <v>0</v>
      </c>
      <c r="AB201" s="1452"/>
      <c r="AC201" s="1452"/>
      <c r="AD201" s="52"/>
      <c r="AE201" s="52"/>
      <c r="AF201" s="52"/>
      <c r="AG201" s="52"/>
      <c r="AH201" s="52"/>
      <c r="AI201" s="52"/>
      <c r="AJ201" s="52"/>
      <c r="AK201" s="52"/>
      <c r="AL201" s="52"/>
      <c r="AM201" s="52"/>
      <c r="AN201" s="98"/>
      <c r="AO201" s="98"/>
      <c r="AP201" s="98"/>
      <c r="AQ201" s="1452">
        <f>AQ77</f>
        <v>0</v>
      </c>
      <c r="AR201" s="1452"/>
      <c r="AS201" s="1452"/>
      <c r="AT201" s="135"/>
      <c r="AU201" s="1538">
        <f>-BI340</f>
        <v>0</v>
      </c>
      <c r="AV201" s="1539"/>
      <c r="AW201" s="1539"/>
      <c r="AX201" s="91"/>
      <c r="AY201" s="1452">
        <f>AQ201*(1+AU201)</f>
        <v>0</v>
      </c>
      <c r="AZ201" s="1452"/>
      <c r="BA201" s="1452"/>
      <c r="BB201" s="52"/>
      <c r="BC201" s="52"/>
      <c r="BD201" s="52"/>
      <c r="BE201" s="52"/>
      <c r="BF201" s="52"/>
      <c r="BG201" s="52"/>
      <c r="BH201" s="52"/>
      <c r="BI201" s="52"/>
      <c r="BJ201" s="152"/>
    </row>
    <row r="202" spans="2:62" s="155" customFormat="1" ht="14.1" customHeight="1">
      <c r="B202" s="154"/>
      <c r="C202" s="1707" t="str">
        <f>C192</f>
        <v>Total</v>
      </c>
      <c r="D202" s="1707"/>
      <c r="E202" s="1707"/>
      <c r="F202" s="1707"/>
      <c r="G202" s="1707"/>
      <c r="H202" s="1707"/>
      <c r="I202" s="1707"/>
      <c r="J202" s="1707"/>
      <c r="K202" s="1707"/>
      <c r="L202" s="1707"/>
      <c r="M202" s="1707"/>
      <c r="N202" s="1707"/>
      <c r="O202" s="144"/>
      <c r="P202" s="190" t="s">
        <v>106</v>
      </c>
      <c r="Q202" s="144"/>
      <c r="R202" s="144"/>
      <c r="S202" s="1462"/>
      <c r="T202" s="1462"/>
      <c r="U202" s="1462"/>
      <c r="V202" s="173"/>
      <c r="W202" s="1537"/>
      <c r="X202" s="1537"/>
      <c r="Y202" s="1537"/>
      <c r="Z202" s="223"/>
      <c r="AA202" s="1452">
        <f>SUM(AA200:AC201)</f>
        <v>0</v>
      </c>
      <c r="AB202" s="1452"/>
      <c r="AC202" s="1452"/>
      <c r="AD202" s="224"/>
      <c r="AE202" s="224"/>
      <c r="AF202" s="224"/>
      <c r="AG202" s="224"/>
      <c r="AH202" s="224"/>
      <c r="AI202" s="224"/>
      <c r="AJ202" s="224"/>
      <c r="AK202" s="224"/>
      <c r="AL202" s="224"/>
      <c r="AM202" s="224"/>
      <c r="AN202" s="144"/>
      <c r="AO202" s="144"/>
      <c r="AP202" s="144"/>
      <c r="AQ202" s="1462"/>
      <c r="AR202" s="1462"/>
      <c r="AS202" s="1462"/>
      <c r="AT202" s="173"/>
      <c r="AU202" s="1537"/>
      <c r="AV202" s="1537"/>
      <c r="AW202" s="1537"/>
      <c r="AX202" s="223"/>
      <c r="AY202" s="1452">
        <f>SUM(AY200:BA201)</f>
        <v>0</v>
      </c>
      <c r="AZ202" s="1452"/>
      <c r="BA202" s="1452"/>
      <c r="BB202" s="224"/>
      <c r="BC202" s="224"/>
      <c r="BD202" s="224"/>
      <c r="BE202" s="224"/>
      <c r="BF202" s="224"/>
      <c r="BG202" s="224"/>
      <c r="BH202" s="224"/>
      <c r="BI202" s="224"/>
      <c r="BJ202" s="225"/>
    </row>
    <row r="203" spans="2:62" s="28" customFormat="1" ht="6" customHeight="1">
      <c r="B203" s="117"/>
      <c r="C203" s="474"/>
      <c r="D203" s="98"/>
      <c r="E203" s="98"/>
      <c r="F203" s="98"/>
      <c r="G203" s="98"/>
      <c r="H203" s="98"/>
      <c r="I203" s="98"/>
      <c r="J203" s="98"/>
      <c r="K203" s="98"/>
      <c r="L203" s="98"/>
      <c r="M203" s="98"/>
      <c r="N203" s="98"/>
      <c r="O203" s="98"/>
      <c r="P203" s="122"/>
      <c r="Q203" s="98"/>
      <c r="R203" s="98"/>
      <c r="S203" s="135"/>
      <c r="T203" s="135"/>
      <c r="U203" s="135"/>
      <c r="V203" s="135"/>
      <c r="W203" s="135"/>
      <c r="X203" s="135"/>
      <c r="Y203" s="135"/>
      <c r="Z203" s="52"/>
      <c r="AA203" s="52"/>
      <c r="AB203" s="52"/>
      <c r="AC203" s="52"/>
      <c r="AD203" s="52"/>
      <c r="AE203" s="52"/>
      <c r="AF203" s="52"/>
      <c r="AG203" s="52"/>
      <c r="AH203" s="52"/>
      <c r="AI203" s="52"/>
      <c r="AJ203" s="52"/>
      <c r="AK203" s="52"/>
      <c r="AL203" s="52"/>
      <c r="AM203" s="52"/>
      <c r="AN203" s="135"/>
      <c r="AO203" s="442"/>
      <c r="AP203" s="135"/>
      <c r="AQ203" s="135"/>
      <c r="AR203" s="135"/>
      <c r="AS203" s="135"/>
      <c r="AT203" s="135"/>
      <c r="AU203" s="135"/>
      <c r="AV203" s="135"/>
      <c r="AW203" s="135"/>
      <c r="AX203" s="52"/>
      <c r="AY203" s="52"/>
      <c r="AZ203" s="52"/>
      <c r="BA203" s="52"/>
      <c r="BB203" s="52"/>
      <c r="BC203" s="52"/>
      <c r="BD203" s="52"/>
      <c r="BE203" s="52"/>
      <c r="BF203" s="52"/>
      <c r="BG203" s="52"/>
      <c r="BH203" s="52"/>
      <c r="BI203" s="52"/>
      <c r="BJ203" s="152"/>
    </row>
    <row r="204" spans="2:62" s="227" customFormat="1" ht="14.1" customHeight="1">
      <c r="B204" s="226"/>
      <c r="C204" s="1472" t="str">
        <f>C194</f>
        <v>Laufzeit</v>
      </c>
      <c r="D204" s="1472"/>
      <c r="E204" s="1472"/>
      <c r="F204" s="1472"/>
      <c r="G204" s="1472"/>
      <c r="H204" s="1472"/>
      <c r="I204" s="1472"/>
      <c r="J204" s="1472"/>
      <c r="K204" s="1472"/>
      <c r="L204" s="1472"/>
      <c r="M204" s="1472"/>
      <c r="N204" s="1472"/>
      <c r="O204" s="98"/>
      <c r="P204" s="122" t="s">
        <v>152</v>
      </c>
      <c r="Q204" s="98"/>
      <c r="R204" s="98"/>
      <c r="S204" s="1452"/>
      <c r="T204" s="1452"/>
      <c r="U204" s="1452"/>
      <c r="V204" s="135"/>
      <c r="W204" s="1463"/>
      <c r="X204" s="1463"/>
      <c r="Y204" s="1463"/>
      <c r="Z204" s="228"/>
      <c r="AA204" s="1445">
        <f>AI175</f>
        <v>0</v>
      </c>
      <c r="AB204" s="1463"/>
      <c r="AC204" s="1463"/>
      <c r="AD204" s="64"/>
      <c r="AE204" s="64"/>
      <c r="AF204" s="64"/>
      <c r="AG204" s="64"/>
      <c r="AH204" s="64"/>
      <c r="AI204" s="64"/>
      <c r="AJ204" s="64"/>
      <c r="AK204" s="64"/>
      <c r="AL204" s="64"/>
      <c r="AM204" s="64"/>
      <c r="AN204" s="98"/>
      <c r="AO204" s="98"/>
      <c r="AP204" s="98"/>
      <c r="AQ204" s="1452"/>
      <c r="AR204" s="1452"/>
      <c r="AS204" s="1452"/>
      <c r="AT204" s="135"/>
      <c r="AU204" s="1463"/>
      <c r="AV204" s="1463"/>
      <c r="AW204" s="1463"/>
      <c r="AX204" s="228"/>
      <c r="AY204" s="1445">
        <f>BG175</f>
        <v>0</v>
      </c>
      <c r="AZ204" s="1463"/>
      <c r="BA204" s="1463"/>
      <c r="BB204" s="64"/>
      <c r="BC204" s="64"/>
      <c r="BD204" s="64"/>
      <c r="BE204" s="64"/>
      <c r="BF204" s="64"/>
      <c r="BG204" s="64"/>
      <c r="BH204" s="64"/>
      <c r="BI204" s="64"/>
      <c r="BJ204" s="229"/>
    </row>
    <row r="205" spans="2:62" s="155" customFormat="1" ht="14.1" customHeight="1">
      <c r="B205" s="154"/>
      <c r="C205" s="1707" t="str">
        <f>C195</f>
        <v>Total</v>
      </c>
      <c r="D205" s="1707"/>
      <c r="E205" s="1707"/>
      <c r="F205" s="1707"/>
      <c r="G205" s="1707"/>
      <c r="H205" s="1707"/>
      <c r="I205" s="1707"/>
      <c r="J205" s="1707"/>
      <c r="K205" s="1707"/>
      <c r="L205" s="1707"/>
      <c r="M205" s="1707"/>
      <c r="N205" s="1707"/>
      <c r="O205" s="144"/>
      <c r="P205" s="190" t="s">
        <v>22</v>
      </c>
      <c r="Q205" s="144"/>
      <c r="R205" s="144"/>
      <c r="S205" s="1462"/>
      <c r="T205" s="1462"/>
      <c r="U205" s="1462"/>
      <c r="V205" s="173"/>
      <c r="W205" s="1537"/>
      <c r="X205" s="1537"/>
      <c r="Y205" s="1537"/>
      <c r="Z205" s="223"/>
      <c r="AA205" s="1543">
        <f>IF(AA202*AA204&gt;10000,ROUND(AA202*AA204,-3),ROUND(AA202*AA204,-2))</f>
        <v>0</v>
      </c>
      <c r="AB205" s="1543"/>
      <c r="AC205" s="1543"/>
      <c r="AD205" s="224"/>
      <c r="AE205" s="224"/>
      <c r="AF205" s="224"/>
      <c r="AG205" s="224"/>
      <c r="AH205" s="224"/>
      <c r="AI205" s="224"/>
      <c r="AJ205" s="224"/>
      <c r="AK205" s="224"/>
      <c r="AL205" s="224"/>
      <c r="AM205" s="224"/>
      <c r="AN205" s="144"/>
      <c r="AO205" s="144"/>
      <c r="AP205" s="144"/>
      <c r="AQ205" s="1462"/>
      <c r="AR205" s="1462"/>
      <c r="AS205" s="1462"/>
      <c r="AT205" s="173"/>
      <c r="AU205" s="1537"/>
      <c r="AV205" s="1537"/>
      <c r="AW205" s="1537"/>
      <c r="AX205" s="223"/>
      <c r="AY205" s="1543">
        <f>IF(AY202*AY204&gt;10000,ROUND(AY202*AY204,-3),ROUND(AY202*AY204,-2))</f>
        <v>0</v>
      </c>
      <c r="AZ205" s="1543"/>
      <c r="BA205" s="1543"/>
      <c r="BB205" s="224"/>
      <c r="BC205" s="224"/>
      <c r="BD205" s="224"/>
      <c r="BE205" s="224"/>
      <c r="BF205" s="224"/>
      <c r="BG205" s="224"/>
      <c r="BH205" s="224"/>
      <c r="BI205" s="224"/>
      <c r="BJ205" s="225"/>
    </row>
    <row r="206" spans="2:62">
      <c r="B206" s="147"/>
      <c r="C206" s="477"/>
      <c r="D206" s="52"/>
      <c r="E206" s="52"/>
      <c r="F206" s="52"/>
      <c r="G206" s="52"/>
      <c r="H206" s="52"/>
      <c r="I206" s="52"/>
      <c r="J206" s="52"/>
      <c r="K206" s="52"/>
      <c r="L206" s="52"/>
      <c r="M206" s="52"/>
      <c r="N206" s="52"/>
      <c r="O206" s="52"/>
      <c r="P206" s="55"/>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152"/>
    </row>
    <row r="207" spans="2:62">
      <c r="B207" s="147"/>
      <c r="C207" s="477"/>
      <c r="D207" s="52"/>
      <c r="E207" s="52"/>
      <c r="F207" s="52"/>
      <c r="G207" s="52"/>
      <c r="H207" s="52"/>
      <c r="I207" s="52"/>
      <c r="J207" s="52"/>
      <c r="K207" s="52"/>
      <c r="L207" s="52"/>
      <c r="M207" s="52"/>
      <c r="N207" s="52"/>
      <c r="O207" s="52"/>
      <c r="P207" s="55"/>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152"/>
    </row>
    <row r="208" spans="2:62">
      <c r="B208" s="104"/>
      <c r="C208" s="502"/>
      <c r="D208" s="104"/>
      <c r="E208" s="104"/>
      <c r="F208" s="104"/>
      <c r="G208" s="104"/>
      <c r="H208" s="104"/>
      <c r="I208" s="104"/>
      <c r="J208" s="104"/>
      <c r="K208" s="104"/>
      <c r="L208" s="104"/>
      <c r="M208" s="104"/>
      <c r="N208" s="104"/>
      <c r="O208" s="104"/>
      <c r="P208" s="105"/>
      <c r="Q208" s="104"/>
      <c r="R208" s="104"/>
      <c r="S208" s="104"/>
      <c r="T208" s="104"/>
      <c r="U208" s="104"/>
      <c r="V208" s="104"/>
      <c r="W208" s="104"/>
      <c r="X208" s="104"/>
      <c r="Y208" s="104"/>
      <c r="Z208" s="104"/>
      <c r="AA208" s="104"/>
      <c r="AB208" s="104"/>
      <c r="AC208" s="104"/>
      <c r="AD208" s="104"/>
      <c r="AE208" s="104"/>
      <c r="AF208" s="104"/>
      <c r="AG208" s="104"/>
      <c r="AH208" s="104"/>
      <c r="AI208" s="104"/>
      <c r="AJ208" s="104"/>
      <c r="AK208" s="104"/>
      <c r="AL208" s="104"/>
      <c r="AM208" s="104"/>
      <c r="AN208" s="104"/>
      <c r="AO208" s="104"/>
      <c r="AP208" s="104"/>
      <c r="AQ208" s="104"/>
      <c r="AR208" s="104"/>
      <c r="AS208" s="104"/>
      <c r="AT208" s="104"/>
      <c r="AU208" s="104"/>
      <c r="AV208" s="104"/>
      <c r="AW208" s="104"/>
      <c r="AX208" s="104"/>
      <c r="AY208" s="104"/>
      <c r="AZ208" s="104"/>
      <c r="BA208" s="104"/>
      <c r="BB208" s="104"/>
      <c r="BC208" s="104"/>
      <c r="BD208" s="104"/>
      <c r="BE208" s="104"/>
      <c r="BF208" s="104"/>
      <c r="BG208" s="104"/>
      <c r="BH208" s="104"/>
      <c r="BI208" s="104"/>
      <c r="BJ208" s="104"/>
    </row>
    <row r="209" spans="2:62">
      <c r="B209" s="127"/>
      <c r="C209" s="506"/>
      <c r="D209" s="127"/>
      <c r="E209" s="127"/>
      <c r="F209" s="127"/>
      <c r="G209" s="127"/>
      <c r="H209" s="127"/>
      <c r="I209" s="127"/>
      <c r="J209" s="127"/>
      <c r="K209" s="127"/>
      <c r="L209" s="127"/>
      <c r="M209" s="127"/>
      <c r="N209" s="127"/>
      <c r="O209" s="127"/>
      <c r="P209" s="126"/>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27"/>
    </row>
    <row r="210" spans="2:62">
      <c r="B210" s="147"/>
      <c r="C210" s="477"/>
      <c r="D210" s="52"/>
      <c r="E210" s="52"/>
      <c r="F210" s="52"/>
      <c r="G210" s="52"/>
      <c r="H210" s="52"/>
      <c r="I210" s="52"/>
      <c r="J210" s="52"/>
      <c r="K210" s="52"/>
      <c r="L210" s="52"/>
      <c r="M210" s="52"/>
      <c r="N210" s="52"/>
      <c r="O210" s="52"/>
      <c r="P210" s="55"/>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152"/>
    </row>
    <row r="211" spans="2:62" s="116" customFormat="1" ht="21" customHeight="1">
      <c r="B211" s="107"/>
      <c r="C211" s="486">
        <v>6</v>
      </c>
      <c r="D211" s="539" t="str">
        <f>X!$C$51</f>
        <v>Berechnungen (B: Planer-Werte)</v>
      </c>
      <c r="E211" s="109"/>
      <c r="F211" s="109"/>
      <c r="G211" s="110"/>
      <c r="H211" s="110"/>
      <c r="I211" s="111"/>
      <c r="J211" s="111"/>
      <c r="K211" s="111"/>
      <c r="L211" s="111"/>
      <c r="M211" s="111"/>
      <c r="N211" s="111"/>
      <c r="O211" s="111"/>
      <c r="P211" s="111"/>
      <c r="Q211" s="111"/>
      <c r="R211" s="111"/>
      <c r="S211" s="109"/>
      <c r="T211" s="109"/>
      <c r="U211" s="110"/>
      <c r="V211" s="110"/>
      <c r="W211" s="110"/>
      <c r="X211" s="110"/>
      <c r="Y211" s="110"/>
      <c r="Z211" s="110"/>
      <c r="AA211" s="110"/>
      <c r="AB211" s="110"/>
      <c r="AC211" s="110"/>
      <c r="AD211" s="110"/>
      <c r="AE211" s="110"/>
      <c r="AF211" s="110"/>
      <c r="AG211" s="110"/>
      <c r="AH211" s="110"/>
      <c r="AI211" s="110"/>
      <c r="AJ211" s="110"/>
      <c r="AK211" s="110"/>
      <c r="AL211" s="110"/>
      <c r="AM211" s="111"/>
      <c r="AN211" s="111"/>
      <c r="AO211" s="111"/>
      <c r="AP211" s="111"/>
      <c r="AQ211" s="109"/>
      <c r="AR211" s="109"/>
      <c r="AS211" s="110"/>
      <c r="AT211" s="110"/>
      <c r="AU211" s="110"/>
      <c r="AV211" s="110"/>
      <c r="AW211" s="110"/>
      <c r="AX211" s="110"/>
      <c r="AY211" s="110"/>
      <c r="AZ211" s="110"/>
      <c r="BA211" s="110"/>
      <c r="BB211" s="110"/>
      <c r="BC211" s="110"/>
      <c r="BD211" s="110"/>
      <c r="BE211" s="110"/>
      <c r="BF211" s="110"/>
      <c r="BG211" s="110"/>
      <c r="BH211" s="110"/>
      <c r="BI211" s="110"/>
      <c r="BJ211" s="115"/>
    </row>
    <row r="212" spans="2:62" s="28" customFormat="1" ht="17.100000000000001" customHeight="1">
      <c r="B212" s="117"/>
      <c r="C212" s="489"/>
      <c r="D212" s="98"/>
      <c r="E212" s="98"/>
      <c r="F212" s="98"/>
      <c r="G212" s="98"/>
      <c r="H212" s="98"/>
      <c r="I212" s="98"/>
      <c r="J212" s="98"/>
      <c r="K212" s="98"/>
      <c r="L212" s="98"/>
      <c r="M212" s="98"/>
      <c r="N212" s="98"/>
      <c r="O212" s="98"/>
      <c r="P212" s="122"/>
      <c r="Q212" s="98"/>
      <c r="R212" s="98"/>
      <c r="S212" s="135"/>
      <c r="T212" s="135"/>
      <c r="U212" s="135"/>
      <c r="V212" s="98"/>
      <c r="W212" s="136"/>
      <c r="X212" s="136"/>
      <c r="Y212" s="136"/>
      <c r="Z212" s="136"/>
      <c r="AA212" s="136"/>
      <c r="AB212" s="136"/>
      <c r="AC212" s="136"/>
      <c r="AD212" s="136"/>
      <c r="AE212" s="136"/>
      <c r="AF212" s="98"/>
      <c r="AG212" s="98"/>
      <c r="AH212" s="98"/>
      <c r="AI212" s="98"/>
      <c r="AJ212" s="98"/>
      <c r="AK212" s="98"/>
      <c r="AL212" s="98"/>
      <c r="AM212" s="98"/>
      <c r="AN212" s="98"/>
      <c r="AO212" s="98"/>
      <c r="AP212" s="98"/>
      <c r="AQ212" s="135"/>
      <c r="AR212" s="135"/>
      <c r="AS212" s="135"/>
      <c r="AT212" s="98"/>
      <c r="AU212" s="136"/>
      <c r="AV212" s="136"/>
      <c r="AW212" s="136"/>
      <c r="AX212" s="136"/>
      <c r="AY212" s="136"/>
      <c r="AZ212" s="136"/>
      <c r="BA212" s="136"/>
      <c r="BB212" s="136"/>
      <c r="BC212" s="136"/>
      <c r="BD212" s="55"/>
      <c r="BE212" s="55"/>
      <c r="BF212" s="55"/>
      <c r="BG212" s="55"/>
      <c r="BH212" s="52"/>
      <c r="BI212" s="55"/>
      <c r="BJ212" s="121"/>
    </row>
    <row r="213" spans="2:62" s="139" customFormat="1" ht="17.100000000000001" customHeight="1">
      <c r="B213" s="137"/>
      <c r="C213" s="488"/>
      <c r="D213" s="138"/>
      <c r="E213" s="138"/>
      <c r="F213" s="138"/>
      <c r="S213" s="140" t="str">
        <f>'1 System specification'!O132</f>
        <v>Variante A</v>
      </c>
      <c r="T213" s="140"/>
      <c r="U213" s="141"/>
      <c r="V213" s="141"/>
      <c r="W213" s="141"/>
      <c r="X213" s="141"/>
      <c r="Y213" s="141"/>
      <c r="Z213" s="141"/>
      <c r="AA213" s="141"/>
      <c r="AB213" s="141"/>
      <c r="AC213" s="141"/>
      <c r="AD213" s="141"/>
      <c r="AE213" s="141"/>
      <c r="AF213" s="141"/>
      <c r="AG213" s="141"/>
      <c r="AH213" s="141"/>
      <c r="AI213" s="141"/>
      <c r="AJ213" s="141"/>
      <c r="AK213" s="141"/>
      <c r="AL213" s="431"/>
      <c r="AQ213" s="140" t="str">
        <f>'1 System specification'!O133</f>
        <v/>
      </c>
      <c r="AR213" s="140"/>
      <c r="AS213" s="141"/>
      <c r="AT213" s="141"/>
      <c r="AU213" s="141"/>
      <c r="AV213" s="141"/>
      <c r="AW213" s="141"/>
      <c r="AX213" s="141"/>
      <c r="AY213" s="141"/>
      <c r="AZ213" s="141"/>
      <c r="BA213" s="141"/>
      <c r="BB213" s="141"/>
      <c r="BC213" s="141"/>
      <c r="BD213" s="141"/>
      <c r="BE213" s="141"/>
      <c r="BF213" s="141"/>
      <c r="BG213" s="141"/>
      <c r="BH213" s="141"/>
      <c r="BI213" s="141"/>
      <c r="BJ213" s="142"/>
    </row>
    <row r="214" spans="2:62" s="28" customFormat="1" ht="17.100000000000001" customHeight="1">
      <c r="B214" s="117"/>
      <c r="C214" s="474"/>
      <c r="D214" s="98"/>
      <c r="E214" s="98"/>
      <c r="F214" s="98"/>
      <c r="G214" s="98"/>
      <c r="H214" s="98"/>
      <c r="I214" s="98"/>
      <c r="J214" s="98"/>
      <c r="K214" s="98"/>
      <c r="L214" s="98"/>
      <c r="M214" s="98"/>
      <c r="N214" s="98"/>
      <c r="O214" s="98"/>
      <c r="P214" s="122"/>
      <c r="Q214" s="98"/>
      <c r="R214" s="98"/>
      <c r="S214" s="98"/>
      <c r="T214" s="98"/>
      <c r="U214" s="98"/>
      <c r="V214" s="98"/>
      <c r="W214" s="98"/>
      <c r="X214" s="98"/>
      <c r="Y214" s="98"/>
      <c r="Z214" s="98"/>
      <c r="AA214" s="55"/>
      <c r="AB214" s="55"/>
      <c r="AC214" s="55"/>
      <c r="AD214" s="55"/>
      <c r="AE214" s="55"/>
      <c r="AF214" s="55"/>
      <c r="AG214" s="55"/>
      <c r="AH214" s="55"/>
      <c r="AI214" s="55"/>
      <c r="AJ214" s="55"/>
      <c r="AK214" s="55"/>
      <c r="AL214" s="55"/>
      <c r="AM214" s="55"/>
      <c r="AN214" s="55"/>
      <c r="AO214" s="55"/>
      <c r="AP214" s="55"/>
      <c r="AQ214" s="55"/>
      <c r="AR214" s="55"/>
      <c r="AS214" s="55"/>
      <c r="AT214" s="120"/>
      <c r="AU214" s="55"/>
      <c r="AV214" s="55"/>
      <c r="AW214" s="55"/>
      <c r="AX214" s="55"/>
      <c r="AY214" s="55"/>
      <c r="AZ214" s="55"/>
      <c r="BA214" s="55"/>
      <c r="BB214" s="55"/>
      <c r="BC214" s="55"/>
      <c r="BD214" s="55"/>
      <c r="BE214" s="55"/>
      <c r="BF214" s="55"/>
      <c r="BG214" s="55"/>
      <c r="BH214" s="52"/>
      <c r="BI214" s="55"/>
      <c r="BJ214" s="121"/>
    </row>
    <row r="215" spans="2:62">
      <c r="B215" s="147"/>
      <c r="C215" s="495">
        <v>6.1</v>
      </c>
      <c r="D215" s="536" t="str">
        <f>X!$C$138</f>
        <v>Kälteproduktion Planer-Werte</v>
      </c>
      <c r="E215" s="52"/>
      <c r="F215" s="52"/>
      <c r="G215" s="52"/>
      <c r="H215" s="52"/>
      <c r="I215" s="52"/>
      <c r="J215" s="52"/>
      <c r="K215" s="52"/>
      <c r="L215" s="52"/>
      <c r="M215" s="52"/>
      <c r="N215" s="52"/>
      <c r="O215" s="52"/>
      <c r="P215" s="55"/>
      <c r="Q215" s="52"/>
      <c r="R215" s="52"/>
      <c r="S215" s="52"/>
      <c r="T215" s="52"/>
      <c r="U215" s="52"/>
      <c r="V215" s="52"/>
      <c r="W215" s="92"/>
      <c r="X215" s="92"/>
      <c r="Y215" s="92"/>
      <c r="Z215" s="92"/>
      <c r="AA215" s="92"/>
      <c r="AB215" s="92"/>
      <c r="AC215" s="92"/>
      <c r="AD215" s="92"/>
      <c r="AE215" s="9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152"/>
    </row>
    <row r="216" spans="2:62" s="28" customFormat="1" ht="6" customHeight="1">
      <c r="B216" s="117"/>
      <c r="C216" s="474"/>
      <c r="D216" s="98"/>
      <c r="E216" s="98"/>
      <c r="F216" s="98"/>
      <c r="G216" s="98"/>
      <c r="H216" s="98"/>
      <c r="I216" s="98"/>
      <c r="J216" s="98"/>
      <c r="K216" s="98"/>
      <c r="L216" s="98"/>
      <c r="M216" s="98"/>
      <c r="N216" s="98"/>
      <c r="O216" s="98"/>
      <c r="P216" s="122"/>
      <c r="Q216" s="98"/>
      <c r="R216" s="98"/>
      <c r="S216" s="135"/>
      <c r="T216" s="135"/>
      <c r="U216" s="135"/>
      <c r="V216" s="135"/>
      <c r="W216" s="135"/>
      <c r="X216" s="135"/>
      <c r="Y216" s="135"/>
      <c r="Z216" s="135"/>
      <c r="AA216" s="135"/>
      <c r="AB216" s="135"/>
      <c r="AC216" s="135"/>
      <c r="AD216" s="135"/>
      <c r="AE216" s="135"/>
      <c r="AF216" s="135"/>
      <c r="AG216" s="135"/>
      <c r="AH216" s="135"/>
      <c r="AI216" s="135"/>
      <c r="AJ216" s="135"/>
      <c r="AK216" s="135"/>
      <c r="AL216" s="461"/>
      <c r="AM216" s="135"/>
      <c r="AN216" s="135"/>
      <c r="AO216" s="442"/>
      <c r="AP216" s="135"/>
      <c r="AQ216" s="135"/>
      <c r="AR216" s="135"/>
      <c r="AS216" s="135"/>
      <c r="AT216" s="98"/>
      <c r="AU216" s="98"/>
      <c r="AV216" s="55"/>
      <c r="AW216" s="55"/>
      <c r="AX216" s="55"/>
      <c r="AY216" s="55"/>
      <c r="AZ216" s="55"/>
      <c r="BA216" s="55"/>
      <c r="BB216" s="55"/>
      <c r="BC216" s="55"/>
      <c r="BD216" s="55"/>
      <c r="BE216" s="55"/>
      <c r="BF216" s="55"/>
      <c r="BG216" s="55"/>
      <c r="BH216" s="55"/>
      <c r="BI216" s="55"/>
      <c r="BJ216" s="121"/>
    </row>
    <row r="217" spans="2:62" s="28" customFormat="1" ht="14.1" customHeight="1">
      <c r="B217" s="117"/>
      <c r="C217" s="474" t="str">
        <f>C172</f>
        <v>Kühlleistungsbedarf (Gebäude)</v>
      </c>
      <c r="D217" s="98"/>
      <c r="E217" s="98"/>
      <c r="F217" s="98"/>
      <c r="G217" s="98"/>
      <c r="H217" s="98"/>
      <c r="I217" s="98"/>
      <c r="J217" s="98"/>
      <c r="K217" s="98"/>
      <c r="L217" s="98"/>
      <c r="M217" s="98"/>
      <c r="N217" s="98"/>
      <c r="O217" s="98"/>
      <c r="P217" s="122" t="s">
        <v>106</v>
      </c>
      <c r="Q217" s="98"/>
      <c r="R217" s="98"/>
      <c r="V217" s="135"/>
      <c r="W217" s="168"/>
      <c r="X217" s="168"/>
      <c r="Y217" s="168"/>
      <c r="Z217" s="168"/>
      <c r="AA217" s="168"/>
      <c r="AB217" s="168"/>
      <c r="AC217" s="168"/>
      <c r="AD217" s="168"/>
      <c r="AE217" s="168"/>
      <c r="AF217" s="135"/>
      <c r="AG217" s="135"/>
      <c r="AH217" s="135"/>
      <c r="AI217" s="1696">
        <f>AI172</f>
        <v>0</v>
      </c>
      <c r="AJ217" s="1696"/>
      <c r="AK217" s="1696"/>
      <c r="AL217" s="461"/>
      <c r="AM217" s="135"/>
      <c r="AN217" s="135"/>
      <c r="AO217" s="442"/>
      <c r="AP217" s="135"/>
      <c r="AQ217" s="618"/>
      <c r="AR217" s="618"/>
      <c r="AS217" s="618"/>
      <c r="AT217" s="98"/>
      <c r="AU217" s="136"/>
      <c r="AV217" s="136"/>
      <c r="AW217" s="136"/>
      <c r="AX217" s="136"/>
      <c r="AY217" s="136"/>
      <c r="AZ217" s="136"/>
      <c r="BA217" s="136"/>
      <c r="BB217" s="136"/>
      <c r="BC217" s="136"/>
      <c r="BD217" s="55"/>
      <c r="BE217" s="55"/>
      <c r="BF217" s="55"/>
      <c r="BG217" s="1696">
        <f>BG172</f>
        <v>0</v>
      </c>
      <c r="BH217" s="1696"/>
      <c r="BI217" s="1696"/>
      <c r="BJ217" s="121"/>
    </row>
    <row r="218" spans="2:62" s="28" customFormat="1" ht="14.1" customHeight="1">
      <c r="B218" s="117"/>
      <c r="C218" s="474" t="str">
        <f>C173</f>
        <v>Kälteleistung der Maschinen</v>
      </c>
      <c r="D218" s="98"/>
      <c r="E218" s="98"/>
      <c r="F218" s="98"/>
      <c r="G218" s="98"/>
      <c r="H218" s="98"/>
      <c r="I218" s="98"/>
      <c r="J218" s="98"/>
      <c r="K218" s="98"/>
      <c r="L218" s="98"/>
      <c r="M218" s="98"/>
      <c r="N218" s="98"/>
      <c r="O218" s="98"/>
      <c r="P218" s="122" t="s">
        <v>106</v>
      </c>
      <c r="Q218" s="98"/>
      <c r="R218" s="98"/>
      <c r="V218" s="135"/>
      <c r="W218" s="168" t="str">
        <f>IF($S185=0,"",$S185)</f>
        <v/>
      </c>
      <c r="X218" s="168"/>
      <c r="Y218" s="168"/>
      <c r="Z218" s="168"/>
      <c r="AA218" s="168"/>
      <c r="AB218" s="168"/>
      <c r="AC218" s="168"/>
      <c r="AD218" s="168"/>
      <c r="AE218" s="168"/>
      <c r="AF218" s="135"/>
      <c r="AG218" s="135"/>
      <c r="AH218" s="135"/>
      <c r="AI218" s="1696">
        <f>AI173</f>
        <v>0</v>
      </c>
      <c r="AJ218" s="1696"/>
      <c r="AK218" s="1696"/>
      <c r="AL218" s="461"/>
      <c r="AM218" s="135"/>
      <c r="AN218" s="135"/>
      <c r="AO218" s="442"/>
      <c r="AP218" s="135"/>
      <c r="AQ218" s="618"/>
      <c r="AR218" s="618"/>
      <c r="AS218" s="618"/>
      <c r="AT218" s="98"/>
      <c r="AU218" s="136" t="str">
        <f>IF($S185=0,"",$S185)</f>
        <v/>
      </c>
      <c r="AV218" s="136"/>
      <c r="AW218" s="136"/>
      <c r="AX218" s="136"/>
      <c r="AY218" s="136"/>
      <c r="AZ218" s="136"/>
      <c r="BA218" s="136"/>
      <c r="BB218" s="136"/>
      <c r="BC218" s="136"/>
      <c r="BD218" s="55"/>
      <c r="BE218" s="55"/>
      <c r="BF218" s="55"/>
      <c r="BG218" s="1696">
        <f>BG173</f>
        <v>0</v>
      </c>
      <c r="BH218" s="1696"/>
      <c r="BI218" s="1696"/>
      <c r="BJ218" s="121"/>
    </row>
    <row r="219" spans="2:62" s="28" customFormat="1" ht="14.1" customHeight="1">
      <c r="B219" s="117"/>
      <c r="C219" s="474" t="str">
        <f>C174</f>
        <v>(Über-)Dimensionierung</v>
      </c>
      <c r="D219" s="98"/>
      <c r="E219" s="98"/>
      <c r="F219" s="98"/>
      <c r="G219" s="98"/>
      <c r="H219" s="98"/>
      <c r="I219" s="98"/>
      <c r="J219" s="98"/>
      <c r="K219" s="98"/>
      <c r="L219" s="98"/>
      <c r="M219" s="98"/>
      <c r="N219" s="98"/>
      <c r="O219" s="98"/>
      <c r="P219" s="122" t="s">
        <v>30</v>
      </c>
      <c r="Q219" s="98"/>
      <c r="R219" s="98"/>
      <c r="V219" s="135"/>
      <c r="W219" s="168" t="str">
        <f>IF($S187=0,"",$S187)</f>
        <v/>
      </c>
      <c r="X219" s="168"/>
      <c r="Y219" s="168"/>
      <c r="Z219" s="168"/>
      <c r="AA219" s="168"/>
      <c r="AB219" s="168"/>
      <c r="AC219" s="168"/>
      <c r="AD219" s="168"/>
      <c r="AE219" s="168"/>
      <c r="AF219" s="135"/>
      <c r="AG219" s="135"/>
      <c r="AH219" s="135"/>
      <c r="AI219" s="1533">
        <f>IF(AI217=0,0,AI218/AI217)</f>
        <v>0</v>
      </c>
      <c r="AJ219" s="1533"/>
      <c r="AK219" s="1533"/>
      <c r="AL219" s="461"/>
      <c r="AM219" s="135"/>
      <c r="AN219" s="135"/>
      <c r="AO219" s="442"/>
      <c r="AP219" s="135"/>
      <c r="AQ219" s="618"/>
      <c r="AR219" s="618"/>
      <c r="AS219" s="618"/>
      <c r="AT219" s="98"/>
      <c r="AU219" s="136" t="str">
        <f>IF($S187=0,"",$S187)</f>
        <v/>
      </c>
      <c r="AV219" s="136"/>
      <c r="AW219" s="136"/>
      <c r="AX219" s="136"/>
      <c r="AY219" s="136"/>
      <c r="AZ219" s="136"/>
      <c r="BA219" s="136"/>
      <c r="BB219" s="136"/>
      <c r="BC219" s="136"/>
      <c r="BD219" s="55"/>
      <c r="BE219" s="55"/>
      <c r="BF219" s="55"/>
      <c r="BG219" s="1533">
        <f>IF(BG217=0,0,BG218/BG217)</f>
        <v>0</v>
      </c>
      <c r="BH219" s="1533"/>
      <c r="BI219" s="1533"/>
      <c r="BJ219" s="121"/>
    </row>
    <row r="220" spans="2:62" s="28" customFormat="1" ht="14.1" customHeight="1">
      <c r="B220" s="117"/>
      <c r="C220" s="474" t="str">
        <f>C175</f>
        <v>Betriebsstunden Maschine pro Jahr</v>
      </c>
      <c r="D220" s="98"/>
      <c r="E220" s="98"/>
      <c r="F220" s="98"/>
      <c r="G220" s="98"/>
      <c r="H220" s="98"/>
      <c r="I220" s="98"/>
      <c r="J220" s="98"/>
      <c r="K220" s="98"/>
      <c r="L220" s="98"/>
      <c r="M220" s="98"/>
      <c r="N220" s="98"/>
      <c r="O220" s="98"/>
      <c r="P220" s="122" t="s">
        <v>152</v>
      </c>
      <c r="Q220" s="98"/>
      <c r="R220" s="98"/>
      <c r="V220" s="135"/>
      <c r="W220" s="168"/>
      <c r="X220" s="168"/>
      <c r="Y220" s="168"/>
      <c r="Z220" s="168"/>
      <c r="AA220" s="168"/>
      <c r="AB220" s="168"/>
      <c r="AC220" s="168"/>
      <c r="AD220" s="168"/>
      <c r="AE220" s="168"/>
      <c r="AF220" s="135"/>
      <c r="AG220" s="135"/>
      <c r="AH220" s="135"/>
      <c r="AI220" s="1445">
        <f>AI103*365</f>
        <v>0</v>
      </c>
      <c r="AJ220" s="1463"/>
      <c r="AK220" s="1463"/>
      <c r="AL220" s="461"/>
      <c r="AM220" s="135"/>
      <c r="AN220" s="135"/>
      <c r="AO220" s="442"/>
      <c r="AP220" s="135"/>
      <c r="AQ220" s="618"/>
      <c r="AR220" s="618"/>
      <c r="AS220" s="618"/>
      <c r="AT220" s="98"/>
      <c r="AU220" s="136"/>
      <c r="AV220" s="136"/>
      <c r="AW220" s="136"/>
      <c r="AX220" s="136"/>
      <c r="AY220" s="136"/>
      <c r="AZ220" s="136"/>
      <c r="BA220" s="136"/>
      <c r="BB220" s="136"/>
      <c r="BC220" s="136"/>
      <c r="BD220" s="55"/>
      <c r="BE220" s="55"/>
      <c r="BF220" s="55"/>
      <c r="BG220" s="1445">
        <f>BG103*365</f>
        <v>0</v>
      </c>
      <c r="BH220" s="1463"/>
      <c r="BI220" s="1463"/>
      <c r="BJ220" s="121"/>
    </row>
    <row r="221" spans="2:62" s="28" customFormat="1" ht="14.1" customHeight="1">
      <c r="B221" s="117"/>
      <c r="C221" s="474" t="str">
        <f>C176</f>
        <v>Kälteproduktion der Anlage</v>
      </c>
      <c r="D221" s="98"/>
      <c r="E221" s="98"/>
      <c r="F221" s="98"/>
      <c r="G221" s="98"/>
      <c r="H221" s="98"/>
      <c r="I221" s="98"/>
      <c r="J221" s="98"/>
      <c r="K221" s="98"/>
      <c r="L221" s="98"/>
      <c r="M221" s="98"/>
      <c r="N221" s="98"/>
      <c r="O221" s="98"/>
      <c r="P221" s="122" t="s">
        <v>22</v>
      </c>
      <c r="Q221" s="98"/>
      <c r="R221" s="98"/>
      <c r="V221" s="135"/>
      <c r="W221" s="168"/>
      <c r="X221" s="168"/>
      <c r="Y221" s="168"/>
      <c r="Z221" s="168"/>
      <c r="AA221" s="168"/>
      <c r="AB221" s="168"/>
      <c r="AC221" s="168"/>
      <c r="AD221" s="168"/>
      <c r="AE221" s="168"/>
      <c r="AF221" s="135"/>
      <c r="AG221" s="135"/>
      <c r="AH221" s="135"/>
      <c r="AI221" s="1684">
        <f>IF(AI218*AI220&gt;100000,ROUND(AI218*AI220,-4),ROUND(AI218*AI220,-3))</f>
        <v>0</v>
      </c>
      <c r="AJ221" s="1684"/>
      <c r="AK221" s="1684"/>
      <c r="AL221" s="461"/>
      <c r="AM221" s="135"/>
      <c r="AN221" s="135"/>
      <c r="AO221" s="442"/>
      <c r="AP221" s="135"/>
      <c r="AQ221" s="618"/>
      <c r="AR221" s="618"/>
      <c r="AS221" s="618"/>
      <c r="AT221" s="98"/>
      <c r="AU221" s="136"/>
      <c r="AV221" s="136"/>
      <c r="AW221" s="136"/>
      <c r="AX221" s="136"/>
      <c r="AY221" s="136"/>
      <c r="AZ221" s="136"/>
      <c r="BA221" s="136"/>
      <c r="BB221" s="136"/>
      <c r="BC221" s="136"/>
      <c r="BD221" s="55"/>
      <c r="BE221" s="55"/>
      <c r="BF221" s="55"/>
      <c r="BG221" s="1684">
        <f>IF(BG218*BG220&gt;100000,ROUND(BG218*BG220,-4),ROUND(BG218*BG220,-3))</f>
        <v>0</v>
      </c>
      <c r="BH221" s="1684"/>
      <c r="BI221" s="1684"/>
      <c r="BJ221" s="121"/>
    </row>
    <row r="222" spans="2:62">
      <c r="B222" s="147"/>
      <c r="C222" s="477"/>
      <c r="D222" s="52"/>
      <c r="E222" s="52"/>
      <c r="F222" s="52"/>
      <c r="G222" s="52"/>
      <c r="H222" s="52"/>
      <c r="I222" s="52"/>
      <c r="J222" s="52"/>
      <c r="K222" s="52"/>
      <c r="L222" s="52"/>
      <c r="M222" s="52"/>
      <c r="N222" s="52"/>
      <c r="O222" s="52"/>
      <c r="P222" s="55"/>
      <c r="Q222" s="52"/>
      <c r="R222" s="52"/>
      <c r="V222" s="52"/>
      <c r="W222" s="92"/>
      <c r="X222" s="92"/>
      <c r="Y222" s="92"/>
      <c r="Z222" s="92"/>
      <c r="AA222" s="92"/>
      <c r="AB222" s="92"/>
      <c r="AC222" s="92"/>
      <c r="AD222" s="92"/>
      <c r="AE222" s="92"/>
      <c r="AF222" s="52"/>
      <c r="AG222" s="52"/>
      <c r="AH222" s="52"/>
      <c r="AI222" s="1684"/>
      <c r="AJ222" s="1684"/>
      <c r="AK222" s="1684"/>
      <c r="AL222" s="52"/>
      <c r="AM222" s="52"/>
      <c r="AN222" s="52"/>
      <c r="AO222" s="52"/>
      <c r="AP222" s="52"/>
      <c r="AQ222" s="618"/>
      <c r="AR222" s="618"/>
      <c r="AS222" s="618"/>
      <c r="AT222" s="52"/>
      <c r="AU222" s="52"/>
      <c r="AV222" s="52"/>
      <c r="AW222" s="52"/>
      <c r="AX222" s="52"/>
      <c r="AY222" s="52"/>
      <c r="AZ222" s="52"/>
      <c r="BA222" s="52"/>
      <c r="BB222" s="52"/>
      <c r="BC222" s="52"/>
      <c r="BD222" s="52"/>
      <c r="BE222" s="52"/>
      <c r="BF222" s="52"/>
      <c r="BG222" s="52"/>
      <c r="BH222" s="52"/>
      <c r="BI222" s="52"/>
      <c r="BJ222" s="152"/>
    </row>
    <row r="223" spans="2:62">
      <c r="B223" s="147"/>
      <c r="C223" s="477"/>
      <c r="D223" s="52"/>
      <c r="E223" s="52"/>
      <c r="F223" s="52"/>
      <c r="G223" s="52"/>
      <c r="H223" s="52"/>
      <c r="I223" s="52"/>
      <c r="J223" s="52"/>
      <c r="K223" s="52"/>
      <c r="L223" s="52"/>
      <c r="M223" s="52"/>
      <c r="N223" s="52"/>
      <c r="O223" s="52"/>
      <c r="P223" s="55"/>
      <c r="Q223" s="52"/>
      <c r="R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618"/>
      <c r="AR223" s="618"/>
      <c r="AS223" s="618"/>
      <c r="AT223" s="52"/>
      <c r="AU223" s="52"/>
      <c r="AV223" s="52"/>
      <c r="AW223" s="52"/>
      <c r="AX223" s="52"/>
      <c r="AY223" s="52"/>
      <c r="AZ223" s="52"/>
      <c r="BA223" s="52"/>
      <c r="BB223" s="52"/>
      <c r="BC223" s="52"/>
      <c r="BD223" s="52"/>
      <c r="BE223" s="52"/>
      <c r="BF223" s="52"/>
      <c r="BG223" s="52"/>
      <c r="BH223" s="52"/>
      <c r="BI223" s="52"/>
      <c r="BJ223" s="152"/>
    </row>
    <row r="224" spans="2:62">
      <c r="B224" s="147"/>
      <c r="C224" s="495">
        <v>6.2</v>
      </c>
      <c r="D224" s="495" t="str">
        <f>D179</f>
        <v>Energieverbrauch Kältemaschine</v>
      </c>
      <c r="E224" s="52"/>
      <c r="F224" s="52"/>
      <c r="G224" s="52"/>
      <c r="H224" s="52"/>
      <c r="I224" s="52"/>
      <c r="J224" s="52"/>
      <c r="K224" s="52"/>
      <c r="L224" s="52"/>
      <c r="M224" s="52"/>
      <c r="N224" s="52"/>
      <c r="O224" s="52"/>
      <c r="P224" s="55"/>
      <c r="Q224" s="52"/>
      <c r="R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618"/>
      <c r="AR224" s="618"/>
      <c r="AS224" s="618"/>
      <c r="AT224" s="52"/>
      <c r="AU224" s="52"/>
      <c r="AV224" s="52"/>
      <c r="AW224" s="52"/>
      <c r="AX224" s="52"/>
      <c r="AY224" s="52"/>
      <c r="AZ224" s="52"/>
      <c r="BA224" s="52"/>
      <c r="BB224" s="52"/>
      <c r="BC224" s="52"/>
      <c r="BD224" s="52"/>
      <c r="BE224" s="52"/>
      <c r="BF224" s="52"/>
      <c r="BG224" s="52"/>
      <c r="BH224" s="52"/>
      <c r="BI224" s="52"/>
      <c r="BJ224" s="152"/>
    </row>
    <row r="225" spans="2:62" s="28" customFormat="1" ht="6" customHeight="1">
      <c r="B225" s="117"/>
      <c r="C225" s="474"/>
      <c r="D225" s="98"/>
      <c r="E225" s="98"/>
      <c r="F225" s="98"/>
      <c r="G225" s="98"/>
      <c r="H225" s="98"/>
      <c r="I225" s="98"/>
      <c r="J225" s="98"/>
      <c r="K225" s="98"/>
      <c r="L225" s="98"/>
      <c r="M225" s="98"/>
      <c r="N225" s="98"/>
      <c r="O225" s="98"/>
      <c r="P225" s="122"/>
      <c r="Q225" s="98"/>
      <c r="R225" s="98"/>
      <c r="V225" s="135"/>
      <c r="W225" s="135"/>
      <c r="X225" s="135"/>
      <c r="Y225" s="135"/>
      <c r="Z225" s="135"/>
      <c r="AA225" s="135"/>
      <c r="AB225" s="135"/>
      <c r="AC225" s="135"/>
      <c r="AD225" s="135"/>
      <c r="AE225" s="135"/>
      <c r="AF225" s="135"/>
      <c r="AG225" s="135"/>
      <c r="AH225" s="135"/>
      <c r="AI225" s="135"/>
      <c r="AJ225" s="135"/>
      <c r="AK225" s="135"/>
      <c r="AL225" s="461"/>
      <c r="AM225" s="135"/>
      <c r="AN225" s="135"/>
      <c r="AO225" s="442"/>
      <c r="AP225" s="135"/>
      <c r="AQ225" s="618"/>
      <c r="AR225" s="618"/>
      <c r="AS225" s="618"/>
      <c r="AT225" s="98"/>
      <c r="AU225" s="52"/>
      <c r="AV225" s="52"/>
      <c r="AW225" s="52"/>
      <c r="AX225" s="52"/>
      <c r="AY225" s="52"/>
      <c r="AZ225" s="52"/>
      <c r="BA225" s="52"/>
      <c r="BB225" s="52"/>
      <c r="BC225" s="55"/>
      <c r="BD225" s="55"/>
      <c r="BE225" s="55"/>
      <c r="BF225" s="55"/>
      <c r="BG225" s="135"/>
      <c r="BH225" s="135"/>
      <c r="BI225" s="135"/>
      <c r="BJ225" s="121"/>
    </row>
    <row r="226" spans="2:62" s="28" customFormat="1" ht="14.1" customHeight="1">
      <c r="B226" s="117"/>
      <c r="C226" s="474" t="str">
        <f>C181</f>
        <v>Kälteproduktion der Anlage</v>
      </c>
      <c r="D226" s="98"/>
      <c r="E226" s="98"/>
      <c r="F226" s="98"/>
      <c r="G226" s="98"/>
      <c r="H226" s="98"/>
      <c r="I226" s="98"/>
      <c r="J226" s="98"/>
      <c r="K226" s="98"/>
      <c r="L226" s="98"/>
      <c r="M226" s="98"/>
      <c r="N226" s="98"/>
      <c r="O226" s="98"/>
      <c r="P226" s="122" t="s">
        <v>22</v>
      </c>
      <c r="Q226" s="98"/>
      <c r="R226" s="98"/>
      <c r="V226" s="135"/>
      <c r="W226" s="52"/>
      <c r="X226" s="52"/>
      <c r="Y226" s="52"/>
      <c r="Z226" s="52"/>
      <c r="AA226" s="52"/>
      <c r="AB226" s="52"/>
      <c r="AC226" s="52"/>
      <c r="AD226" s="52"/>
      <c r="AE226" s="52"/>
      <c r="AF226" s="52"/>
      <c r="AG226" s="52"/>
      <c r="AH226" s="135"/>
      <c r="AI226" s="1684">
        <f>AI221</f>
        <v>0</v>
      </c>
      <c r="AJ226" s="1696"/>
      <c r="AK226" s="1696"/>
      <c r="AL226" s="461"/>
      <c r="AM226" s="135"/>
      <c r="AN226" s="135"/>
      <c r="AO226" s="442"/>
      <c r="AP226" s="135"/>
      <c r="AQ226" s="618"/>
      <c r="AR226" s="618"/>
      <c r="AS226" s="618"/>
      <c r="AT226" s="98"/>
      <c r="AU226" s="52"/>
      <c r="AV226" s="52"/>
      <c r="AW226" s="52"/>
      <c r="AX226" s="52"/>
      <c r="AY226" s="52"/>
      <c r="AZ226" s="52"/>
      <c r="BA226" s="52"/>
      <c r="BB226" s="52"/>
      <c r="BC226" s="52"/>
      <c r="BD226" s="55"/>
      <c r="BE226" s="55"/>
      <c r="BF226" s="55"/>
      <c r="BG226" s="1684">
        <f>BG221</f>
        <v>0</v>
      </c>
      <c r="BH226" s="1696"/>
      <c r="BI226" s="1696"/>
      <c r="BJ226" s="121"/>
    </row>
    <row r="227" spans="2:62" s="28" customFormat="1" ht="14.1" customHeight="1">
      <c r="B227" s="117"/>
      <c r="C227" s="474" t="str">
        <f>C182</f>
        <v>SEER-Wert Maschine</v>
      </c>
      <c r="D227" s="98"/>
      <c r="E227" s="98"/>
      <c r="F227" s="98"/>
      <c r="G227" s="98"/>
      <c r="H227" s="98"/>
      <c r="I227" s="98"/>
      <c r="J227" s="98"/>
      <c r="K227" s="98"/>
      <c r="L227" s="98"/>
      <c r="M227" s="98"/>
      <c r="N227" s="98"/>
      <c r="O227" s="98"/>
      <c r="P227" s="122" t="s">
        <v>16</v>
      </c>
      <c r="Q227" s="98"/>
      <c r="R227" s="98"/>
      <c r="V227" s="135"/>
      <c r="W227" s="52"/>
      <c r="X227" s="52"/>
      <c r="Y227" s="52"/>
      <c r="Z227" s="52"/>
      <c r="AA227" s="52"/>
      <c r="AB227" s="52"/>
      <c r="AC227" s="52"/>
      <c r="AD227" s="52"/>
      <c r="AE227" s="52"/>
      <c r="AF227" s="52"/>
      <c r="AG227" s="52"/>
      <c r="AH227" s="135"/>
      <c r="AI227" s="1696">
        <f>AI182</f>
        <v>0</v>
      </c>
      <c r="AJ227" s="1696"/>
      <c r="AK227" s="1696"/>
      <c r="AL227" s="461"/>
      <c r="AM227" s="135"/>
      <c r="AN227" s="135"/>
      <c r="AO227" s="442"/>
      <c r="AP227" s="135"/>
      <c r="AQ227" s="618"/>
      <c r="AR227" s="618"/>
      <c r="AS227" s="618"/>
      <c r="AT227" s="98"/>
      <c r="AU227" s="52"/>
      <c r="AV227" s="52"/>
      <c r="AW227" s="52"/>
      <c r="AX227" s="52"/>
      <c r="AY227" s="52"/>
      <c r="AZ227" s="52"/>
      <c r="BA227" s="52"/>
      <c r="BB227" s="52"/>
      <c r="BC227" s="52"/>
      <c r="BD227" s="55"/>
      <c r="BE227" s="55"/>
      <c r="BF227" s="55"/>
      <c r="BG227" s="1696">
        <f>BG182</f>
        <v>0</v>
      </c>
      <c r="BH227" s="1696"/>
      <c r="BI227" s="1696"/>
      <c r="BJ227" s="121"/>
    </row>
    <row r="228" spans="2:62" s="28" customFormat="1" ht="14.1" customHeight="1">
      <c r="B228" s="117"/>
      <c r="C228" s="474" t="str">
        <f>C183</f>
        <v>Stromverbrauch Maschine</v>
      </c>
      <c r="D228" s="98"/>
      <c r="E228" s="98"/>
      <c r="F228" s="98"/>
      <c r="G228" s="98"/>
      <c r="H228" s="98"/>
      <c r="I228" s="98"/>
      <c r="J228" s="98"/>
      <c r="K228" s="98"/>
      <c r="L228" s="98"/>
      <c r="M228" s="98"/>
      <c r="N228" s="98"/>
      <c r="O228" s="98"/>
      <c r="P228" s="122" t="s">
        <v>22</v>
      </c>
      <c r="Q228" s="98"/>
      <c r="R228" s="98"/>
      <c r="V228" s="135"/>
      <c r="W228" s="52"/>
      <c r="X228" s="52"/>
      <c r="Y228" s="52"/>
      <c r="Z228" s="52"/>
      <c r="AA228" s="52"/>
      <c r="AB228" s="52"/>
      <c r="AC228" s="52"/>
      <c r="AD228" s="52"/>
      <c r="AE228" s="52"/>
      <c r="AF228" s="52"/>
      <c r="AG228" s="52"/>
      <c r="AH228" s="135"/>
      <c r="AI228" s="1543">
        <f>IF(AI218=0,0,IF(AI227=0,0,IF(AI226/AI227&gt;100000,ROUND(AI226/AI227,-4),ROUND(AI226/AI227,-3))))</f>
        <v>0</v>
      </c>
      <c r="AJ228" s="1543"/>
      <c r="AK228" s="1543"/>
      <c r="AL228" s="461"/>
      <c r="AM228" s="135"/>
      <c r="AN228" s="135"/>
      <c r="AO228" s="442"/>
      <c r="AP228" s="135"/>
      <c r="AQ228" s="618"/>
      <c r="AR228" s="618"/>
      <c r="AS228" s="618"/>
      <c r="AT228" s="98"/>
      <c r="AU228" s="52"/>
      <c r="AV228" s="52"/>
      <c r="AW228" s="52"/>
      <c r="AX228" s="52"/>
      <c r="AY228" s="52"/>
      <c r="AZ228" s="52"/>
      <c r="BA228" s="52"/>
      <c r="BB228" s="52"/>
      <c r="BC228" s="52"/>
      <c r="BD228" s="55"/>
      <c r="BE228" s="55"/>
      <c r="BF228" s="55"/>
      <c r="BG228" s="1543">
        <f>IF(BG218=0,0,IF(BG227=0,0,IF(BG226/BG227&gt;100000,ROUND(BG226/BG227,-4),ROUND(BG226/BG227,-3))))</f>
        <v>0</v>
      </c>
      <c r="BH228" s="1543"/>
      <c r="BI228" s="1543"/>
      <c r="BJ228" s="121"/>
    </row>
    <row r="229" spans="2:62" s="28" customFormat="1" ht="17.100000000000001" customHeight="1">
      <c r="B229" s="117"/>
      <c r="C229" s="474"/>
      <c r="D229" s="98"/>
      <c r="E229" s="98"/>
      <c r="F229" s="98"/>
      <c r="G229" s="98"/>
      <c r="H229" s="98"/>
      <c r="I229" s="98"/>
      <c r="J229" s="98"/>
      <c r="K229" s="98"/>
      <c r="L229" s="98"/>
      <c r="M229" s="98"/>
      <c r="N229" s="98"/>
      <c r="O229" s="98"/>
      <c r="P229" s="122"/>
      <c r="Q229" s="98"/>
      <c r="R229" s="98"/>
      <c r="S229" s="367"/>
      <c r="T229" s="367"/>
      <c r="U229" s="367"/>
      <c r="V229" s="135"/>
      <c r="W229" s="52"/>
      <c r="X229" s="52"/>
      <c r="Y229" s="52"/>
      <c r="Z229" s="52"/>
      <c r="AA229" s="52"/>
      <c r="AB229" s="52"/>
      <c r="AC229" s="52"/>
      <c r="AD229" s="52"/>
      <c r="AE229" s="52"/>
      <c r="AF229" s="52"/>
      <c r="AG229" s="52"/>
      <c r="AH229" s="135"/>
      <c r="AI229" s="135"/>
      <c r="AJ229" s="135"/>
      <c r="AK229" s="135"/>
      <c r="AL229" s="461"/>
      <c r="AM229" s="135"/>
      <c r="AN229" s="135"/>
      <c r="AO229" s="442"/>
      <c r="AP229" s="135"/>
      <c r="AQ229" s="367"/>
      <c r="AR229" s="367"/>
      <c r="AS229" s="367"/>
      <c r="AT229" s="98"/>
      <c r="AU229" s="52"/>
      <c r="AV229" s="52"/>
      <c r="AW229" s="52"/>
      <c r="AX229" s="52"/>
      <c r="AY229" s="52"/>
      <c r="AZ229" s="52"/>
      <c r="BA229" s="52"/>
      <c r="BB229" s="52"/>
      <c r="BC229" s="52"/>
      <c r="BD229" s="55"/>
      <c r="BE229" s="55"/>
      <c r="BF229" s="55"/>
      <c r="BG229" s="55"/>
      <c r="BH229" s="55"/>
      <c r="BI229" s="55"/>
      <c r="BJ229" s="121"/>
    </row>
    <row r="230" spans="2:62">
      <c r="B230" s="147"/>
      <c r="C230" s="477"/>
      <c r="D230" s="52"/>
      <c r="E230" s="52"/>
      <c r="F230" s="52"/>
      <c r="G230" s="52"/>
      <c r="H230" s="52"/>
      <c r="I230" s="52"/>
      <c r="J230" s="52"/>
      <c r="K230" s="52"/>
      <c r="L230" s="52"/>
      <c r="M230" s="52"/>
      <c r="N230" s="52"/>
      <c r="O230" s="52"/>
      <c r="P230" s="55"/>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152"/>
    </row>
    <row r="231" spans="2:62">
      <c r="B231" s="147"/>
      <c r="C231" s="495">
        <v>6.3</v>
      </c>
      <c r="D231" s="536" t="str">
        <f>D186</f>
        <v>Energieverbrauch Hilfsbetriebe «warme Seite»</v>
      </c>
      <c r="E231" s="52"/>
      <c r="F231" s="52"/>
      <c r="G231" s="52"/>
      <c r="H231" s="52"/>
      <c r="I231" s="52"/>
      <c r="J231" s="52"/>
      <c r="K231" s="52"/>
      <c r="L231" s="52"/>
      <c r="M231" s="52"/>
      <c r="N231" s="52"/>
      <c r="O231" s="52"/>
      <c r="P231" s="55"/>
      <c r="Q231" s="52"/>
      <c r="R231" s="52"/>
      <c r="S231" s="1449" t="s">
        <v>150</v>
      </c>
      <c r="T231" s="1449"/>
      <c r="U231" s="1449"/>
      <c r="V231" s="52"/>
      <c r="W231" s="1540" t="str">
        <f>W186</f>
        <v>Regelung</v>
      </c>
      <c r="X231" s="1540"/>
      <c r="Y231" s="1540"/>
      <c r="Z231" s="52"/>
      <c r="AA231" s="1449" t="str">
        <f>AA186</f>
        <v>Pe (korr.)</v>
      </c>
      <c r="AB231" s="1449"/>
      <c r="AC231" s="1449"/>
      <c r="AD231" s="52"/>
      <c r="AE231" s="52"/>
      <c r="AF231" s="52"/>
      <c r="AG231" s="52"/>
      <c r="AH231" s="52"/>
      <c r="AI231" s="52"/>
      <c r="AJ231" s="52"/>
      <c r="AK231" s="52"/>
      <c r="AL231" s="52"/>
      <c r="AM231" s="52"/>
      <c r="AN231" s="52"/>
      <c r="AO231" s="52"/>
      <c r="AP231" s="52"/>
      <c r="AQ231" s="1449" t="s">
        <v>150</v>
      </c>
      <c r="AR231" s="1449"/>
      <c r="AS231" s="1449"/>
      <c r="AT231" s="52"/>
      <c r="AU231" s="1540" t="str">
        <f>W231</f>
        <v>Regelung</v>
      </c>
      <c r="AV231" s="1540"/>
      <c r="AW231" s="1540"/>
      <c r="AX231" s="52"/>
      <c r="AY231" s="1449" t="str">
        <f>AA231</f>
        <v>Pe (korr.)</v>
      </c>
      <c r="AZ231" s="1449"/>
      <c r="BA231" s="1449"/>
      <c r="BB231" s="52"/>
      <c r="BC231" s="52"/>
      <c r="BD231" s="52"/>
      <c r="BE231" s="52"/>
      <c r="BF231" s="52"/>
      <c r="BG231" s="52"/>
      <c r="BH231" s="52"/>
      <c r="BI231" s="52"/>
      <c r="BJ231" s="152"/>
    </row>
    <row r="232" spans="2:62" s="28" customFormat="1" ht="6" customHeight="1">
      <c r="B232" s="117"/>
      <c r="C232" s="474"/>
      <c r="D232" s="98"/>
      <c r="E232" s="98"/>
      <c r="F232" s="98"/>
      <c r="G232" s="98"/>
      <c r="H232" s="98"/>
      <c r="I232" s="98"/>
      <c r="J232" s="98"/>
      <c r="K232" s="98"/>
      <c r="L232" s="98"/>
      <c r="M232" s="98"/>
      <c r="N232" s="98"/>
      <c r="O232" s="98"/>
      <c r="P232" s="122"/>
      <c r="Q232" s="98"/>
      <c r="R232" s="98"/>
      <c r="S232" s="135"/>
      <c r="T232" s="135"/>
      <c r="U232" s="135"/>
      <c r="V232" s="135"/>
      <c r="W232" s="135"/>
      <c r="X232" s="135"/>
      <c r="Y232" s="135"/>
      <c r="Z232" s="52"/>
      <c r="AA232" s="52"/>
      <c r="AB232" s="52"/>
      <c r="AC232" s="52"/>
      <c r="AD232" s="52"/>
      <c r="AE232" s="52"/>
      <c r="AF232" s="52"/>
      <c r="AG232" s="52"/>
      <c r="AH232" s="52"/>
      <c r="AI232" s="52"/>
      <c r="AJ232" s="52"/>
      <c r="AK232" s="52"/>
      <c r="AL232" s="52"/>
      <c r="AM232" s="52"/>
      <c r="AN232" s="135"/>
      <c r="AO232" s="442"/>
      <c r="AP232" s="135"/>
      <c r="AQ232" s="135"/>
      <c r="AR232" s="135"/>
      <c r="AS232" s="135"/>
      <c r="AT232" s="135"/>
      <c r="AU232" s="135"/>
      <c r="AV232" s="135"/>
      <c r="AW232" s="135"/>
      <c r="AX232" s="52"/>
      <c r="AY232" s="52"/>
      <c r="AZ232" s="52"/>
      <c r="BA232" s="52"/>
      <c r="BB232" s="52"/>
      <c r="BC232" s="52"/>
      <c r="BD232" s="52"/>
      <c r="BE232" s="52"/>
      <c r="BF232" s="52"/>
      <c r="BG232" s="52"/>
      <c r="BH232" s="52"/>
      <c r="BI232" s="52"/>
      <c r="BJ232" s="152"/>
    </row>
    <row r="233" spans="2:62" s="155" customFormat="1" ht="14.1" customHeight="1">
      <c r="B233" s="154"/>
      <c r="C233" s="1472" t="str">
        <f>C192</f>
        <v>Total</v>
      </c>
      <c r="D233" s="1472"/>
      <c r="E233" s="1472"/>
      <c r="F233" s="1472"/>
      <c r="G233" s="1472"/>
      <c r="H233" s="1472"/>
      <c r="I233" s="1472"/>
      <c r="J233" s="1472"/>
      <c r="K233" s="1472"/>
      <c r="L233" s="1472"/>
      <c r="M233" s="1472"/>
      <c r="N233" s="1472"/>
      <c r="O233" s="98"/>
      <c r="P233" s="122" t="s">
        <v>106</v>
      </c>
      <c r="Q233" s="144"/>
      <c r="R233" s="144"/>
      <c r="S233" s="1462"/>
      <c r="T233" s="1462"/>
      <c r="U233" s="1462"/>
      <c r="V233" s="173"/>
      <c r="W233" s="1537"/>
      <c r="X233" s="1537"/>
      <c r="Y233" s="1537"/>
      <c r="Z233" s="223"/>
      <c r="AA233" s="1452">
        <f>AA192</f>
        <v>0</v>
      </c>
      <c r="AB233" s="1452"/>
      <c r="AC233" s="1452"/>
      <c r="AD233" s="224"/>
      <c r="AE233" s="224"/>
      <c r="AF233" s="224"/>
      <c r="AG233" s="224"/>
      <c r="AH233" s="224"/>
      <c r="AI233" s="224"/>
      <c r="AJ233" s="224"/>
      <c r="AK233" s="224"/>
      <c r="AL233" s="224"/>
      <c r="AM233" s="224"/>
      <c r="AN233" s="144"/>
      <c r="AO233" s="144"/>
      <c r="AP233" s="144"/>
      <c r="AQ233" s="1462"/>
      <c r="AR233" s="1462"/>
      <c r="AS233" s="1462"/>
      <c r="AT233" s="173"/>
      <c r="AU233" s="1537"/>
      <c r="AV233" s="1537"/>
      <c r="AW233" s="1537"/>
      <c r="AX233" s="223"/>
      <c r="AY233" s="1452">
        <f>AY192</f>
        <v>0</v>
      </c>
      <c r="AZ233" s="1452"/>
      <c r="BA233" s="1452"/>
      <c r="BB233" s="224"/>
      <c r="BC233" s="224"/>
      <c r="BD233" s="224"/>
      <c r="BE233" s="224"/>
      <c r="BF233" s="224"/>
      <c r="BG233" s="224"/>
      <c r="BH233" s="224"/>
      <c r="BI233" s="224"/>
      <c r="BJ233" s="225"/>
    </row>
    <row r="234" spans="2:62" s="227" customFormat="1" ht="14.1" customHeight="1">
      <c r="B234" s="226"/>
      <c r="C234" s="1472" t="str">
        <f>C204</f>
        <v>Laufzeit</v>
      </c>
      <c r="D234" s="1472"/>
      <c r="E234" s="1472"/>
      <c r="F234" s="1472"/>
      <c r="G234" s="1472"/>
      <c r="H234" s="1472"/>
      <c r="I234" s="1472"/>
      <c r="J234" s="1472"/>
      <c r="K234" s="1472"/>
      <c r="L234" s="1472"/>
      <c r="M234" s="1472"/>
      <c r="N234" s="1472"/>
      <c r="O234" s="98"/>
      <c r="P234" s="122" t="s">
        <v>152</v>
      </c>
      <c r="Q234" s="98"/>
      <c r="R234" s="98"/>
      <c r="S234" s="1452"/>
      <c r="T234" s="1452"/>
      <c r="U234" s="1452"/>
      <c r="V234" s="135"/>
      <c r="W234" s="1463"/>
      <c r="X234" s="1463"/>
      <c r="Y234" s="1463"/>
      <c r="Z234" s="228"/>
      <c r="AA234" s="1445">
        <f>AI220</f>
        <v>0</v>
      </c>
      <c r="AB234" s="1463"/>
      <c r="AC234" s="1463"/>
      <c r="AD234" s="64"/>
      <c r="AE234" s="64"/>
      <c r="AF234" s="64"/>
      <c r="AG234" s="64"/>
      <c r="AH234" s="64"/>
      <c r="AI234" s="64"/>
      <c r="AJ234" s="64"/>
      <c r="AK234" s="64"/>
      <c r="AL234" s="64"/>
      <c r="AM234" s="64"/>
      <c r="AN234" s="98"/>
      <c r="AO234" s="98"/>
      <c r="AP234" s="98"/>
      <c r="AQ234" s="1452"/>
      <c r="AR234" s="1452"/>
      <c r="AS234" s="1452"/>
      <c r="AT234" s="135"/>
      <c r="AU234" s="1463"/>
      <c r="AV234" s="1463"/>
      <c r="AW234" s="1463"/>
      <c r="AX234" s="228"/>
      <c r="AY234" s="1445">
        <f>BG220</f>
        <v>0</v>
      </c>
      <c r="AZ234" s="1463"/>
      <c r="BA234" s="1463"/>
      <c r="BB234" s="64"/>
      <c r="BC234" s="64"/>
      <c r="BD234" s="64"/>
      <c r="BE234" s="64"/>
      <c r="BF234" s="64"/>
      <c r="BG234" s="64"/>
      <c r="BH234" s="64"/>
      <c r="BI234" s="64"/>
      <c r="BJ234" s="229"/>
    </row>
    <row r="235" spans="2:62" s="227" customFormat="1" ht="14.1" customHeight="1">
      <c r="B235" s="226"/>
      <c r="C235" s="1472" t="str">
        <f>C205</f>
        <v>Total</v>
      </c>
      <c r="D235" s="1472"/>
      <c r="E235" s="1472"/>
      <c r="F235" s="1472"/>
      <c r="G235" s="1472"/>
      <c r="H235" s="1472"/>
      <c r="I235" s="1472"/>
      <c r="J235" s="1472"/>
      <c r="K235" s="1472"/>
      <c r="L235" s="1472"/>
      <c r="M235" s="1472"/>
      <c r="N235" s="1472"/>
      <c r="O235" s="98"/>
      <c r="P235" s="122" t="s">
        <v>22</v>
      </c>
      <c r="Q235" s="98"/>
      <c r="R235" s="98"/>
      <c r="S235" s="1452"/>
      <c r="T235" s="1452"/>
      <c r="U235" s="1452"/>
      <c r="V235" s="135"/>
      <c r="W235" s="1463"/>
      <c r="X235" s="1463"/>
      <c r="Y235" s="1463"/>
      <c r="Z235" s="228"/>
      <c r="AA235" s="1684">
        <f>IF(AA233*AA234&gt;10000,ROUND(AA233*AA234,-3),ROUND(AA233*AA234,-2))</f>
        <v>0</v>
      </c>
      <c r="AB235" s="1684"/>
      <c r="AC235" s="1684"/>
      <c r="AD235" s="64"/>
      <c r="AE235" s="64"/>
      <c r="AF235" s="64"/>
      <c r="AG235" s="64"/>
      <c r="AH235" s="64"/>
      <c r="AI235" s="64"/>
      <c r="AJ235" s="64"/>
      <c r="AK235" s="64"/>
      <c r="AL235" s="64"/>
      <c r="AM235" s="64"/>
      <c r="AN235" s="98"/>
      <c r="AO235" s="98"/>
      <c r="AP235" s="98"/>
      <c r="AQ235" s="1452"/>
      <c r="AR235" s="1452"/>
      <c r="AS235" s="1452"/>
      <c r="AT235" s="135"/>
      <c r="AU235" s="1463"/>
      <c r="AV235" s="1463"/>
      <c r="AW235" s="1463"/>
      <c r="AX235" s="228"/>
      <c r="AY235" s="1684">
        <f>IF(AY233*AY234&gt;10000,ROUND(AY233*AY234,-3),ROUND(AY233*AY234,-2))</f>
        <v>0</v>
      </c>
      <c r="AZ235" s="1684"/>
      <c r="BA235" s="1684"/>
      <c r="BB235" s="64"/>
      <c r="BC235" s="64"/>
      <c r="BD235" s="64"/>
      <c r="BE235" s="64"/>
      <c r="BF235" s="64"/>
      <c r="BG235" s="64"/>
      <c r="BH235" s="64"/>
      <c r="BI235" s="64"/>
      <c r="BJ235" s="229"/>
    </row>
    <row r="236" spans="2:62">
      <c r="B236" s="147"/>
      <c r="C236" s="477"/>
      <c r="D236" s="52"/>
      <c r="E236" s="52"/>
      <c r="F236" s="52"/>
      <c r="G236" s="52"/>
      <c r="H236" s="52"/>
      <c r="I236" s="52"/>
      <c r="J236" s="52"/>
      <c r="K236" s="52"/>
      <c r="L236" s="52"/>
      <c r="M236" s="52"/>
      <c r="N236" s="52"/>
      <c r="O236" s="52"/>
      <c r="P236" s="55"/>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152"/>
    </row>
    <row r="237" spans="2:62">
      <c r="B237" s="147"/>
      <c r="C237" s="477"/>
      <c r="D237" s="52"/>
      <c r="E237" s="52"/>
      <c r="F237" s="52"/>
      <c r="G237" s="52"/>
      <c r="H237" s="52"/>
      <c r="I237" s="52"/>
      <c r="J237" s="52"/>
      <c r="K237" s="52"/>
      <c r="L237" s="52"/>
      <c r="M237" s="52"/>
      <c r="N237" s="52"/>
      <c r="O237" s="52"/>
      <c r="P237" s="55"/>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152"/>
    </row>
    <row r="238" spans="2:62">
      <c r="B238" s="147"/>
      <c r="C238" s="495">
        <v>6.4</v>
      </c>
      <c r="D238" s="495" t="str">
        <f>D198</f>
        <v>Energieverbrauch Hilfsbetriebe «kalte Seite»</v>
      </c>
      <c r="E238" s="52"/>
      <c r="F238" s="52"/>
      <c r="G238" s="52"/>
      <c r="H238" s="52"/>
      <c r="I238" s="52"/>
      <c r="J238" s="52"/>
      <c r="K238" s="52"/>
      <c r="L238" s="52"/>
      <c r="M238" s="52"/>
      <c r="N238" s="52"/>
      <c r="O238" s="52"/>
      <c r="P238" s="55"/>
      <c r="Q238" s="52"/>
      <c r="R238" s="52"/>
      <c r="S238" s="1449" t="s">
        <v>150</v>
      </c>
      <c r="T238" s="1449"/>
      <c r="U238" s="1449"/>
      <c r="V238" s="52"/>
      <c r="W238" s="1540" t="str">
        <f>W231</f>
        <v>Regelung</v>
      </c>
      <c r="X238" s="1540"/>
      <c r="Y238" s="1540"/>
      <c r="Z238" s="52"/>
      <c r="AA238" s="1449" t="str">
        <f>AA231</f>
        <v>Pe (korr.)</v>
      </c>
      <c r="AB238" s="1449"/>
      <c r="AC238" s="1449"/>
      <c r="AD238" s="52"/>
      <c r="AE238" s="52"/>
      <c r="AF238" s="52"/>
      <c r="AG238" s="52"/>
      <c r="AH238" s="52"/>
      <c r="AI238" s="52"/>
      <c r="AJ238" s="52"/>
      <c r="AK238" s="52"/>
      <c r="AL238" s="52"/>
      <c r="AM238" s="52"/>
      <c r="AN238" s="52"/>
      <c r="AO238" s="52"/>
      <c r="AP238" s="52"/>
      <c r="AQ238" s="1449" t="s">
        <v>150</v>
      </c>
      <c r="AR238" s="1449"/>
      <c r="AS238" s="1449"/>
      <c r="AT238" s="52"/>
      <c r="AU238" s="1540" t="str">
        <f>W238</f>
        <v>Regelung</v>
      </c>
      <c r="AV238" s="1540"/>
      <c r="AW238" s="1540"/>
      <c r="AX238" s="52"/>
      <c r="AY238" s="1449" t="str">
        <f>AA238</f>
        <v>Pe (korr.)</v>
      </c>
      <c r="AZ238" s="1449"/>
      <c r="BA238" s="1449"/>
      <c r="BB238" s="52"/>
      <c r="BC238" s="52"/>
      <c r="BD238" s="52"/>
      <c r="BE238" s="52"/>
      <c r="BF238" s="52"/>
      <c r="BG238" s="52"/>
      <c r="BH238" s="52"/>
      <c r="BI238" s="52"/>
      <c r="BJ238" s="152"/>
    </row>
    <row r="239" spans="2:62" s="28" customFormat="1" ht="6" customHeight="1">
      <c r="B239" s="117"/>
      <c r="C239" s="474"/>
      <c r="D239" s="98"/>
      <c r="E239" s="98"/>
      <c r="F239" s="98"/>
      <c r="G239" s="98"/>
      <c r="H239" s="98"/>
      <c r="I239" s="98"/>
      <c r="J239" s="98"/>
      <c r="K239" s="98"/>
      <c r="L239" s="98"/>
      <c r="M239" s="98"/>
      <c r="N239" s="98"/>
      <c r="O239" s="98"/>
      <c r="P239" s="122"/>
      <c r="Q239" s="98"/>
      <c r="R239" s="98"/>
      <c r="S239" s="135"/>
      <c r="T239" s="135"/>
      <c r="U239" s="135"/>
      <c r="V239" s="135"/>
      <c r="W239" s="135"/>
      <c r="X239" s="135"/>
      <c r="Y239" s="135"/>
      <c r="Z239" s="52"/>
      <c r="AA239" s="52"/>
      <c r="AB239" s="52"/>
      <c r="AC239" s="52"/>
      <c r="AD239" s="52"/>
      <c r="AE239" s="52"/>
      <c r="AF239" s="52"/>
      <c r="AG239" s="52"/>
      <c r="AH239" s="52"/>
      <c r="AI239" s="52"/>
      <c r="AJ239" s="52"/>
      <c r="AK239" s="52"/>
      <c r="AL239" s="52"/>
      <c r="AM239" s="52"/>
      <c r="AN239" s="135"/>
      <c r="AO239" s="442"/>
      <c r="AP239" s="135"/>
      <c r="AQ239" s="135"/>
      <c r="AR239" s="135"/>
      <c r="AS239" s="135"/>
      <c r="AT239" s="135"/>
      <c r="AU239" s="135"/>
      <c r="AV239" s="135"/>
      <c r="AW239" s="135"/>
      <c r="AX239" s="52"/>
      <c r="AY239" s="52"/>
      <c r="AZ239" s="52"/>
      <c r="BA239" s="52"/>
      <c r="BB239" s="52"/>
      <c r="BC239" s="52"/>
      <c r="BD239" s="52"/>
      <c r="BE239" s="52"/>
      <c r="BF239" s="52"/>
      <c r="BG239" s="52"/>
      <c r="BH239" s="52"/>
      <c r="BI239" s="52"/>
      <c r="BJ239" s="152"/>
    </row>
    <row r="240" spans="2:62" s="227" customFormat="1" ht="14.1" customHeight="1">
      <c r="B240" s="226"/>
      <c r="C240" s="1472" t="str">
        <f>C233</f>
        <v>Total</v>
      </c>
      <c r="D240" s="1472"/>
      <c r="E240" s="1472"/>
      <c r="F240" s="1472"/>
      <c r="G240" s="1472"/>
      <c r="H240" s="1472"/>
      <c r="I240" s="1472"/>
      <c r="J240" s="1472"/>
      <c r="K240" s="1472"/>
      <c r="L240" s="1472"/>
      <c r="M240" s="1472"/>
      <c r="N240" s="1472"/>
      <c r="O240" s="98"/>
      <c r="P240" s="122" t="s">
        <v>106</v>
      </c>
      <c r="Q240" s="98"/>
      <c r="R240" s="98"/>
      <c r="S240" s="1452"/>
      <c r="T240" s="1452"/>
      <c r="U240" s="1452"/>
      <c r="V240" s="135"/>
      <c r="W240" s="1463"/>
      <c r="X240" s="1463"/>
      <c r="Y240" s="1463"/>
      <c r="Z240" s="228"/>
      <c r="AA240" s="1452">
        <f>AA202</f>
        <v>0</v>
      </c>
      <c r="AB240" s="1452"/>
      <c r="AC240" s="1452"/>
      <c r="AD240" s="64"/>
      <c r="AE240" s="64"/>
      <c r="AF240" s="64"/>
      <c r="AG240" s="64"/>
      <c r="AH240" s="64"/>
      <c r="AI240" s="64"/>
      <c r="AJ240" s="64"/>
      <c r="AK240" s="64"/>
      <c r="AL240" s="64"/>
      <c r="AM240" s="64"/>
      <c r="AN240" s="98"/>
      <c r="AO240" s="98"/>
      <c r="AP240" s="98"/>
      <c r="AQ240" s="1452"/>
      <c r="AR240" s="1452"/>
      <c r="AS240" s="1452"/>
      <c r="AT240" s="135"/>
      <c r="AU240" s="1463"/>
      <c r="AV240" s="1463"/>
      <c r="AW240" s="1463"/>
      <c r="AX240" s="228"/>
      <c r="AY240" s="1452">
        <f>AY202</f>
        <v>0</v>
      </c>
      <c r="AZ240" s="1452"/>
      <c r="BA240" s="1452"/>
      <c r="BB240" s="64"/>
      <c r="BC240" s="64"/>
      <c r="BD240" s="64"/>
      <c r="BE240" s="64"/>
      <c r="BF240" s="64"/>
      <c r="BG240" s="64"/>
      <c r="BH240" s="64"/>
      <c r="BI240" s="64"/>
      <c r="BJ240" s="229"/>
    </row>
    <row r="241" spans="2:63" s="227" customFormat="1" ht="14.1" customHeight="1">
      <c r="B241" s="226"/>
      <c r="C241" s="1472" t="str">
        <f>C234</f>
        <v>Laufzeit</v>
      </c>
      <c r="D241" s="1472"/>
      <c r="E241" s="1472"/>
      <c r="F241" s="1472"/>
      <c r="G241" s="1472"/>
      <c r="H241" s="1472"/>
      <c r="I241" s="1472"/>
      <c r="J241" s="1472"/>
      <c r="K241" s="1472"/>
      <c r="L241" s="1472"/>
      <c r="M241" s="1472"/>
      <c r="N241" s="1472"/>
      <c r="O241" s="98"/>
      <c r="P241" s="122" t="s">
        <v>152</v>
      </c>
      <c r="Q241" s="98"/>
      <c r="R241" s="98"/>
      <c r="S241" s="1452"/>
      <c r="T241" s="1452"/>
      <c r="U241" s="1452"/>
      <c r="V241" s="135"/>
      <c r="W241" s="1463"/>
      <c r="X241" s="1463"/>
      <c r="Y241" s="1463"/>
      <c r="Z241" s="228"/>
      <c r="AA241" s="1445">
        <f>AI220</f>
        <v>0</v>
      </c>
      <c r="AB241" s="1463"/>
      <c r="AC241" s="1463"/>
      <c r="AD241" s="64"/>
      <c r="AE241" s="64"/>
      <c r="AF241" s="64"/>
      <c r="AG241" s="64"/>
      <c r="AH241" s="64"/>
      <c r="AI241" s="64"/>
      <c r="AJ241" s="64"/>
      <c r="AK241" s="64"/>
      <c r="AL241" s="64"/>
      <c r="AM241" s="64"/>
      <c r="AN241" s="98"/>
      <c r="AO241" s="98"/>
      <c r="AP241" s="98"/>
      <c r="AQ241" s="1452"/>
      <c r="AR241" s="1452"/>
      <c r="AS241" s="1452"/>
      <c r="AT241" s="135"/>
      <c r="AU241" s="1463"/>
      <c r="AV241" s="1463"/>
      <c r="AW241" s="1463"/>
      <c r="AX241" s="228"/>
      <c r="AY241" s="1445">
        <f>BG220</f>
        <v>0</v>
      </c>
      <c r="AZ241" s="1463"/>
      <c r="BA241" s="1463"/>
      <c r="BB241" s="64"/>
      <c r="BC241" s="64"/>
      <c r="BD241" s="64"/>
      <c r="BE241" s="64"/>
      <c r="BF241" s="64"/>
      <c r="BG241" s="64"/>
      <c r="BH241" s="64"/>
      <c r="BI241" s="64"/>
      <c r="BJ241" s="229"/>
    </row>
    <row r="242" spans="2:63" s="227" customFormat="1" ht="14.1" customHeight="1">
      <c r="B242" s="226"/>
      <c r="C242" s="1472" t="str">
        <f>C235</f>
        <v>Total</v>
      </c>
      <c r="D242" s="1472"/>
      <c r="E242" s="1472"/>
      <c r="F242" s="1472"/>
      <c r="G242" s="1472"/>
      <c r="H242" s="1472"/>
      <c r="I242" s="1472"/>
      <c r="J242" s="1472"/>
      <c r="K242" s="1472"/>
      <c r="L242" s="1472"/>
      <c r="M242" s="1472"/>
      <c r="N242" s="1472"/>
      <c r="O242" s="98"/>
      <c r="P242" s="122" t="s">
        <v>22</v>
      </c>
      <c r="Q242" s="98"/>
      <c r="R242" s="98"/>
      <c r="S242" s="1452"/>
      <c r="T242" s="1452"/>
      <c r="U242" s="1452"/>
      <c r="V242" s="135"/>
      <c r="W242" s="1463"/>
      <c r="X242" s="1463"/>
      <c r="Y242" s="1463"/>
      <c r="Z242" s="228"/>
      <c r="AA242" s="1684">
        <f>IF(AA240*AA241&gt;10000,ROUND(AA240*AA241,-3),ROUND(AA240*AA241,-2))</f>
        <v>0</v>
      </c>
      <c r="AB242" s="1684"/>
      <c r="AC242" s="1684"/>
      <c r="AD242" s="64"/>
      <c r="AE242" s="64"/>
      <c r="AF242" s="64"/>
      <c r="AG242" s="64"/>
      <c r="AH242" s="64"/>
      <c r="AI242" s="64"/>
      <c r="AJ242" s="64"/>
      <c r="AK242" s="64"/>
      <c r="AL242" s="64"/>
      <c r="AM242" s="64"/>
      <c r="AN242" s="98"/>
      <c r="AO242" s="98"/>
      <c r="AP242" s="98"/>
      <c r="AQ242" s="1452"/>
      <c r="AR242" s="1452"/>
      <c r="AS242" s="1452"/>
      <c r="AT242" s="135"/>
      <c r="AU242" s="1463"/>
      <c r="AV242" s="1463"/>
      <c r="AW242" s="1463"/>
      <c r="AX242" s="228"/>
      <c r="AY242" s="1684">
        <f>IF(AY240*AY241&gt;10000,ROUND(AY240*AY241,-3),ROUND(AY240*AY241,-2))</f>
        <v>0</v>
      </c>
      <c r="AZ242" s="1684"/>
      <c r="BA242" s="1684"/>
      <c r="BB242" s="64"/>
      <c r="BC242" s="64"/>
      <c r="BD242" s="64"/>
      <c r="BE242" s="64"/>
      <c r="BF242" s="64"/>
      <c r="BG242" s="64"/>
      <c r="BH242" s="64"/>
      <c r="BI242" s="64"/>
      <c r="BJ242" s="229"/>
    </row>
    <row r="243" spans="2:63">
      <c r="B243" s="147"/>
      <c r="C243" s="477"/>
      <c r="D243" s="52"/>
      <c r="E243" s="52"/>
      <c r="F243" s="52"/>
      <c r="G243" s="52"/>
      <c r="H243" s="52"/>
      <c r="I243" s="52"/>
      <c r="J243" s="52"/>
      <c r="K243" s="52"/>
      <c r="L243" s="52"/>
      <c r="M243" s="52"/>
      <c r="N243" s="52"/>
      <c r="O243" s="52"/>
      <c r="P243" s="55"/>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152"/>
    </row>
    <row r="244" spans="2:63">
      <c r="B244" s="147"/>
      <c r="C244" s="477"/>
      <c r="D244" s="52"/>
      <c r="E244" s="52"/>
      <c r="F244" s="52"/>
      <c r="G244" s="52"/>
      <c r="H244" s="52"/>
      <c r="I244" s="52"/>
      <c r="J244" s="52"/>
      <c r="K244" s="52"/>
      <c r="L244" s="52"/>
      <c r="M244" s="52"/>
      <c r="N244" s="52"/>
      <c r="O244" s="52"/>
      <c r="P244" s="55"/>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152"/>
    </row>
    <row r="245" spans="2:63">
      <c r="B245" s="104"/>
      <c r="C245" s="502"/>
      <c r="D245" s="104"/>
      <c r="E245" s="104"/>
      <c r="F245" s="104"/>
      <c r="G245" s="104"/>
      <c r="H245" s="104"/>
      <c r="I245" s="104"/>
      <c r="J245" s="104"/>
      <c r="K245" s="104"/>
      <c r="L245" s="104"/>
      <c r="M245" s="104"/>
      <c r="N245" s="104"/>
      <c r="O245" s="104"/>
      <c r="P245" s="105"/>
      <c r="Q245" s="104"/>
      <c r="R245" s="104"/>
      <c r="S245" s="104"/>
      <c r="T245" s="104"/>
      <c r="U245" s="104"/>
      <c r="V245" s="104"/>
      <c r="W245" s="104"/>
      <c r="X245" s="104"/>
      <c r="Y245" s="104"/>
      <c r="Z245" s="104"/>
      <c r="AA245" s="104"/>
      <c r="AB245" s="104"/>
      <c r="AC245" s="104"/>
      <c r="AD245" s="104"/>
      <c r="AE245" s="104"/>
      <c r="AF245" s="104"/>
      <c r="AG245" s="104"/>
      <c r="AH245" s="104"/>
      <c r="AI245" s="104"/>
      <c r="AJ245" s="104"/>
      <c r="AK245" s="104"/>
      <c r="AL245" s="104"/>
      <c r="AM245" s="104"/>
      <c r="AN245" s="104"/>
      <c r="AO245" s="104"/>
      <c r="AP245" s="104"/>
      <c r="AQ245" s="104"/>
      <c r="AR245" s="104"/>
      <c r="AS245" s="104"/>
      <c r="AT245" s="104"/>
      <c r="AU245" s="104"/>
      <c r="AV245" s="104"/>
      <c r="AW245" s="104"/>
      <c r="AX245" s="104"/>
      <c r="AY245" s="104"/>
      <c r="AZ245" s="104"/>
      <c r="BA245" s="104"/>
      <c r="BB245" s="104"/>
      <c r="BC245" s="104"/>
      <c r="BD245" s="104"/>
      <c r="BE245" s="104"/>
      <c r="BF245" s="104"/>
      <c r="BG245" s="104"/>
      <c r="BH245" s="104"/>
      <c r="BI245" s="104"/>
      <c r="BJ245" s="104"/>
    </row>
    <row r="246" spans="2:63">
      <c r="B246" s="52"/>
      <c r="C246" s="626"/>
      <c r="D246" s="52"/>
      <c r="E246" s="52"/>
      <c r="F246" s="52"/>
      <c r="G246" s="52"/>
      <c r="H246" s="52"/>
      <c r="I246" s="52"/>
      <c r="J246" s="52"/>
      <c r="K246" s="52"/>
      <c r="L246" s="52"/>
      <c r="M246" s="52"/>
      <c r="N246" s="52"/>
      <c r="O246" s="52"/>
      <c r="P246" s="623"/>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1439" t="str">
        <f>X!C291</f>
        <v>nach oben</v>
      </c>
      <c r="BA246" s="1439"/>
      <c r="BB246" s="1439"/>
      <c r="BC246" s="1439"/>
      <c r="BD246" s="1439"/>
      <c r="BE246" s="1439"/>
      <c r="BF246" s="1439"/>
      <c r="BG246" s="1439"/>
      <c r="BH246" s="627" t="s">
        <v>670</v>
      </c>
      <c r="BI246" s="214"/>
      <c r="BJ246" s="214"/>
    </row>
    <row r="247" spans="2:63" s="52" customFormat="1">
      <c r="C247" s="626"/>
      <c r="P247" s="623"/>
    </row>
    <row r="254" spans="2:63" hidden="1" outlineLevel="1">
      <c r="B254" s="31" t="s">
        <v>179</v>
      </c>
    </row>
    <row r="255" spans="2:63" hidden="1" outlineLevel="1"/>
    <row r="256" spans="2:63" s="28" customFormat="1" ht="23.1" hidden="1" customHeight="1" outlineLevel="1">
      <c r="C256" s="515" t="s">
        <v>276</v>
      </c>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c r="AI256" s="239"/>
      <c r="AJ256" s="239"/>
      <c r="AK256" s="239"/>
      <c r="AL256" s="239"/>
      <c r="AM256" s="239"/>
      <c r="AN256" s="239"/>
      <c r="AO256" s="239"/>
      <c r="AP256" s="239"/>
      <c r="AQ256" s="239"/>
      <c r="AR256" s="239"/>
      <c r="AS256" s="239"/>
      <c r="AT256" s="239"/>
      <c r="AU256" s="239"/>
      <c r="AV256" s="239"/>
      <c r="AW256" s="239"/>
      <c r="AX256" s="239"/>
      <c r="AY256" s="239"/>
      <c r="AZ256" s="239"/>
      <c r="BA256" s="239"/>
      <c r="BB256" s="239"/>
      <c r="BC256" s="239"/>
      <c r="BD256" s="239"/>
      <c r="BE256" s="239"/>
      <c r="BF256" s="239"/>
      <c r="BG256" s="239"/>
      <c r="BH256" s="239"/>
      <c r="BI256" s="239"/>
      <c r="BJ256" s="239"/>
      <c r="BK256" s="239"/>
    </row>
    <row r="257" spans="3:62" ht="16.5" hidden="1" outlineLevel="1">
      <c r="C257" s="5"/>
      <c r="D257" s="1"/>
      <c r="E257" s="1"/>
      <c r="F257" s="1"/>
      <c r="G257" s="1"/>
      <c r="H257" s="1"/>
      <c r="I257" s="1"/>
      <c r="J257" s="1"/>
      <c r="K257" s="1"/>
      <c r="L257" s="1"/>
      <c r="M257" s="1"/>
      <c r="N257" s="1"/>
      <c r="O257" s="1"/>
      <c r="P257" s="1"/>
      <c r="Q257" s="2"/>
      <c r="R257" s="3"/>
      <c r="S257" s="4"/>
      <c r="T257" s="5"/>
      <c r="U257" s="5"/>
      <c r="V257" s="5"/>
      <c r="W257" s="5"/>
      <c r="X257" s="5"/>
      <c r="Y257" s="5"/>
      <c r="Z257" s="1"/>
      <c r="AB257" s="28"/>
    </row>
    <row r="258" spans="3:62" s="28" customFormat="1" ht="15" hidden="1" customHeight="1" outlineLevel="1">
      <c r="C258" s="516" t="s">
        <v>277</v>
      </c>
      <c r="D258" s="15"/>
      <c r="E258" s="15"/>
    </row>
    <row r="259" spans="3:62" s="28" customFormat="1" ht="18.95" hidden="1" customHeight="1" outlineLevel="1">
      <c r="C259" s="549" t="str">
        <f>X!$C$129</f>
        <v>Ja</v>
      </c>
      <c r="D259" s="16"/>
      <c r="E259" s="26"/>
    </row>
    <row r="260" spans="3:62" s="28" customFormat="1" ht="18.95" hidden="1" customHeight="1" outlineLevel="1">
      <c r="C260" s="549" t="str">
        <f>X!$C$188</f>
        <v>Nein</v>
      </c>
      <c r="D260" s="16"/>
      <c r="E260" s="26"/>
    </row>
    <row r="261" spans="3:62" hidden="1" outlineLevel="1"/>
    <row r="262" spans="3:62" hidden="1" outlineLevel="1"/>
    <row r="263" spans="3:62" hidden="1" outlineLevel="1"/>
    <row r="264" spans="3:62" hidden="1" outlineLevel="1"/>
    <row r="265" spans="3:62" ht="18" hidden="1" outlineLevel="1">
      <c r="C265" s="19" t="s">
        <v>247</v>
      </c>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row>
    <row r="266" spans="3:62" ht="16.5" hidden="1" outlineLevel="1">
      <c r="C266" s="5"/>
      <c r="D266" s="1"/>
      <c r="E266" s="2"/>
    </row>
    <row r="267" spans="3:62" hidden="1" outlineLevel="1"/>
    <row r="268" spans="3:62" s="28" customFormat="1" ht="17.100000000000001" hidden="1" customHeight="1" outlineLevel="1">
      <c r="C268" s="302"/>
      <c r="D268" s="302" t="s">
        <v>248</v>
      </c>
      <c r="E268" s="302"/>
      <c r="F268" s="302"/>
      <c r="G268" s="302"/>
      <c r="H268" s="302" t="s">
        <v>249</v>
      </c>
      <c r="I268" s="302"/>
      <c r="J268" s="302"/>
      <c r="K268" s="31"/>
      <c r="L268" s="31"/>
      <c r="M268" s="31"/>
      <c r="N268" s="31"/>
      <c r="O268" s="31"/>
      <c r="Q268" s="31"/>
      <c r="R268" s="31"/>
      <c r="S268" s="265"/>
      <c r="T268" s="265"/>
      <c r="U268" s="265"/>
      <c r="V268" s="52"/>
      <c r="W268" s="265"/>
      <c r="X268" s="265"/>
      <c r="Y268" s="265"/>
      <c r="Z268" s="52"/>
      <c r="AA268" s="265"/>
      <c r="AB268" s="265"/>
      <c r="AC268" s="265"/>
      <c r="AD268" s="31"/>
      <c r="AE268" s="265"/>
      <c r="AF268" s="265"/>
      <c r="AG268" s="265"/>
      <c r="AH268" s="31"/>
      <c r="AI268" s="265"/>
      <c r="AJ268" s="265"/>
      <c r="AK268" s="265"/>
      <c r="AL268" s="463"/>
      <c r="AM268" s="242"/>
      <c r="AN268" s="242"/>
      <c r="AO268" s="242"/>
      <c r="AP268" s="242"/>
      <c r="AQ268" s="265"/>
      <c r="AR268" s="265"/>
      <c r="AS268" s="265"/>
      <c r="AT268" s="52"/>
      <c r="AU268" s="265"/>
      <c r="AV268" s="265"/>
      <c r="AW268" s="265"/>
      <c r="AX268" s="52"/>
      <c r="AY268" s="265"/>
      <c r="AZ268" s="265"/>
      <c r="BA268" s="265"/>
      <c r="BB268" s="31"/>
      <c r="BC268" s="265"/>
      <c r="BD268" s="265"/>
      <c r="BE268" s="265"/>
      <c r="BF268" s="31"/>
      <c r="BG268" s="265"/>
      <c r="BH268" s="265"/>
      <c r="BI268" s="265"/>
    </row>
    <row r="269" spans="3:62" s="209" customFormat="1" ht="41.1" hidden="1" customHeight="1" outlineLevel="1">
      <c r="C269" s="522"/>
      <c r="D269" s="1549">
        <v>-0.05</v>
      </c>
      <c r="E269" s="1549"/>
      <c r="F269" s="1549"/>
      <c r="G269" s="303"/>
      <c r="H269" s="1549">
        <f>D270</f>
        <v>-0.2</v>
      </c>
      <c r="I269" s="1549"/>
      <c r="J269" s="1549"/>
      <c r="K269" s="304"/>
      <c r="L269" s="304"/>
      <c r="M269" s="304"/>
      <c r="N269" s="304"/>
      <c r="O269" s="304"/>
      <c r="P269" s="304"/>
      <c r="Q269" s="304"/>
      <c r="R269" s="304"/>
      <c r="S269" s="1562" t="str">
        <f>X!$C$279</f>
        <v xml:space="preserve">Der Planer hat weniger Vollbetriebsstunden eingerechnet, als dass die Standard-Werte für diese Anwendung vorgeben. Dadurch wird der abgeschätzte Energieverbrauch tiefer. </v>
      </c>
      <c r="T269" s="1563"/>
      <c r="U269" s="1563"/>
      <c r="V269" s="1563"/>
      <c r="W269" s="1563"/>
      <c r="X269" s="1563"/>
      <c r="Y269" s="1563"/>
      <c r="Z269" s="1563"/>
      <c r="AA269" s="1563"/>
      <c r="AB269" s="1563"/>
      <c r="AC269" s="1563"/>
      <c r="AD269" s="1563"/>
      <c r="AE269" s="1563"/>
      <c r="AF269" s="1563"/>
      <c r="AG269" s="1563"/>
      <c r="AH269" s="1563"/>
      <c r="AI269" s="1563"/>
      <c r="AJ269" s="1563"/>
      <c r="AK269" s="1563"/>
      <c r="AL269" s="470"/>
      <c r="AM269" s="305"/>
      <c r="AN269" s="305"/>
      <c r="AO269" s="305"/>
      <c r="AP269" s="305"/>
      <c r="AQ269" s="1562" t="str">
        <f>X!$C$281</f>
        <v>Klären Sie mit dem Planer, warum er diese Vollbetriebsstunden gewählt hat.</v>
      </c>
      <c r="AR269" s="1563"/>
      <c r="AS269" s="1563"/>
      <c r="AT269" s="1563"/>
      <c r="AU269" s="1563"/>
      <c r="AV269" s="1563"/>
      <c r="AW269" s="1563"/>
      <c r="AX269" s="1563"/>
      <c r="AY269" s="1563"/>
      <c r="AZ269" s="1563"/>
      <c r="BA269" s="1563"/>
      <c r="BB269" s="1563"/>
      <c r="BC269" s="1563"/>
      <c r="BD269" s="1563"/>
      <c r="BE269" s="1563"/>
      <c r="BF269" s="1563"/>
      <c r="BG269" s="1563"/>
      <c r="BH269" s="1563"/>
      <c r="BI269" s="1563"/>
    </row>
    <row r="270" spans="3:62" s="209" customFormat="1" ht="45" hidden="1" customHeight="1" outlineLevel="1">
      <c r="C270" s="522"/>
      <c r="D270" s="1549">
        <v>-0.2</v>
      </c>
      <c r="E270" s="1549"/>
      <c r="F270" s="1549"/>
      <c r="G270" s="303"/>
      <c r="H270" s="1549"/>
      <c r="I270" s="1549"/>
      <c r="J270" s="1549"/>
      <c r="K270" s="304"/>
      <c r="L270" s="304"/>
      <c r="M270" s="304"/>
      <c r="N270" s="304"/>
      <c r="O270" s="304"/>
      <c r="P270" s="304"/>
      <c r="Q270" s="304"/>
      <c r="R270" s="304"/>
      <c r="S270" s="1562" t="str">
        <f>X!$C$280</f>
        <v>Der Planer hat erheblich weniger Vollbetriebsstunden eingerechnet, als dass die Standard-Werte für diese Anwendung vorgeben. Dadurch wird der abgeschätzte Energieverbrauch tiefer.</v>
      </c>
      <c r="T270" s="1563"/>
      <c r="U270" s="1563"/>
      <c r="V270" s="1563"/>
      <c r="W270" s="1563"/>
      <c r="X270" s="1563"/>
      <c r="Y270" s="1563"/>
      <c r="Z270" s="1563"/>
      <c r="AA270" s="1563"/>
      <c r="AB270" s="1563"/>
      <c r="AC270" s="1563"/>
      <c r="AD270" s="1563"/>
      <c r="AE270" s="1563"/>
      <c r="AF270" s="1563"/>
      <c r="AG270" s="1563"/>
      <c r="AH270" s="1563"/>
      <c r="AI270" s="1563"/>
      <c r="AJ270" s="1563"/>
      <c r="AK270" s="1563"/>
      <c r="AL270" s="470"/>
      <c r="AM270" s="305"/>
      <c r="AN270" s="305"/>
      <c r="AO270" s="305"/>
      <c r="AP270" s="305"/>
      <c r="AQ270" s="1562" t="str">
        <f>X!$C$281</f>
        <v>Klären Sie mit dem Planer, warum er diese Vollbetriebsstunden gewählt hat.</v>
      </c>
      <c r="AR270" s="1563"/>
      <c r="AS270" s="1563"/>
      <c r="AT270" s="1563"/>
      <c r="AU270" s="1563"/>
      <c r="AV270" s="1563"/>
      <c r="AW270" s="1563"/>
      <c r="AX270" s="1563"/>
      <c r="AY270" s="1563"/>
      <c r="AZ270" s="1563"/>
      <c r="BA270" s="1563"/>
      <c r="BB270" s="1563"/>
      <c r="BC270" s="1563"/>
      <c r="BD270" s="1563"/>
      <c r="BE270" s="1563"/>
      <c r="BF270" s="1563"/>
      <c r="BG270" s="1563"/>
      <c r="BH270" s="1563"/>
      <c r="BI270" s="1563"/>
    </row>
    <row r="271" spans="3:62" hidden="1" outlineLevel="1"/>
    <row r="272" spans="3:62" hidden="1" outlineLevel="1"/>
    <row r="273" spans="3:63" hidden="1" outlineLevel="1"/>
    <row r="274" spans="3:63" hidden="1" outlineLevel="1"/>
    <row r="275" spans="3:63" s="28" customFormat="1" ht="23.1" hidden="1" customHeight="1" outlineLevel="1">
      <c r="C275" s="515" t="s">
        <v>156</v>
      </c>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c r="AL275" s="239"/>
      <c r="AM275" s="239"/>
      <c r="AN275" s="239"/>
      <c r="AO275" s="239"/>
      <c r="AP275" s="239"/>
      <c r="AQ275" s="239"/>
      <c r="AR275" s="239"/>
      <c r="AS275" s="239"/>
      <c r="AT275" s="239"/>
      <c r="AU275" s="239"/>
      <c r="AV275" s="239"/>
      <c r="AW275" s="239"/>
      <c r="AX275" s="239"/>
      <c r="AY275" s="239"/>
      <c r="AZ275" s="239"/>
      <c r="BA275" s="239"/>
      <c r="BB275" s="239"/>
      <c r="BC275" s="239"/>
      <c r="BD275" s="239"/>
      <c r="BE275" s="239"/>
      <c r="BF275" s="239"/>
      <c r="BG275" s="239"/>
      <c r="BH275" s="239"/>
      <c r="BI275" s="239"/>
      <c r="BJ275" s="239"/>
      <c r="BK275" s="239"/>
    </row>
    <row r="276" spans="3:63" hidden="1" outlineLevel="1"/>
    <row r="277" spans="3:63" hidden="1" outlineLevel="1">
      <c r="U277" s="1571" t="s">
        <v>117</v>
      </c>
      <c r="V277" s="1571"/>
      <c r="W277" s="1571"/>
      <c r="Y277" s="1652" t="s">
        <v>120</v>
      </c>
      <c r="Z277" s="1652"/>
      <c r="AA277" s="1652"/>
      <c r="AC277" s="1479" t="s">
        <v>121</v>
      </c>
      <c r="AD277" s="1479"/>
      <c r="AE277" s="1479"/>
      <c r="AG277" s="1479" t="s">
        <v>122</v>
      </c>
      <c r="AH277" s="1479"/>
      <c r="AI277" s="1479"/>
      <c r="AK277" s="1479" t="s">
        <v>124</v>
      </c>
      <c r="AL277" s="1479"/>
      <c r="AM277" s="1479"/>
      <c r="AN277" s="1479"/>
      <c r="AO277" s="443"/>
      <c r="AS277" s="1571" t="s">
        <v>117</v>
      </c>
      <c r="AT277" s="1571"/>
      <c r="AU277" s="1571"/>
      <c r="AW277" s="1652" t="s">
        <v>120</v>
      </c>
      <c r="AX277" s="1652"/>
      <c r="AY277" s="1652"/>
      <c r="BA277" s="1479" t="s">
        <v>121</v>
      </c>
      <c r="BB277" s="1479"/>
      <c r="BC277" s="1479"/>
      <c r="BE277" s="1479" t="s">
        <v>122</v>
      </c>
      <c r="BF277" s="1479"/>
      <c r="BG277" s="1479"/>
      <c r="BI277" s="1479" t="s">
        <v>124</v>
      </c>
      <c r="BJ277" s="1479"/>
      <c r="BK277" s="1479"/>
    </row>
    <row r="278" spans="3:63" hidden="1" outlineLevel="1"/>
    <row r="279" spans="3:63" ht="17.100000000000001" hidden="1" customHeight="1" outlineLevel="1">
      <c r="C279" s="499"/>
      <c r="D279" s="74"/>
      <c r="E279" s="74"/>
      <c r="F279" s="74"/>
      <c r="G279" s="74"/>
      <c r="H279" s="74"/>
      <c r="I279" s="74"/>
      <c r="J279" s="74"/>
      <c r="K279" s="74"/>
      <c r="L279" s="74"/>
      <c r="M279" s="74"/>
      <c r="N279" s="74"/>
      <c r="O279" s="74"/>
      <c r="P279" s="74"/>
      <c r="Q279" s="74"/>
      <c r="R279" s="74"/>
      <c r="S279" s="74"/>
      <c r="T279" s="74"/>
      <c r="U279" s="74"/>
      <c r="V279" s="74"/>
      <c r="W279" s="74"/>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c r="BA279" s="75"/>
      <c r="BB279" s="75"/>
      <c r="BC279" s="75"/>
      <c r="BD279" s="75"/>
      <c r="BE279" s="75"/>
      <c r="BF279" s="75"/>
      <c r="BG279" s="75"/>
    </row>
    <row r="280" spans="3:63" s="28" customFormat="1" ht="17.100000000000001" hidden="1" customHeight="1" outlineLevel="1">
      <c r="C280" s="518" t="str">
        <f>D64</f>
        <v xml:space="preserve">Pumpen im Rückkühlkreis </v>
      </c>
      <c r="D280" s="241"/>
      <c r="E280" s="241"/>
      <c r="F280" s="241"/>
      <c r="G280" s="241"/>
      <c r="H280" s="241"/>
      <c r="I280" s="241"/>
      <c r="J280" s="241"/>
      <c r="K280" s="241"/>
      <c r="L280" s="241"/>
      <c r="M280" s="241"/>
      <c r="N280" s="241"/>
      <c r="O280" s="241"/>
      <c r="P280" s="241"/>
      <c r="Q280" s="241"/>
      <c r="R280" s="241"/>
      <c r="S280" s="241"/>
      <c r="T280" s="241"/>
      <c r="U280" s="1446" t="s">
        <v>117</v>
      </c>
      <c r="V280" s="1446"/>
      <c r="W280" s="1446"/>
      <c r="X280" s="55"/>
      <c r="Y280" s="1446" t="s">
        <v>120</v>
      </c>
      <c r="Z280" s="1446"/>
      <c r="AA280" s="1446"/>
      <c r="AB280" s="55"/>
      <c r="AC280" s="1446" t="s">
        <v>121</v>
      </c>
      <c r="AD280" s="1446"/>
      <c r="AE280" s="1446"/>
      <c r="AF280" s="55"/>
      <c r="AG280" s="1446" t="s">
        <v>122</v>
      </c>
      <c r="AH280" s="1446"/>
      <c r="AI280" s="1446"/>
      <c r="AJ280" s="242"/>
      <c r="AK280" s="242"/>
      <c r="AL280" s="242"/>
      <c r="AM280" s="242"/>
      <c r="AN280" s="242"/>
      <c r="AO280" s="242"/>
      <c r="AP280" s="242"/>
      <c r="AQ280" s="242"/>
      <c r="AR280" s="242"/>
      <c r="AS280" s="1446" t="s">
        <v>117</v>
      </c>
      <c r="AT280" s="1446"/>
      <c r="AU280" s="1446"/>
      <c r="AV280" s="55"/>
      <c r="AW280" s="1446" t="s">
        <v>120</v>
      </c>
      <c r="AX280" s="1446"/>
      <c r="AY280" s="1446"/>
      <c r="AZ280" s="55"/>
      <c r="BA280" s="1446" t="s">
        <v>121</v>
      </c>
      <c r="BB280" s="1446"/>
      <c r="BC280" s="1446"/>
      <c r="BD280" s="55"/>
      <c r="BE280" s="1446" t="s">
        <v>122</v>
      </c>
      <c r="BF280" s="1446"/>
      <c r="BG280" s="1446"/>
      <c r="BH280" s="242"/>
      <c r="BI280" s="242"/>
      <c r="BJ280" s="242"/>
      <c r="BK280" s="242"/>
    </row>
    <row r="281" spans="3:63" s="28" customFormat="1" ht="17.100000000000001" hidden="1" customHeight="1" outlineLevel="1">
      <c r="C281" s="489"/>
      <c r="D281" s="550" t="str">
        <f>X!$C$82</f>
        <v>ein/aus</v>
      </c>
      <c r="E281" s="241"/>
      <c r="F281" s="241"/>
      <c r="G281" s="241"/>
      <c r="H281" s="241"/>
      <c r="I281" s="241"/>
      <c r="J281" s="241"/>
      <c r="K281" s="241"/>
      <c r="L281" s="241"/>
      <c r="M281" s="241"/>
      <c r="N281" s="241"/>
      <c r="O281" s="241"/>
      <c r="P281" s="241"/>
      <c r="Q281" s="241"/>
      <c r="R281" s="241"/>
      <c r="S281" s="241"/>
      <c r="T281" s="241"/>
      <c r="U281" s="1446">
        <v>0</v>
      </c>
      <c r="V281" s="1446"/>
      <c r="W281" s="1446"/>
      <c r="X281" s="55"/>
      <c r="Y281" s="1446">
        <v>0</v>
      </c>
      <c r="Z281" s="1446"/>
      <c r="AA281" s="1446"/>
      <c r="AB281" s="55"/>
      <c r="AC281" s="1446">
        <v>0</v>
      </c>
      <c r="AD281" s="1446"/>
      <c r="AE281" s="1446"/>
      <c r="AF281" s="55"/>
      <c r="AG281" s="1446">
        <v>0</v>
      </c>
      <c r="AH281" s="1446"/>
      <c r="AI281" s="1446"/>
      <c r="AJ281" s="242"/>
      <c r="AK281" s="242"/>
      <c r="AL281" s="242"/>
      <c r="AM281" s="242"/>
      <c r="AN281" s="242"/>
      <c r="AO281" s="242"/>
      <c r="AP281" s="242"/>
      <c r="AQ281" s="242"/>
      <c r="AR281" s="242"/>
      <c r="AS281" s="1446">
        <f>U281</f>
        <v>0</v>
      </c>
      <c r="AT281" s="1446"/>
      <c r="AU281" s="1446"/>
      <c r="AV281" s="55"/>
      <c r="AW281" s="1446">
        <f>Y281</f>
        <v>0</v>
      </c>
      <c r="AX281" s="1446"/>
      <c r="AY281" s="1446"/>
      <c r="AZ281" s="55"/>
      <c r="BA281" s="1446">
        <f>AC281</f>
        <v>0</v>
      </c>
      <c r="BB281" s="1446"/>
      <c r="BC281" s="1446"/>
      <c r="BD281" s="55"/>
      <c r="BE281" s="1446">
        <f>AG281</f>
        <v>0</v>
      </c>
      <c r="BF281" s="1446"/>
      <c r="BG281" s="1446"/>
      <c r="BH281" s="242"/>
      <c r="BI281" s="242"/>
      <c r="BJ281" s="242"/>
      <c r="BK281" s="242"/>
    </row>
    <row r="282" spans="3:63" s="28" customFormat="1" ht="17.100000000000001" hidden="1" customHeight="1" outlineLevel="1">
      <c r="C282" s="489"/>
      <c r="D282" s="550" t="str">
        <f>X!$C$42</f>
        <v>bedarfsgerechte Ansteuerung (FU)</v>
      </c>
      <c r="E282" s="241"/>
      <c r="F282" s="241"/>
      <c r="G282" s="241"/>
      <c r="H282" s="241"/>
      <c r="I282" s="241"/>
      <c r="J282" s="241"/>
      <c r="K282" s="241"/>
      <c r="L282" s="241"/>
      <c r="M282" s="241"/>
      <c r="N282" s="241"/>
      <c r="O282" s="241"/>
      <c r="P282" s="241"/>
      <c r="Q282" s="241"/>
      <c r="R282" s="241"/>
      <c r="S282" s="241"/>
      <c r="T282" s="241"/>
      <c r="U282" s="1446">
        <v>0.3</v>
      </c>
      <c r="V282" s="1446"/>
      <c r="W282" s="1446"/>
      <c r="X282" s="55"/>
      <c r="Y282" s="1446">
        <v>0</v>
      </c>
      <c r="Z282" s="1446"/>
      <c r="AA282" s="1446"/>
      <c r="AB282" s="55"/>
      <c r="AC282" s="1446">
        <v>0.3</v>
      </c>
      <c r="AD282" s="1446"/>
      <c r="AE282" s="1446"/>
      <c r="AF282" s="55"/>
      <c r="AG282" s="1446">
        <v>0.5</v>
      </c>
      <c r="AH282" s="1446"/>
      <c r="AI282" s="1446"/>
      <c r="AJ282" s="242"/>
      <c r="AK282" s="242"/>
      <c r="AL282" s="242"/>
      <c r="AM282" s="242"/>
      <c r="AN282" s="242"/>
      <c r="AO282" s="242"/>
      <c r="AP282" s="242"/>
      <c r="AQ282" s="242"/>
      <c r="AR282" s="242"/>
      <c r="AS282" s="1446">
        <f>U282</f>
        <v>0.3</v>
      </c>
      <c r="AT282" s="1446"/>
      <c r="AU282" s="1446"/>
      <c r="AV282" s="55"/>
      <c r="AW282" s="1446">
        <f>Y282</f>
        <v>0</v>
      </c>
      <c r="AX282" s="1446"/>
      <c r="AY282" s="1446"/>
      <c r="AZ282" s="55"/>
      <c r="BA282" s="1446">
        <f>AC282</f>
        <v>0.3</v>
      </c>
      <c r="BB282" s="1446"/>
      <c r="BC282" s="1446"/>
      <c r="BD282" s="55"/>
      <c r="BE282" s="1446">
        <f>AG282</f>
        <v>0.5</v>
      </c>
      <c r="BF282" s="1446"/>
      <c r="BG282" s="1446"/>
      <c r="BH282" s="242"/>
      <c r="BI282" s="242"/>
      <c r="BJ282" s="242"/>
      <c r="BK282" s="242"/>
    </row>
    <row r="283" spans="3:63" s="28" customFormat="1" ht="17.100000000000001" hidden="1" customHeight="1" outlineLevel="1">
      <c r="C283" s="489"/>
      <c r="D283" s="241"/>
      <c r="E283" s="241"/>
      <c r="F283" s="241"/>
      <c r="G283" s="241"/>
      <c r="H283" s="241"/>
      <c r="I283" s="241"/>
      <c r="J283" s="241"/>
      <c r="K283" s="241"/>
      <c r="L283" s="241"/>
      <c r="M283" s="241"/>
      <c r="N283" s="241"/>
      <c r="O283" s="241"/>
      <c r="P283" s="241"/>
      <c r="Q283" s="241"/>
      <c r="R283" s="241"/>
      <c r="S283" s="241"/>
      <c r="T283" s="241"/>
      <c r="U283" s="243"/>
      <c r="V283" s="243"/>
      <c r="W283" s="243"/>
      <c r="X283" s="55"/>
      <c r="Y283" s="243"/>
      <c r="Z283" s="243"/>
      <c r="AA283" s="243"/>
      <c r="AB283" s="55"/>
      <c r="AC283" s="243"/>
      <c r="AD283" s="243"/>
      <c r="AE283" s="243"/>
      <c r="AF283" s="55"/>
      <c r="AG283" s="243"/>
      <c r="AH283" s="243"/>
      <c r="AI283" s="243"/>
      <c r="AJ283" s="242"/>
      <c r="AK283" s="242"/>
      <c r="AL283" s="242"/>
      <c r="AM283" s="242"/>
      <c r="AN283" s="242"/>
      <c r="AO283" s="242"/>
      <c r="AP283" s="55"/>
      <c r="AQ283" s="55"/>
      <c r="AR283" s="55"/>
      <c r="AS283" s="243"/>
      <c r="AT283" s="243"/>
      <c r="AU283" s="243"/>
      <c r="AV283" s="55"/>
      <c r="AW283" s="243"/>
      <c r="AX283" s="243"/>
      <c r="AY283" s="243"/>
      <c r="AZ283" s="55"/>
      <c r="BA283" s="243"/>
      <c r="BB283" s="243"/>
      <c r="BC283" s="243"/>
      <c r="BD283" s="55"/>
      <c r="BE283" s="243"/>
      <c r="BF283" s="243"/>
      <c r="BG283" s="243"/>
      <c r="BH283" s="242"/>
      <c r="BI283" s="242"/>
      <c r="BJ283" s="242"/>
      <c r="BK283" s="242"/>
    </row>
    <row r="284" spans="3:63" s="28" customFormat="1" ht="17.100000000000001" hidden="1" customHeight="1" outlineLevel="1">
      <c r="C284" s="489"/>
      <c r="D284" s="244" t="s">
        <v>143</v>
      </c>
      <c r="E284" s="241"/>
      <c r="F284" s="241"/>
      <c r="G284" s="241"/>
      <c r="H284" s="241"/>
      <c r="I284" s="241"/>
      <c r="J284" s="241"/>
      <c r="K284" s="241"/>
      <c r="L284" s="241"/>
      <c r="M284" s="241"/>
      <c r="N284" s="241"/>
      <c r="O284" s="241"/>
      <c r="P284" s="241"/>
      <c r="Q284" s="241"/>
      <c r="R284" s="241"/>
      <c r="S284" s="241"/>
      <c r="T284" s="241"/>
      <c r="U284" s="1530">
        <f>W64</f>
        <v>0</v>
      </c>
      <c r="V284" s="1530"/>
      <c r="W284" s="1530"/>
      <c r="X284" s="1530"/>
      <c r="Y284" s="1530"/>
      <c r="Z284" s="1530"/>
      <c r="AA284" s="1530"/>
      <c r="AB284" s="1530"/>
      <c r="AC284" s="1530"/>
      <c r="AD284" s="1530"/>
      <c r="AE284" s="1530"/>
      <c r="AF284" s="1530"/>
      <c r="AG284" s="1530"/>
      <c r="AH284" s="1530"/>
      <c r="AI284" s="1530"/>
      <c r="AJ284" s="242"/>
      <c r="AK284" s="242"/>
      <c r="AL284" s="242"/>
      <c r="AM284" s="242"/>
      <c r="AN284" s="242"/>
      <c r="AO284" s="242"/>
      <c r="AP284" s="242"/>
      <c r="AQ284" s="242"/>
      <c r="AR284" s="242"/>
      <c r="AS284" s="1530">
        <f>AU64</f>
        <v>0</v>
      </c>
      <c r="AT284" s="1530"/>
      <c r="AU284" s="1530"/>
      <c r="AV284" s="1530"/>
      <c r="AW284" s="1530"/>
      <c r="AX284" s="1530"/>
      <c r="AY284" s="1530"/>
      <c r="AZ284" s="1530"/>
      <c r="BA284" s="1530"/>
      <c r="BB284" s="1530"/>
      <c r="BC284" s="1530"/>
      <c r="BD284" s="1530"/>
      <c r="BE284" s="1530"/>
      <c r="BF284" s="1530"/>
      <c r="BG284" s="1530"/>
      <c r="BH284" s="242"/>
      <c r="BI284" s="242"/>
      <c r="BJ284" s="242"/>
      <c r="BK284" s="242"/>
    </row>
    <row r="285" spans="3:63" s="155" customFormat="1" ht="17.100000000000001" hidden="1" customHeight="1" outlineLevel="1">
      <c r="C285" s="489"/>
      <c r="D285" s="227" t="s">
        <v>153</v>
      </c>
      <c r="N285" s="240"/>
      <c r="O285" s="240"/>
      <c r="P285" s="240"/>
      <c r="Q285" s="240"/>
      <c r="R285" s="240"/>
      <c r="S285" s="240"/>
      <c r="T285" s="240"/>
      <c r="U285" s="1531">
        <f>IF($D282=$U284,U282,U281)</f>
        <v>0</v>
      </c>
      <c r="V285" s="1531"/>
      <c r="W285" s="1531"/>
      <c r="X285" s="55"/>
      <c r="Y285" s="1531">
        <f>IF($D282=$U284,Y282,Y281)</f>
        <v>0</v>
      </c>
      <c r="Z285" s="1531"/>
      <c r="AA285" s="1531"/>
      <c r="AB285" s="55"/>
      <c r="AC285" s="1531">
        <f>IF($D282=$U284,AC282,AC281)</f>
        <v>0</v>
      </c>
      <c r="AD285" s="1531"/>
      <c r="AE285" s="1531"/>
      <c r="AF285" s="55"/>
      <c r="AG285" s="1531">
        <f>IF($D282=$U284,AG282,AG281)</f>
        <v>0</v>
      </c>
      <c r="AH285" s="1531"/>
      <c r="AI285" s="1531"/>
      <c r="AJ285" s="242"/>
      <c r="AK285" s="1532">
        <f>IF(AK286=0,0,1-AK287/AK286)</f>
        <v>0</v>
      </c>
      <c r="AL285" s="1532"/>
      <c r="AM285" s="1532"/>
      <c r="AN285" s="1532"/>
      <c r="AO285" s="449"/>
      <c r="AP285" s="242"/>
      <c r="AQ285" s="242"/>
      <c r="AR285" s="242"/>
      <c r="AS285" s="1531">
        <f>IF($D282=$AS284,AS282,AS281)</f>
        <v>0</v>
      </c>
      <c r="AT285" s="1531"/>
      <c r="AU285" s="1531"/>
      <c r="AV285" s="55"/>
      <c r="AW285" s="1531">
        <f>IF($D282=$AS284,AW282,AW281)</f>
        <v>0</v>
      </c>
      <c r="AX285" s="1531"/>
      <c r="AY285" s="1531"/>
      <c r="AZ285" s="55"/>
      <c r="BA285" s="1531">
        <f>IF($D282=$AS284,BA282,BA281)</f>
        <v>0</v>
      </c>
      <c r="BB285" s="1531"/>
      <c r="BC285" s="1531"/>
      <c r="BD285" s="55"/>
      <c r="BE285" s="1531">
        <f>IF($D282=$AS284,BE282,BE281)</f>
        <v>0</v>
      </c>
      <c r="BF285" s="1531"/>
      <c r="BG285" s="1531"/>
      <c r="BH285" s="242"/>
      <c r="BI285" s="1532">
        <f>IF(BI286=0,0,1-BI287/BI286)</f>
        <v>0</v>
      </c>
      <c r="BJ285" s="1532"/>
      <c r="BK285" s="1532"/>
    </row>
    <row r="286" spans="3:63" s="28" customFormat="1" ht="17.100000000000001" hidden="1" customHeight="1" outlineLevel="1">
      <c r="C286" s="489"/>
      <c r="D286" s="241" t="s">
        <v>154</v>
      </c>
      <c r="E286" s="241"/>
      <c r="F286" s="241"/>
      <c r="G286" s="241"/>
      <c r="H286" s="241"/>
      <c r="I286" s="241"/>
      <c r="J286" s="241"/>
      <c r="K286" s="241"/>
      <c r="L286" s="241"/>
      <c r="M286" s="241"/>
      <c r="N286" s="241"/>
      <c r="O286" s="241"/>
      <c r="P286" s="241" t="s">
        <v>118</v>
      </c>
      <c r="Q286" s="241"/>
      <c r="R286" s="241"/>
      <c r="S286" s="241"/>
      <c r="T286" s="241"/>
      <c r="U286" s="1488">
        <f>S101</f>
        <v>0</v>
      </c>
      <c r="V286" s="1488"/>
      <c r="W286" s="1488"/>
      <c r="X286" s="55"/>
      <c r="Y286" s="1488">
        <f>W101</f>
        <v>0</v>
      </c>
      <c r="Z286" s="1488"/>
      <c r="AA286" s="1488"/>
      <c r="AB286" s="55"/>
      <c r="AC286" s="1488">
        <f>AA101</f>
        <v>0</v>
      </c>
      <c r="AD286" s="1488"/>
      <c r="AE286" s="1488"/>
      <c r="AF286" s="55"/>
      <c r="AG286" s="1488">
        <f>AE101</f>
        <v>0</v>
      </c>
      <c r="AH286" s="1488"/>
      <c r="AI286" s="1488"/>
      <c r="AJ286" s="242"/>
      <c r="AK286" s="1488">
        <f>SUM(U286:AI286)</f>
        <v>0</v>
      </c>
      <c r="AL286" s="1488"/>
      <c r="AM286" s="1488"/>
      <c r="AN286" s="1488"/>
      <c r="AO286" s="444"/>
      <c r="AP286" s="242"/>
      <c r="AQ286" s="242"/>
      <c r="AR286" s="242"/>
      <c r="AS286" s="1488">
        <f>AQ101</f>
        <v>0</v>
      </c>
      <c r="AT286" s="1488"/>
      <c r="AU286" s="1488"/>
      <c r="AV286" s="55"/>
      <c r="AW286" s="1488">
        <f>AU101</f>
        <v>0</v>
      </c>
      <c r="AX286" s="1488"/>
      <c r="AY286" s="1488"/>
      <c r="AZ286" s="55"/>
      <c r="BA286" s="1488">
        <f>AY101</f>
        <v>0</v>
      </c>
      <c r="BB286" s="1488"/>
      <c r="BC286" s="1488"/>
      <c r="BD286" s="55"/>
      <c r="BE286" s="1488">
        <f>BC101</f>
        <v>0</v>
      </c>
      <c r="BF286" s="1488"/>
      <c r="BG286" s="1488"/>
      <c r="BH286" s="242"/>
      <c r="BI286" s="1488">
        <f>SUM(AS286:BG286)</f>
        <v>0</v>
      </c>
      <c r="BJ286" s="1488"/>
      <c r="BK286" s="1488"/>
    </row>
    <row r="287" spans="3:63" s="155" customFormat="1" ht="17.100000000000001" hidden="1" customHeight="1" outlineLevel="1">
      <c r="C287" s="489"/>
      <c r="D287" s="241" t="s">
        <v>155</v>
      </c>
      <c r="E287" s="241"/>
      <c r="F287" s="241"/>
      <c r="G287" s="241"/>
      <c r="H287" s="241"/>
      <c r="I287" s="241"/>
      <c r="J287" s="241"/>
      <c r="K287" s="241"/>
      <c r="L287" s="241"/>
      <c r="M287" s="241"/>
      <c r="N287" s="240"/>
      <c r="O287" s="240"/>
      <c r="P287" s="241" t="s">
        <v>118</v>
      </c>
      <c r="Q287" s="240"/>
      <c r="R287" s="240"/>
      <c r="S287" s="240"/>
      <c r="T287" s="240"/>
      <c r="U287" s="1489">
        <f>U286-U285*U286</f>
        <v>0</v>
      </c>
      <c r="V287" s="1489"/>
      <c r="W287" s="1489"/>
      <c r="X287" s="245"/>
      <c r="Y287" s="1489">
        <f>Y286-Y285*Y286</f>
        <v>0</v>
      </c>
      <c r="Z287" s="1489"/>
      <c r="AA287" s="1489"/>
      <c r="AB287" s="245"/>
      <c r="AC287" s="1489">
        <f>AC286-AC285*AC286</f>
        <v>0</v>
      </c>
      <c r="AD287" s="1489"/>
      <c r="AE287" s="1489"/>
      <c r="AF287" s="245"/>
      <c r="AG287" s="1489">
        <f>AG286-AG285*AG286</f>
        <v>0</v>
      </c>
      <c r="AH287" s="1489"/>
      <c r="AI287" s="1489"/>
      <c r="AJ287" s="61"/>
      <c r="AK287" s="1489">
        <f>SUM(U287:AI287)</f>
        <v>0</v>
      </c>
      <c r="AL287" s="1489"/>
      <c r="AM287" s="1489"/>
      <c r="AN287" s="1489"/>
      <c r="AO287" s="175"/>
      <c r="AP287" s="156"/>
      <c r="AQ287" s="242"/>
      <c r="AR287" s="242"/>
      <c r="AS287" s="1490">
        <f>AS286-AS285*AS286</f>
        <v>0</v>
      </c>
      <c r="AT287" s="1490"/>
      <c r="AU287" s="1490"/>
      <c r="AV287" s="246"/>
      <c r="AW287" s="1490">
        <f>AW286-AW285*AW286</f>
        <v>0</v>
      </c>
      <c r="AX287" s="1490"/>
      <c r="AY287" s="1490"/>
      <c r="AZ287" s="246"/>
      <c r="BA287" s="1490">
        <f>BA286-BA285*BA286</f>
        <v>0</v>
      </c>
      <c r="BB287" s="1490"/>
      <c r="BC287" s="1490"/>
      <c r="BD287" s="246"/>
      <c r="BE287" s="1490">
        <f>BE286-BE285*BE286</f>
        <v>0</v>
      </c>
      <c r="BF287" s="1490"/>
      <c r="BG287" s="1490"/>
      <c r="BH287" s="156"/>
      <c r="BI287" s="1490">
        <f>SUM(AS287:BG287)</f>
        <v>0</v>
      </c>
      <c r="BJ287" s="1490"/>
      <c r="BK287" s="1490"/>
    </row>
    <row r="288" spans="3:63" s="155" customFormat="1" ht="17.100000000000001" hidden="1" customHeight="1" outlineLevel="1">
      <c r="C288" s="491"/>
      <c r="P288" s="156"/>
      <c r="Q288" s="156"/>
      <c r="R288" s="156"/>
      <c r="S288" s="156"/>
      <c r="T288" s="156"/>
      <c r="U288" s="156"/>
      <c r="V288" s="156"/>
      <c r="W288" s="156"/>
      <c r="X288" s="156"/>
      <c r="Y288" s="156"/>
      <c r="Z288" s="156"/>
      <c r="AA288" s="247"/>
      <c r="AB288" s="247"/>
      <c r="AC288" s="247"/>
      <c r="AD288" s="247"/>
      <c r="AE288" s="247"/>
      <c r="AP288" s="248"/>
      <c r="AQ288" s="248"/>
      <c r="AR288" s="248"/>
      <c r="AS288" s="248"/>
      <c r="AT288" s="248"/>
      <c r="AU288" s="156"/>
      <c r="BA288" s="28"/>
    </row>
    <row r="289" spans="3:63" s="155" customFormat="1" ht="17.100000000000001" hidden="1" customHeight="1" outlineLevel="1">
      <c r="C289" s="491"/>
      <c r="P289" s="156"/>
      <c r="Q289" s="156"/>
      <c r="R289" s="156"/>
      <c r="S289" s="156"/>
      <c r="T289" s="156"/>
      <c r="U289" s="156"/>
      <c r="V289" s="156"/>
      <c r="W289" s="156"/>
      <c r="X289" s="156"/>
      <c r="Y289" s="156"/>
      <c r="Z289" s="156"/>
      <c r="AA289" s="247"/>
      <c r="AB289" s="247"/>
      <c r="AC289" s="247"/>
      <c r="AD289" s="247"/>
      <c r="AE289" s="247"/>
      <c r="AP289" s="248"/>
      <c r="AQ289" s="248"/>
      <c r="AR289" s="248"/>
      <c r="AS289" s="248"/>
      <c r="AT289" s="248"/>
      <c r="AU289" s="156"/>
      <c r="BA289" s="28"/>
    </row>
    <row r="290" spans="3:63" s="28" customFormat="1" ht="17.100000000000001" hidden="1" customHeight="1" outlineLevel="1">
      <c r="C290" s="518" t="str">
        <f>D66</f>
        <v>Innen-Pumpen für die Besprühung</v>
      </c>
      <c r="D290" s="241"/>
      <c r="E290" s="241"/>
      <c r="F290" s="241"/>
      <c r="G290" s="241"/>
      <c r="H290" s="241"/>
      <c r="I290" s="241"/>
      <c r="J290" s="241"/>
      <c r="K290" s="241"/>
      <c r="L290" s="241"/>
      <c r="M290" s="241"/>
      <c r="N290" s="241"/>
      <c r="O290" s="241"/>
      <c r="P290" s="241"/>
      <c r="Q290" s="241"/>
      <c r="R290" s="241"/>
      <c r="S290" s="241"/>
      <c r="T290" s="241"/>
      <c r="U290" s="1446" t="s">
        <v>117</v>
      </c>
      <c r="V290" s="1446"/>
      <c r="W290" s="1446"/>
      <c r="X290" s="55"/>
      <c r="Y290" s="1446" t="s">
        <v>120</v>
      </c>
      <c r="Z290" s="1446"/>
      <c r="AA290" s="1446"/>
      <c r="AB290" s="55"/>
      <c r="AC290" s="1446" t="s">
        <v>121</v>
      </c>
      <c r="AD290" s="1446"/>
      <c r="AE290" s="1446"/>
      <c r="AF290" s="55"/>
      <c r="AG290" s="1446" t="s">
        <v>122</v>
      </c>
      <c r="AH290" s="1446"/>
      <c r="AI290" s="1446"/>
      <c r="AJ290" s="242"/>
      <c r="AK290" s="242"/>
      <c r="AL290" s="242"/>
      <c r="AM290" s="242"/>
      <c r="AN290" s="242"/>
      <c r="AO290" s="242"/>
      <c r="AP290" s="242"/>
      <c r="AQ290" s="242"/>
      <c r="AR290" s="242"/>
      <c r="AS290" s="1446" t="s">
        <v>117</v>
      </c>
      <c r="AT290" s="1446"/>
      <c r="AU290" s="1446"/>
      <c r="AV290" s="55"/>
      <c r="AW290" s="1446" t="s">
        <v>120</v>
      </c>
      <c r="AX290" s="1446"/>
      <c r="AY290" s="1446"/>
      <c r="AZ290" s="55"/>
      <c r="BA290" s="1446" t="s">
        <v>121</v>
      </c>
      <c r="BB290" s="1446"/>
      <c r="BC290" s="1446"/>
      <c r="BD290" s="55"/>
      <c r="BE290" s="1446" t="s">
        <v>122</v>
      </c>
      <c r="BF290" s="1446"/>
      <c r="BG290" s="1446"/>
      <c r="BH290" s="242"/>
      <c r="BI290" s="242"/>
      <c r="BJ290" s="242"/>
      <c r="BK290" s="242"/>
    </row>
    <row r="291" spans="3:63" s="28" customFormat="1" ht="17.100000000000001" hidden="1" customHeight="1" outlineLevel="1">
      <c r="C291" s="489"/>
      <c r="D291" s="241" t="str">
        <f>D281</f>
        <v>ein/aus</v>
      </c>
      <c r="E291" s="241"/>
      <c r="F291" s="241"/>
      <c r="G291" s="241"/>
      <c r="H291" s="241"/>
      <c r="I291" s="241"/>
      <c r="J291" s="241"/>
      <c r="K291" s="241"/>
      <c r="L291" s="241"/>
      <c r="M291" s="241"/>
      <c r="N291" s="241"/>
      <c r="O291" s="241"/>
      <c r="P291" s="241"/>
      <c r="Q291" s="241"/>
      <c r="R291" s="241"/>
      <c r="S291" s="241"/>
      <c r="T291" s="241"/>
      <c r="U291" s="1447">
        <v>0</v>
      </c>
      <c r="V291" s="1447"/>
      <c r="W291" s="1447"/>
      <c r="X291" s="249"/>
      <c r="Y291" s="1447">
        <v>0</v>
      </c>
      <c r="Z291" s="1447"/>
      <c r="AA291" s="1447"/>
      <c r="AB291" s="249"/>
      <c r="AC291" s="1447">
        <v>0</v>
      </c>
      <c r="AD291" s="1447"/>
      <c r="AE291" s="1447"/>
      <c r="AF291" s="249"/>
      <c r="AG291" s="1447">
        <v>0</v>
      </c>
      <c r="AH291" s="1447"/>
      <c r="AI291" s="1447"/>
      <c r="AJ291" s="242"/>
      <c r="AK291" s="242"/>
      <c r="AL291" s="242"/>
      <c r="AM291" s="242"/>
      <c r="AN291" s="242"/>
      <c r="AO291" s="242"/>
      <c r="AP291" s="242"/>
      <c r="AQ291" s="242"/>
      <c r="AR291" s="242"/>
      <c r="AS291" s="1446">
        <f>U291</f>
        <v>0</v>
      </c>
      <c r="AT291" s="1446"/>
      <c r="AU291" s="1446"/>
      <c r="AV291" s="55"/>
      <c r="AW291" s="1446">
        <f>Y291</f>
        <v>0</v>
      </c>
      <c r="AX291" s="1446"/>
      <c r="AY291" s="1446"/>
      <c r="AZ291" s="55"/>
      <c r="BA291" s="1446">
        <f>AC291</f>
        <v>0</v>
      </c>
      <c r="BB291" s="1446"/>
      <c r="BC291" s="1446"/>
      <c r="BD291" s="55"/>
      <c r="BE291" s="1446">
        <f>AG291</f>
        <v>0</v>
      </c>
      <c r="BF291" s="1446"/>
      <c r="BG291" s="1446"/>
      <c r="BH291" s="242"/>
      <c r="BI291" s="242"/>
      <c r="BJ291" s="242"/>
      <c r="BK291" s="242"/>
    </row>
    <row r="292" spans="3:63" s="28" customFormat="1" ht="17.100000000000001" hidden="1" customHeight="1" outlineLevel="1">
      <c r="C292" s="489"/>
      <c r="D292" s="241" t="str">
        <f>D282</f>
        <v>bedarfsgerechte Ansteuerung (FU)</v>
      </c>
      <c r="E292" s="241"/>
      <c r="F292" s="241"/>
      <c r="G292" s="241"/>
      <c r="H292" s="241"/>
      <c r="I292" s="241"/>
      <c r="J292" s="241"/>
      <c r="K292" s="241"/>
      <c r="L292" s="241"/>
      <c r="M292" s="241"/>
      <c r="N292" s="241"/>
      <c r="O292" s="241"/>
      <c r="P292" s="241"/>
      <c r="Q292" s="241"/>
      <c r="R292" s="241"/>
      <c r="S292" s="241"/>
      <c r="T292" s="241"/>
      <c r="U292" s="1447">
        <v>0.3</v>
      </c>
      <c r="V292" s="1447"/>
      <c r="W292" s="1447"/>
      <c r="X292" s="249"/>
      <c r="Y292" s="1447">
        <v>0</v>
      </c>
      <c r="Z292" s="1447"/>
      <c r="AA292" s="1447"/>
      <c r="AB292" s="249"/>
      <c r="AC292" s="1447">
        <v>0.3</v>
      </c>
      <c r="AD292" s="1447"/>
      <c r="AE292" s="1447"/>
      <c r="AF292" s="249"/>
      <c r="AG292" s="1447">
        <v>0.5</v>
      </c>
      <c r="AH292" s="1447"/>
      <c r="AI292" s="1447"/>
      <c r="AJ292" s="242"/>
      <c r="AK292" s="242"/>
      <c r="AL292" s="242"/>
      <c r="AM292" s="242"/>
      <c r="AN292" s="242"/>
      <c r="AO292" s="242"/>
      <c r="AP292" s="242"/>
      <c r="AQ292" s="242"/>
      <c r="AR292" s="242"/>
      <c r="AS292" s="1446">
        <f>U292</f>
        <v>0.3</v>
      </c>
      <c r="AT292" s="1446"/>
      <c r="AU292" s="1446"/>
      <c r="AV292" s="55"/>
      <c r="AW292" s="1446">
        <f>Y292</f>
        <v>0</v>
      </c>
      <c r="AX292" s="1446"/>
      <c r="AY292" s="1446"/>
      <c r="AZ292" s="55"/>
      <c r="BA292" s="1446">
        <f>AC292</f>
        <v>0.3</v>
      </c>
      <c r="BB292" s="1446"/>
      <c r="BC292" s="1446"/>
      <c r="BD292" s="55"/>
      <c r="BE292" s="1446">
        <f>AG292</f>
        <v>0.5</v>
      </c>
      <c r="BF292" s="1446"/>
      <c r="BG292" s="1446"/>
      <c r="BH292" s="242"/>
      <c r="BI292" s="242"/>
      <c r="BJ292" s="242"/>
      <c r="BK292" s="242"/>
    </row>
    <row r="293" spans="3:63" ht="17.100000000000001" hidden="1" customHeight="1" outlineLevel="1">
      <c r="D293" s="82"/>
      <c r="E293" s="82"/>
      <c r="F293" s="82"/>
      <c r="G293" s="82"/>
      <c r="H293" s="82"/>
      <c r="I293" s="82"/>
      <c r="J293" s="82"/>
      <c r="K293" s="82"/>
      <c r="L293" s="82"/>
      <c r="M293" s="82"/>
      <c r="N293" s="82"/>
      <c r="O293" s="82"/>
      <c r="P293" s="82"/>
      <c r="Q293" s="82"/>
      <c r="R293" s="82"/>
      <c r="S293" s="83"/>
      <c r="T293" s="83"/>
      <c r="U293" s="250"/>
      <c r="V293" s="250"/>
      <c r="W293" s="250"/>
      <c r="X293" s="92"/>
      <c r="Y293" s="250"/>
      <c r="Z293" s="250"/>
      <c r="AA293" s="250"/>
      <c r="AB293" s="92"/>
      <c r="AC293" s="250"/>
      <c r="AD293" s="250"/>
      <c r="AE293" s="250"/>
      <c r="AF293" s="92"/>
      <c r="AG293" s="250"/>
      <c r="AH293" s="250"/>
      <c r="AI293" s="250"/>
      <c r="AJ293" s="251"/>
      <c r="AK293" s="251"/>
      <c r="AL293" s="251"/>
      <c r="AM293" s="251"/>
      <c r="AN293" s="251"/>
      <c r="AO293" s="251"/>
      <c r="AP293" s="52"/>
      <c r="AQ293" s="52"/>
      <c r="AR293" s="52"/>
      <c r="AS293" s="250"/>
      <c r="AT293" s="250"/>
      <c r="AU293" s="250"/>
      <c r="AV293" s="92"/>
      <c r="AW293" s="250"/>
      <c r="AX293" s="250"/>
      <c r="AY293" s="250"/>
      <c r="AZ293" s="92"/>
      <c r="BA293" s="250"/>
      <c r="BB293" s="250"/>
      <c r="BC293" s="250"/>
      <c r="BD293" s="92"/>
      <c r="BE293" s="250"/>
      <c r="BF293" s="250"/>
      <c r="BG293" s="250"/>
      <c r="BH293" s="251"/>
      <c r="BI293" s="251"/>
      <c r="BJ293" s="251"/>
      <c r="BK293" s="251"/>
    </row>
    <row r="294" spans="3:63" s="28" customFormat="1" ht="17.100000000000001" hidden="1" customHeight="1" outlineLevel="1">
      <c r="C294" s="489"/>
      <c r="D294" s="244" t="s">
        <v>143</v>
      </c>
      <c r="E294" s="241"/>
      <c r="F294" s="241"/>
      <c r="G294" s="241"/>
      <c r="H294" s="241"/>
      <c r="I294" s="241"/>
      <c r="J294" s="241"/>
      <c r="K294" s="241"/>
      <c r="L294" s="241"/>
      <c r="M294" s="241"/>
      <c r="N294" s="241"/>
      <c r="O294" s="241"/>
      <c r="P294" s="241"/>
      <c r="Q294" s="241"/>
      <c r="R294" s="241"/>
      <c r="S294" s="241"/>
      <c r="T294" s="241"/>
      <c r="U294" s="1530">
        <f>W66</f>
        <v>0</v>
      </c>
      <c r="V294" s="1530"/>
      <c r="W294" s="1530"/>
      <c r="X294" s="1530"/>
      <c r="Y294" s="1530"/>
      <c r="Z294" s="1530"/>
      <c r="AA294" s="1530"/>
      <c r="AB294" s="1530"/>
      <c r="AC294" s="1530"/>
      <c r="AD294" s="1530"/>
      <c r="AE294" s="1530"/>
      <c r="AF294" s="1530"/>
      <c r="AG294" s="1530"/>
      <c r="AH294" s="1530"/>
      <c r="AI294" s="1530"/>
      <c r="AJ294" s="242"/>
      <c r="AK294" s="242"/>
      <c r="AL294" s="242"/>
      <c r="AM294" s="242"/>
      <c r="AN294" s="242"/>
      <c r="AO294" s="242"/>
      <c r="AP294" s="242"/>
      <c r="AQ294" s="242"/>
      <c r="AR294" s="242"/>
      <c r="AS294" s="1530">
        <f>AU66</f>
        <v>0</v>
      </c>
      <c r="AT294" s="1530"/>
      <c r="AU294" s="1530"/>
      <c r="AV294" s="1530"/>
      <c r="AW294" s="1530"/>
      <c r="AX294" s="1530"/>
      <c r="AY294" s="1530"/>
      <c r="AZ294" s="1530"/>
      <c r="BA294" s="1530"/>
      <c r="BB294" s="1530"/>
      <c r="BC294" s="1530"/>
      <c r="BD294" s="1530"/>
      <c r="BE294" s="1530"/>
      <c r="BF294" s="1530"/>
      <c r="BG294" s="1530"/>
      <c r="BH294" s="242"/>
      <c r="BI294" s="242"/>
      <c r="BJ294" s="242"/>
      <c r="BK294" s="242"/>
    </row>
    <row r="295" spans="3:63" s="155" customFormat="1" ht="17.100000000000001" hidden="1" customHeight="1" outlineLevel="1">
      <c r="C295" s="489"/>
      <c r="D295" s="227" t="s">
        <v>153</v>
      </c>
      <c r="N295" s="240"/>
      <c r="O295" s="240"/>
      <c r="P295" s="240"/>
      <c r="Q295" s="240"/>
      <c r="R295" s="240"/>
      <c r="S295" s="240"/>
      <c r="T295" s="240"/>
      <c r="U295" s="1531">
        <f>IF($D292=$U294,U292,U291)</f>
        <v>0</v>
      </c>
      <c r="V295" s="1531"/>
      <c r="W295" s="1531"/>
      <c r="X295" s="55"/>
      <c r="Y295" s="1531">
        <f>IF($D292=$U294,Y292,Y291)</f>
        <v>0</v>
      </c>
      <c r="Z295" s="1531"/>
      <c r="AA295" s="1531"/>
      <c r="AB295" s="55"/>
      <c r="AC295" s="1531">
        <f>IF($D292=$U294,AC292,AC291)</f>
        <v>0</v>
      </c>
      <c r="AD295" s="1531"/>
      <c r="AE295" s="1531"/>
      <c r="AF295" s="55"/>
      <c r="AG295" s="1531">
        <f>IF($D292=$U294,AG292,AG291)</f>
        <v>0</v>
      </c>
      <c r="AH295" s="1531"/>
      <c r="AI295" s="1531"/>
      <c r="AJ295" s="242"/>
      <c r="AK295" s="1532">
        <f>IF(AK296=0,0,1-AK297/AK296)</f>
        <v>0</v>
      </c>
      <c r="AL295" s="1532"/>
      <c r="AM295" s="1532"/>
      <c r="AN295" s="1532"/>
      <c r="AO295" s="449"/>
      <c r="AP295" s="242"/>
      <c r="AQ295" s="242"/>
      <c r="AR295" s="242"/>
      <c r="AS295" s="1531">
        <f>IF($D292=$AS294,AS292,AS291)</f>
        <v>0</v>
      </c>
      <c r="AT295" s="1531"/>
      <c r="AU295" s="1531"/>
      <c r="AV295" s="55"/>
      <c r="AW295" s="1531">
        <f>IF($D292=$AS294,AW292,AW291)</f>
        <v>0</v>
      </c>
      <c r="AX295" s="1531"/>
      <c r="AY295" s="1531"/>
      <c r="AZ295" s="55"/>
      <c r="BA295" s="1531">
        <f>IF($D292=$AS294,BA292,BA291)</f>
        <v>0</v>
      </c>
      <c r="BB295" s="1531"/>
      <c r="BC295" s="1531"/>
      <c r="BD295" s="55"/>
      <c r="BE295" s="1531">
        <f>IF($D292=$AS294,BE292,BE291)</f>
        <v>0</v>
      </c>
      <c r="BF295" s="1531"/>
      <c r="BG295" s="1531"/>
      <c r="BH295" s="242"/>
      <c r="BI295" s="1532">
        <f>IF(BI296=0,0,1-BI297/BI296)</f>
        <v>0</v>
      </c>
      <c r="BJ295" s="1532"/>
      <c r="BK295" s="1532"/>
    </row>
    <row r="296" spans="3:63" s="28" customFormat="1" ht="17.100000000000001" hidden="1" customHeight="1" outlineLevel="1">
      <c r="C296" s="489"/>
      <c r="D296" s="241" t="s">
        <v>154</v>
      </c>
      <c r="E296" s="241"/>
      <c r="F296" s="241"/>
      <c r="G296" s="241"/>
      <c r="H296" s="241"/>
      <c r="I296" s="241"/>
      <c r="J296" s="241"/>
      <c r="K296" s="241"/>
      <c r="L296" s="241"/>
      <c r="M296" s="241"/>
      <c r="N296" s="241"/>
      <c r="O296" s="241"/>
      <c r="P296" s="241" t="s">
        <v>118</v>
      </c>
      <c r="Q296" s="241"/>
      <c r="R296" s="241"/>
      <c r="S296" s="241"/>
      <c r="T296" s="241"/>
      <c r="U296" s="1488">
        <f>U$286</f>
        <v>0</v>
      </c>
      <c r="V296" s="1488"/>
      <c r="W296" s="1488"/>
      <c r="X296" s="55"/>
      <c r="Y296" s="1488">
        <f>Y$286</f>
        <v>0</v>
      </c>
      <c r="Z296" s="1488"/>
      <c r="AA296" s="1488"/>
      <c r="AB296" s="55"/>
      <c r="AC296" s="1488">
        <f>AC$286</f>
        <v>0</v>
      </c>
      <c r="AD296" s="1488"/>
      <c r="AE296" s="1488"/>
      <c r="AF296" s="55"/>
      <c r="AG296" s="1488">
        <f>AG$286</f>
        <v>0</v>
      </c>
      <c r="AH296" s="1488"/>
      <c r="AI296" s="1488"/>
      <c r="AJ296" s="242"/>
      <c r="AK296" s="1488">
        <f>SUM(U296:AI296)</f>
        <v>0</v>
      </c>
      <c r="AL296" s="1488"/>
      <c r="AM296" s="1488"/>
      <c r="AN296" s="1488"/>
      <c r="AO296" s="444"/>
      <c r="AP296" s="242"/>
      <c r="AQ296" s="242"/>
      <c r="AR296" s="242"/>
      <c r="AS296" s="1488">
        <f>AS$286</f>
        <v>0</v>
      </c>
      <c r="AT296" s="1488"/>
      <c r="AU296" s="1488"/>
      <c r="AV296" s="55"/>
      <c r="AW296" s="1488">
        <f>AW$286</f>
        <v>0</v>
      </c>
      <c r="AX296" s="1488"/>
      <c r="AY296" s="1488"/>
      <c r="AZ296" s="55"/>
      <c r="BA296" s="1488">
        <f>BA$286</f>
        <v>0</v>
      </c>
      <c r="BB296" s="1488"/>
      <c r="BC296" s="1488"/>
      <c r="BD296" s="55"/>
      <c r="BE296" s="1488">
        <f>BE$286</f>
        <v>0</v>
      </c>
      <c r="BF296" s="1488"/>
      <c r="BG296" s="1488"/>
      <c r="BH296" s="242"/>
      <c r="BI296" s="1488">
        <f>SUM(AS296:BG296)</f>
        <v>0</v>
      </c>
      <c r="BJ296" s="1488"/>
      <c r="BK296" s="1488"/>
    </row>
    <row r="297" spans="3:63" s="155" customFormat="1" ht="17.100000000000001" hidden="1" customHeight="1" outlineLevel="1">
      <c r="C297" s="489"/>
      <c r="D297" s="241" t="s">
        <v>155</v>
      </c>
      <c r="E297" s="241"/>
      <c r="F297" s="241"/>
      <c r="G297" s="241"/>
      <c r="H297" s="241"/>
      <c r="I297" s="241"/>
      <c r="J297" s="241"/>
      <c r="K297" s="241"/>
      <c r="L297" s="241"/>
      <c r="M297" s="241"/>
      <c r="N297" s="240"/>
      <c r="O297" s="240"/>
      <c r="P297" s="241" t="s">
        <v>118</v>
      </c>
      <c r="Q297" s="240"/>
      <c r="R297" s="240"/>
      <c r="S297" s="240"/>
      <c r="T297" s="240"/>
      <c r="U297" s="1489">
        <f>U296-U295*U296</f>
        <v>0</v>
      </c>
      <c r="V297" s="1489"/>
      <c r="W297" s="1489"/>
      <c r="X297" s="245"/>
      <c r="Y297" s="1489">
        <f>Y296-Y295*Y296</f>
        <v>0</v>
      </c>
      <c r="Z297" s="1489"/>
      <c r="AA297" s="1489"/>
      <c r="AB297" s="245"/>
      <c r="AC297" s="1489">
        <f>AC296-AC295*AC296</f>
        <v>0</v>
      </c>
      <c r="AD297" s="1489"/>
      <c r="AE297" s="1489"/>
      <c r="AF297" s="245"/>
      <c r="AG297" s="1489">
        <f>AG296-AG295*AG296</f>
        <v>0</v>
      </c>
      <c r="AH297" s="1489"/>
      <c r="AI297" s="1489"/>
      <c r="AJ297" s="61"/>
      <c r="AK297" s="1489">
        <f>SUM(U297:AI297)</f>
        <v>0</v>
      </c>
      <c r="AL297" s="1489"/>
      <c r="AM297" s="1489"/>
      <c r="AN297" s="1489"/>
      <c r="AO297" s="175"/>
      <c r="AP297" s="156"/>
      <c r="AQ297" s="242"/>
      <c r="AR297" s="242"/>
      <c r="AS297" s="1490">
        <f>AS296-AS295*AS296</f>
        <v>0</v>
      </c>
      <c r="AT297" s="1490"/>
      <c r="AU297" s="1490"/>
      <c r="AV297" s="246"/>
      <c r="AW297" s="1490">
        <f>AW296-AW295*AW296</f>
        <v>0</v>
      </c>
      <c r="AX297" s="1490"/>
      <c r="AY297" s="1490"/>
      <c r="AZ297" s="246"/>
      <c r="BA297" s="1490">
        <f>BA296-BA295*BA296</f>
        <v>0</v>
      </c>
      <c r="BB297" s="1490"/>
      <c r="BC297" s="1490"/>
      <c r="BD297" s="246"/>
      <c r="BE297" s="1490">
        <f>BE296-BE295*BE296</f>
        <v>0</v>
      </c>
      <c r="BF297" s="1490"/>
      <c r="BG297" s="1490"/>
      <c r="BH297" s="156"/>
      <c r="BI297" s="1490">
        <f>SUM(AS297:BG297)</f>
        <v>0</v>
      </c>
      <c r="BJ297" s="1490"/>
      <c r="BK297" s="1490"/>
    </row>
    <row r="298" spans="3:63" s="155" customFormat="1" ht="17.100000000000001" hidden="1" customHeight="1" outlineLevel="1">
      <c r="C298" s="491"/>
      <c r="P298" s="156"/>
      <c r="Q298" s="156"/>
      <c r="R298" s="156"/>
      <c r="S298" s="156"/>
      <c r="T298" s="156"/>
      <c r="U298" s="156"/>
      <c r="V298" s="156"/>
      <c r="W298" s="156"/>
      <c r="X298" s="156"/>
      <c r="Y298" s="156"/>
      <c r="Z298" s="156"/>
      <c r="AA298" s="247"/>
      <c r="AB298" s="247"/>
      <c r="AC298" s="247"/>
      <c r="AD298" s="247"/>
      <c r="AE298" s="247"/>
      <c r="AP298" s="248"/>
      <c r="AQ298" s="248"/>
      <c r="AR298" s="248"/>
      <c r="AS298" s="248"/>
      <c r="AT298" s="248"/>
      <c r="AU298" s="156"/>
      <c r="BA298" s="28"/>
    </row>
    <row r="299" spans="3:63" s="155" customFormat="1" ht="17.100000000000001" hidden="1" customHeight="1" outlineLevel="1">
      <c r="C299" s="494"/>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247"/>
      <c r="AB299" s="247"/>
      <c r="AC299" s="247"/>
      <c r="AD299" s="247"/>
      <c r="AE299" s="247"/>
      <c r="AP299" s="248"/>
      <c r="AQ299" s="248"/>
      <c r="AR299" s="248"/>
      <c r="AS299" s="248"/>
      <c r="AT299" s="248"/>
      <c r="AU299" s="156"/>
      <c r="BA299" s="28"/>
    </row>
    <row r="300" spans="3:63" s="28" customFormat="1" ht="17.100000000000001" hidden="1" customHeight="1" outlineLevel="1">
      <c r="C300" s="518" t="str">
        <f>D68</f>
        <v>Ventilatoren Rückkühler/Kondensator</v>
      </c>
      <c r="D300" s="241"/>
      <c r="E300" s="241"/>
      <c r="F300" s="241"/>
      <c r="G300" s="241"/>
      <c r="H300" s="241"/>
      <c r="I300" s="241"/>
      <c r="J300" s="241"/>
      <c r="K300" s="241"/>
      <c r="L300" s="241"/>
      <c r="M300" s="241"/>
      <c r="N300" s="241"/>
      <c r="O300" s="241"/>
      <c r="P300" s="241"/>
      <c r="Q300" s="241"/>
      <c r="R300" s="241"/>
      <c r="S300" s="241"/>
      <c r="T300" s="241"/>
      <c r="U300" s="1446" t="s">
        <v>117</v>
      </c>
      <c r="V300" s="1446"/>
      <c r="W300" s="1446"/>
      <c r="X300" s="55"/>
      <c r="Y300" s="1446" t="s">
        <v>120</v>
      </c>
      <c r="Z300" s="1446"/>
      <c r="AA300" s="1446"/>
      <c r="AB300" s="55"/>
      <c r="AC300" s="1446" t="s">
        <v>121</v>
      </c>
      <c r="AD300" s="1446"/>
      <c r="AE300" s="1446"/>
      <c r="AF300" s="55"/>
      <c r="AG300" s="1446" t="s">
        <v>122</v>
      </c>
      <c r="AH300" s="1446"/>
      <c r="AI300" s="1446"/>
      <c r="AJ300" s="155"/>
      <c r="AK300" s="155"/>
      <c r="AL300" s="155"/>
      <c r="AM300" s="155"/>
      <c r="AN300" s="155"/>
      <c r="AO300" s="155"/>
      <c r="AP300" s="248"/>
      <c r="AS300" s="1446" t="s">
        <v>117</v>
      </c>
      <c r="AT300" s="1446"/>
      <c r="AU300" s="1446"/>
      <c r="AV300" s="55"/>
      <c r="AW300" s="1446" t="s">
        <v>120</v>
      </c>
      <c r="AX300" s="1446"/>
      <c r="AY300" s="1446"/>
      <c r="AZ300" s="55"/>
      <c r="BA300" s="1446" t="s">
        <v>121</v>
      </c>
      <c r="BB300" s="1446"/>
      <c r="BC300" s="1446"/>
      <c r="BD300" s="55"/>
      <c r="BE300" s="1446" t="s">
        <v>122</v>
      </c>
      <c r="BF300" s="1446"/>
      <c r="BG300" s="1446"/>
      <c r="BH300" s="242"/>
      <c r="BI300" s="242"/>
      <c r="BJ300" s="242"/>
      <c r="BK300" s="242"/>
    </row>
    <row r="301" spans="3:63" s="28" customFormat="1" ht="17.100000000000001" hidden="1" customHeight="1" outlineLevel="1">
      <c r="C301" s="489"/>
      <c r="D301" s="241" t="str">
        <f>D281</f>
        <v>ein/aus</v>
      </c>
      <c r="E301" s="241"/>
      <c r="F301" s="241"/>
      <c r="G301" s="241"/>
      <c r="H301" s="241"/>
      <c r="I301" s="241"/>
      <c r="J301" s="241"/>
      <c r="K301" s="241"/>
      <c r="L301" s="241"/>
      <c r="M301" s="241"/>
      <c r="N301" s="241"/>
      <c r="O301" s="241"/>
      <c r="P301" s="241"/>
      <c r="Q301" s="241"/>
      <c r="R301" s="241"/>
      <c r="S301" s="241"/>
      <c r="T301" s="241"/>
      <c r="U301" s="1447">
        <v>0</v>
      </c>
      <c r="V301" s="1447"/>
      <c r="W301" s="1447"/>
      <c r="X301" s="249"/>
      <c r="Y301" s="1447">
        <v>0</v>
      </c>
      <c r="Z301" s="1447"/>
      <c r="AA301" s="1447"/>
      <c r="AB301" s="249"/>
      <c r="AC301" s="1447">
        <v>0</v>
      </c>
      <c r="AD301" s="1447"/>
      <c r="AE301" s="1447"/>
      <c r="AF301" s="249"/>
      <c r="AG301" s="1447">
        <v>0</v>
      </c>
      <c r="AH301" s="1447"/>
      <c r="AI301" s="1447"/>
      <c r="AJ301" s="155"/>
      <c r="AK301" s="155"/>
      <c r="AL301" s="155"/>
      <c r="AM301" s="155"/>
      <c r="AN301" s="155"/>
      <c r="AO301" s="155"/>
      <c r="AP301" s="248"/>
      <c r="AS301" s="1446">
        <f>U301</f>
        <v>0</v>
      </c>
      <c r="AT301" s="1446"/>
      <c r="AU301" s="1446"/>
      <c r="AV301" s="55"/>
      <c r="AW301" s="1446">
        <f>Y301</f>
        <v>0</v>
      </c>
      <c r="AX301" s="1446"/>
      <c r="AY301" s="1446"/>
      <c r="AZ301" s="55"/>
      <c r="BA301" s="1446">
        <f>AC301</f>
        <v>0</v>
      </c>
      <c r="BB301" s="1446"/>
      <c r="BC301" s="1446"/>
      <c r="BD301" s="55"/>
      <c r="BE301" s="1446">
        <f>AG301</f>
        <v>0</v>
      </c>
      <c r="BF301" s="1446"/>
      <c r="BG301" s="1446"/>
      <c r="BH301" s="242"/>
      <c r="BI301" s="242"/>
      <c r="BJ301" s="242"/>
      <c r="BK301" s="242"/>
    </row>
    <row r="302" spans="3:63" s="28" customFormat="1" ht="17.100000000000001" hidden="1" customHeight="1" outlineLevel="1">
      <c r="C302" s="489"/>
      <c r="D302" s="241" t="str">
        <f>D282</f>
        <v>bedarfsgerechte Ansteuerung (FU)</v>
      </c>
      <c r="E302" s="241"/>
      <c r="F302" s="241"/>
      <c r="G302" s="241"/>
      <c r="H302" s="241"/>
      <c r="I302" s="241"/>
      <c r="J302" s="241"/>
      <c r="K302" s="241"/>
      <c r="L302" s="241"/>
      <c r="M302" s="241"/>
      <c r="N302" s="241"/>
      <c r="O302" s="241"/>
      <c r="P302" s="241"/>
      <c r="Q302" s="241"/>
      <c r="R302" s="241"/>
      <c r="S302" s="241"/>
      <c r="T302" s="241"/>
      <c r="U302" s="1447">
        <v>0.3</v>
      </c>
      <c r="V302" s="1447"/>
      <c r="W302" s="1447"/>
      <c r="X302" s="249"/>
      <c r="Y302" s="1447">
        <v>0</v>
      </c>
      <c r="Z302" s="1447"/>
      <c r="AA302" s="1447"/>
      <c r="AB302" s="249"/>
      <c r="AC302" s="1447">
        <v>0.3</v>
      </c>
      <c r="AD302" s="1447"/>
      <c r="AE302" s="1447"/>
      <c r="AF302" s="249"/>
      <c r="AG302" s="1447">
        <v>0.5</v>
      </c>
      <c r="AH302" s="1447"/>
      <c r="AI302" s="1447"/>
      <c r="AJ302" s="155"/>
      <c r="AK302" s="155"/>
      <c r="AL302" s="155"/>
      <c r="AM302" s="155"/>
      <c r="AN302" s="155"/>
      <c r="AO302" s="155"/>
      <c r="AP302" s="248"/>
      <c r="AS302" s="1446">
        <f>U302</f>
        <v>0.3</v>
      </c>
      <c r="AT302" s="1446"/>
      <c r="AU302" s="1446"/>
      <c r="AV302" s="55"/>
      <c r="AW302" s="1446">
        <f>Y302</f>
        <v>0</v>
      </c>
      <c r="AX302" s="1446"/>
      <c r="AY302" s="1446"/>
      <c r="AZ302" s="55"/>
      <c r="BA302" s="1446">
        <f>AC302</f>
        <v>0.3</v>
      </c>
      <c r="BB302" s="1446"/>
      <c r="BC302" s="1446"/>
      <c r="BD302" s="55"/>
      <c r="BE302" s="1446">
        <f>AG302</f>
        <v>0.5</v>
      </c>
      <c r="BF302" s="1446"/>
      <c r="BG302" s="1446"/>
      <c r="BH302" s="242"/>
      <c r="BI302" s="242"/>
      <c r="BJ302" s="242"/>
      <c r="BK302" s="242"/>
    </row>
    <row r="303" spans="3:63" s="28" customFormat="1" ht="17.100000000000001" hidden="1" customHeight="1" outlineLevel="1">
      <c r="C303" s="489"/>
      <c r="D303" s="241"/>
      <c r="E303" s="241"/>
      <c r="F303" s="241"/>
      <c r="G303" s="241"/>
      <c r="H303" s="241"/>
      <c r="I303" s="241"/>
      <c r="J303" s="241"/>
      <c r="K303" s="241"/>
      <c r="L303" s="241"/>
      <c r="M303" s="241"/>
      <c r="N303" s="241"/>
      <c r="O303" s="241"/>
      <c r="P303" s="241"/>
      <c r="Q303" s="241"/>
      <c r="R303" s="241"/>
      <c r="S303" s="241"/>
      <c r="T303" s="241"/>
      <c r="U303" s="243"/>
      <c r="V303" s="243"/>
      <c r="W303" s="243"/>
      <c r="X303" s="55"/>
      <c r="Y303" s="243"/>
      <c r="Z303" s="243"/>
      <c r="AA303" s="243"/>
      <c r="AB303" s="55"/>
      <c r="AC303" s="243"/>
      <c r="AD303" s="243"/>
      <c r="AE303" s="243"/>
      <c r="AF303" s="55"/>
      <c r="AG303" s="243"/>
      <c r="AH303" s="243"/>
      <c r="AI303" s="243"/>
      <c r="AJ303" s="155"/>
      <c r="AK303" s="155"/>
      <c r="AL303" s="155"/>
      <c r="AM303" s="155"/>
      <c r="AN303" s="155"/>
      <c r="AO303" s="155"/>
      <c r="AP303" s="248"/>
      <c r="AQ303" s="55"/>
      <c r="AR303" s="55"/>
      <c r="AS303" s="243"/>
      <c r="AT303" s="243"/>
      <c r="AU303" s="243"/>
      <c r="AV303" s="55"/>
      <c r="AW303" s="243"/>
      <c r="AX303" s="243"/>
      <c r="AY303" s="243"/>
      <c r="AZ303" s="55"/>
      <c r="BA303" s="243"/>
      <c r="BB303" s="243"/>
      <c r="BC303" s="243"/>
      <c r="BD303" s="55"/>
      <c r="BE303" s="243"/>
      <c r="BF303" s="243"/>
      <c r="BG303" s="243"/>
      <c r="BH303" s="242"/>
      <c r="BI303" s="242"/>
      <c r="BJ303" s="242"/>
      <c r="BK303" s="242"/>
    </row>
    <row r="304" spans="3:63" s="28" customFormat="1" ht="17.100000000000001" hidden="1" customHeight="1" outlineLevel="1">
      <c r="C304" s="489"/>
      <c r="D304" s="244" t="s">
        <v>143</v>
      </c>
      <c r="E304" s="241"/>
      <c r="F304" s="241"/>
      <c r="G304" s="241"/>
      <c r="H304" s="241"/>
      <c r="I304" s="241"/>
      <c r="J304" s="241"/>
      <c r="K304" s="241"/>
      <c r="L304" s="241"/>
      <c r="M304" s="241"/>
      <c r="N304" s="241"/>
      <c r="O304" s="241"/>
      <c r="P304" s="241"/>
      <c r="Q304" s="241"/>
      <c r="R304" s="241"/>
      <c r="S304" s="241"/>
      <c r="T304" s="241"/>
      <c r="U304" s="1530">
        <f>W68</f>
        <v>0</v>
      </c>
      <c r="V304" s="1530"/>
      <c r="W304" s="1530"/>
      <c r="X304" s="1530"/>
      <c r="Y304" s="1530"/>
      <c r="Z304" s="1530"/>
      <c r="AA304" s="1530"/>
      <c r="AB304" s="1530"/>
      <c r="AC304" s="1530"/>
      <c r="AD304" s="1530"/>
      <c r="AE304" s="1530"/>
      <c r="AF304" s="1530"/>
      <c r="AG304" s="1530"/>
      <c r="AH304" s="1530"/>
      <c r="AI304" s="1530"/>
      <c r="AJ304" s="242"/>
      <c r="AK304" s="242"/>
      <c r="AL304" s="242"/>
      <c r="AM304" s="242"/>
      <c r="AN304" s="242"/>
      <c r="AO304" s="242"/>
      <c r="AP304" s="242"/>
      <c r="AQ304" s="242"/>
      <c r="AR304" s="242"/>
      <c r="AS304" s="1530">
        <f>AU68</f>
        <v>0</v>
      </c>
      <c r="AT304" s="1530"/>
      <c r="AU304" s="1530"/>
      <c r="AV304" s="1530"/>
      <c r="AW304" s="1530"/>
      <c r="AX304" s="1530"/>
      <c r="AY304" s="1530"/>
      <c r="AZ304" s="1530"/>
      <c r="BA304" s="1530"/>
      <c r="BB304" s="1530"/>
      <c r="BC304" s="1530"/>
      <c r="BD304" s="1530"/>
      <c r="BE304" s="1530"/>
      <c r="BF304" s="1530"/>
      <c r="BG304" s="1530"/>
      <c r="BH304" s="242"/>
      <c r="BI304" s="242"/>
      <c r="BJ304" s="242"/>
      <c r="BK304" s="242"/>
    </row>
    <row r="305" spans="3:63" s="155" customFormat="1" ht="17.100000000000001" hidden="1" customHeight="1" outlineLevel="1">
      <c r="C305" s="489"/>
      <c r="D305" s="227" t="s">
        <v>153</v>
      </c>
      <c r="N305" s="240"/>
      <c r="O305" s="240"/>
      <c r="P305" s="240"/>
      <c r="Q305" s="240"/>
      <c r="R305" s="240"/>
      <c r="S305" s="240"/>
      <c r="T305" s="240"/>
      <c r="U305" s="1531">
        <f>IF($D302=$U304,U302,U301)</f>
        <v>0</v>
      </c>
      <c r="V305" s="1531"/>
      <c r="W305" s="1531"/>
      <c r="X305" s="55"/>
      <c r="Y305" s="1531">
        <f>IF($D302=$U304,Y302,Y301)</f>
        <v>0</v>
      </c>
      <c r="Z305" s="1531"/>
      <c r="AA305" s="1531"/>
      <c r="AB305" s="55"/>
      <c r="AC305" s="1531">
        <f>IF($D302=$U304,AC302,AC301)</f>
        <v>0</v>
      </c>
      <c r="AD305" s="1531"/>
      <c r="AE305" s="1531"/>
      <c r="AF305" s="55"/>
      <c r="AG305" s="1531">
        <f>IF($D302=$U304,AG302,AG301)</f>
        <v>0</v>
      </c>
      <c r="AH305" s="1531"/>
      <c r="AI305" s="1531"/>
      <c r="AJ305" s="242"/>
      <c r="AK305" s="1532">
        <f>IF(AK306=0,0,1-AK307/AK306)</f>
        <v>0</v>
      </c>
      <c r="AL305" s="1532"/>
      <c r="AM305" s="1532"/>
      <c r="AN305" s="1532"/>
      <c r="AO305" s="449"/>
      <c r="AP305" s="242"/>
      <c r="AQ305" s="242"/>
      <c r="AR305" s="242"/>
      <c r="AS305" s="1531">
        <f>IF($D302=$AS304,AS302,AS301)</f>
        <v>0</v>
      </c>
      <c r="AT305" s="1531"/>
      <c r="AU305" s="1531"/>
      <c r="AV305" s="55"/>
      <c r="AW305" s="1531">
        <f>IF($D302=$AS304,AW302,AW301)</f>
        <v>0</v>
      </c>
      <c r="AX305" s="1531"/>
      <c r="AY305" s="1531"/>
      <c r="AZ305" s="55"/>
      <c r="BA305" s="1531">
        <f>IF($D302=$AS304,BA302,BA301)</f>
        <v>0</v>
      </c>
      <c r="BB305" s="1531"/>
      <c r="BC305" s="1531"/>
      <c r="BD305" s="55"/>
      <c r="BE305" s="1531">
        <f>IF($D302=$AS304,BE302,BE301)</f>
        <v>0</v>
      </c>
      <c r="BF305" s="1531"/>
      <c r="BG305" s="1531"/>
      <c r="BH305" s="242"/>
      <c r="BI305" s="1532">
        <f>IF(BI306=0,0,1-BI307/BI306)</f>
        <v>0</v>
      </c>
      <c r="BJ305" s="1532"/>
      <c r="BK305" s="1532"/>
    </row>
    <row r="306" spans="3:63" s="28" customFormat="1" ht="17.100000000000001" hidden="1" customHeight="1" outlineLevel="1">
      <c r="C306" s="489"/>
      <c r="D306" s="241" t="s">
        <v>154</v>
      </c>
      <c r="E306" s="241"/>
      <c r="F306" s="241"/>
      <c r="G306" s="241"/>
      <c r="H306" s="241"/>
      <c r="I306" s="241"/>
      <c r="J306" s="241"/>
      <c r="K306" s="241"/>
      <c r="L306" s="241"/>
      <c r="M306" s="241"/>
      <c r="N306" s="241"/>
      <c r="O306" s="241"/>
      <c r="P306" s="241" t="s">
        <v>118</v>
      </c>
      <c r="Q306" s="241"/>
      <c r="R306" s="241"/>
      <c r="S306" s="241"/>
      <c r="T306" s="241"/>
      <c r="U306" s="1488">
        <f>U$286</f>
        <v>0</v>
      </c>
      <c r="V306" s="1488"/>
      <c r="W306" s="1488"/>
      <c r="X306" s="55"/>
      <c r="Y306" s="1488">
        <f>Y$286</f>
        <v>0</v>
      </c>
      <c r="Z306" s="1488"/>
      <c r="AA306" s="1488"/>
      <c r="AB306" s="55"/>
      <c r="AC306" s="1488">
        <f>AC$286</f>
        <v>0</v>
      </c>
      <c r="AD306" s="1488"/>
      <c r="AE306" s="1488"/>
      <c r="AF306" s="55"/>
      <c r="AG306" s="1488">
        <f>AG$286</f>
        <v>0</v>
      </c>
      <c r="AH306" s="1488"/>
      <c r="AI306" s="1488"/>
      <c r="AJ306" s="242"/>
      <c r="AK306" s="1488">
        <f>SUM(U306:AI306)</f>
        <v>0</v>
      </c>
      <c r="AL306" s="1488"/>
      <c r="AM306" s="1488"/>
      <c r="AN306" s="1488"/>
      <c r="AO306" s="444"/>
      <c r="AP306" s="242"/>
      <c r="AQ306" s="242"/>
      <c r="AR306" s="242"/>
      <c r="AS306" s="1488">
        <f>AS$286</f>
        <v>0</v>
      </c>
      <c r="AT306" s="1488"/>
      <c r="AU306" s="1488"/>
      <c r="AV306" s="55"/>
      <c r="AW306" s="1488">
        <f>AW$286</f>
        <v>0</v>
      </c>
      <c r="AX306" s="1488"/>
      <c r="AY306" s="1488"/>
      <c r="AZ306" s="55"/>
      <c r="BA306" s="1488">
        <f>BA$286</f>
        <v>0</v>
      </c>
      <c r="BB306" s="1488"/>
      <c r="BC306" s="1488"/>
      <c r="BD306" s="55"/>
      <c r="BE306" s="1488">
        <f>BE$286</f>
        <v>0</v>
      </c>
      <c r="BF306" s="1488"/>
      <c r="BG306" s="1488"/>
      <c r="BH306" s="242"/>
      <c r="BI306" s="1488">
        <f>SUM(AS306:BG306)</f>
        <v>0</v>
      </c>
      <c r="BJ306" s="1488"/>
      <c r="BK306" s="1488"/>
    </row>
    <row r="307" spans="3:63" s="155" customFormat="1" ht="17.100000000000001" hidden="1" customHeight="1" outlineLevel="1">
      <c r="C307" s="489"/>
      <c r="D307" s="241" t="s">
        <v>155</v>
      </c>
      <c r="E307" s="241"/>
      <c r="F307" s="241"/>
      <c r="G307" s="241"/>
      <c r="H307" s="241"/>
      <c r="I307" s="241"/>
      <c r="J307" s="241"/>
      <c r="K307" s="241"/>
      <c r="L307" s="241"/>
      <c r="M307" s="241"/>
      <c r="N307" s="240"/>
      <c r="O307" s="240"/>
      <c r="P307" s="241" t="s">
        <v>118</v>
      </c>
      <c r="Q307" s="240"/>
      <c r="R307" s="240"/>
      <c r="S307" s="240"/>
      <c r="T307" s="240"/>
      <c r="U307" s="1489">
        <f>U306-U305*U306</f>
        <v>0</v>
      </c>
      <c r="V307" s="1489"/>
      <c r="W307" s="1489"/>
      <c r="X307" s="245"/>
      <c r="Y307" s="1489">
        <f>Y306-Y305*Y306</f>
        <v>0</v>
      </c>
      <c r="Z307" s="1489"/>
      <c r="AA307" s="1489"/>
      <c r="AB307" s="245"/>
      <c r="AC307" s="1489">
        <f>AC306-AC305*AC306</f>
        <v>0</v>
      </c>
      <c r="AD307" s="1489"/>
      <c r="AE307" s="1489"/>
      <c r="AF307" s="245"/>
      <c r="AG307" s="1489">
        <f>AG306-AG305*AG306</f>
        <v>0</v>
      </c>
      <c r="AH307" s="1489"/>
      <c r="AI307" s="1489"/>
      <c r="AJ307" s="61"/>
      <c r="AK307" s="1489">
        <f>SUM(U307:AI307)</f>
        <v>0</v>
      </c>
      <c r="AL307" s="1489"/>
      <c r="AM307" s="1489"/>
      <c r="AN307" s="1489"/>
      <c r="AO307" s="175"/>
      <c r="AP307" s="156"/>
      <c r="AQ307" s="242"/>
      <c r="AR307" s="242"/>
      <c r="AS307" s="1490">
        <f>AS306-AS305*AS306</f>
        <v>0</v>
      </c>
      <c r="AT307" s="1490"/>
      <c r="AU307" s="1490"/>
      <c r="AV307" s="246"/>
      <c r="AW307" s="1490">
        <f>AW306-AW305*AW306</f>
        <v>0</v>
      </c>
      <c r="AX307" s="1490"/>
      <c r="AY307" s="1490"/>
      <c r="AZ307" s="246"/>
      <c r="BA307" s="1490">
        <f>BA306-BA305*BA306</f>
        <v>0</v>
      </c>
      <c r="BB307" s="1490"/>
      <c r="BC307" s="1490"/>
      <c r="BD307" s="246"/>
      <c r="BE307" s="1490">
        <f>BE306-BE305*BE306</f>
        <v>0</v>
      </c>
      <c r="BF307" s="1490"/>
      <c r="BG307" s="1490"/>
      <c r="BH307" s="156"/>
      <c r="BI307" s="1490">
        <f>SUM(AS307:BG307)</f>
        <v>0</v>
      </c>
      <c r="BJ307" s="1490"/>
      <c r="BK307" s="1490"/>
    </row>
    <row r="308" spans="3:63" s="155" customFormat="1" ht="17.100000000000001" hidden="1" customHeight="1" outlineLevel="1">
      <c r="C308" s="494"/>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247"/>
      <c r="AB308" s="247"/>
      <c r="AC308" s="247"/>
      <c r="AD308" s="247"/>
      <c r="AE308" s="247"/>
      <c r="AP308" s="248"/>
      <c r="AQ308" s="248"/>
      <c r="AR308" s="248"/>
      <c r="AS308" s="248"/>
      <c r="AT308" s="248"/>
      <c r="AU308" s="156"/>
      <c r="BA308" s="28"/>
    </row>
    <row r="309" spans="3:63" s="155" customFormat="1" ht="17.100000000000001" hidden="1" customHeight="1" outlineLevel="1">
      <c r="C309" s="494"/>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247"/>
      <c r="AB309" s="247"/>
      <c r="AC309" s="247"/>
      <c r="AD309" s="247"/>
      <c r="AE309" s="247"/>
      <c r="AP309" s="248"/>
      <c r="AQ309" s="248"/>
      <c r="AR309" s="248"/>
      <c r="AS309" s="248"/>
      <c r="AT309" s="248"/>
      <c r="AU309" s="156"/>
      <c r="BA309" s="28"/>
    </row>
    <row r="310" spans="3:63" s="28" customFormat="1" ht="17.100000000000001" hidden="1" customHeight="1" outlineLevel="1">
      <c r="C310" s="518">
        <f>D70</f>
        <v>0</v>
      </c>
      <c r="D310" s="241"/>
      <c r="E310" s="241"/>
      <c r="F310" s="241"/>
      <c r="G310" s="241"/>
      <c r="H310" s="241"/>
      <c r="I310" s="241"/>
      <c r="J310" s="241"/>
      <c r="K310" s="241"/>
      <c r="L310" s="241"/>
      <c r="M310" s="241"/>
      <c r="N310" s="241"/>
      <c r="O310" s="241"/>
      <c r="P310" s="241"/>
      <c r="Q310" s="241"/>
      <c r="R310" s="241"/>
      <c r="S310" s="241"/>
      <c r="T310" s="241"/>
      <c r="U310" s="1446" t="s">
        <v>117</v>
      </c>
      <c r="V310" s="1446"/>
      <c r="W310" s="1446"/>
      <c r="X310" s="55"/>
      <c r="Y310" s="1446" t="s">
        <v>120</v>
      </c>
      <c r="Z310" s="1446"/>
      <c r="AA310" s="1446"/>
      <c r="AB310" s="55"/>
      <c r="AC310" s="1446" t="s">
        <v>121</v>
      </c>
      <c r="AD310" s="1446"/>
      <c r="AE310" s="1446"/>
      <c r="AF310" s="55"/>
      <c r="AG310" s="1446" t="s">
        <v>122</v>
      </c>
      <c r="AH310" s="1446"/>
      <c r="AI310" s="1446"/>
      <c r="AJ310" s="155"/>
      <c r="AK310" s="155"/>
      <c r="AL310" s="155"/>
      <c r="AM310" s="155"/>
      <c r="AN310" s="155"/>
      <c r="AO310" s="155"/>
      <c r="AS310" s="1446" t="s">
        <v>117</v>
      </c>
      <c r="AT310" s="1446"/>
      <c r="AU310" s="1446"/>
      <c r="AV310" s="55"/>
      <c r="AW310" s="1446" t="s">
        <v>120</v>
      </c>
      <c r="AX310" s="1446"/>
      <c r="AY310" s="1446"/>
      <c r="AZ310" s="55"/>
      <c r="BA310" s="1446" t="s">
        <v>121</v>
      </c>
      <c r="BB310" s="1446"/>
      <c r="BC310" s="1446"/>
      <c r="BD310" s="55"/>
      <c r="BE310" s="1446" t="s">
        <v>122</v>
      </c>
      <c r="BF310" s="1446"/>
      <c r="BG310" s="1446"/>
    </row>
    <row r="311" spans="3:63" s="28" customFormat="1" ht="17.100000000000001" hidden="1" customHeight="1" outlineLevel="1">
      <c r="C311" s="489"/>
      <c r="D311" s="241" t="str">
        <f>D281</f>
        <v>ein/aus</v>
      </c>
      <c r="E311" s="241"/>
      <c r="F311" s="241"/>
      <c r="G311" s="241"/>
      <c r="H311" s="241"/>
      <c r="I311" s="241"/>
      <c r="J311" s="241"/>
      <c r="K311" s="241"/>
      <c r="L311" s="241"/>
      <c r="M311" s="241"/>
      <c r="N311" s="241"/>
      <c r="O311" s="241"/>
      <c r="P311" s="241"/>
      <c r="Q311" s="241"/>
      <c r="R311" s="241"/>
      <c r="S311" s="241"/>
      <c r="T311" s="241"/>
      <c r="U311" s="1447">
        <v>0</v>
      </c>
      <c r="V311" s="1447"/>
      <c r="W311" s="1447"/>
      <c r="X311" s="249"/>
      <c r="Y311" s="1447">
        <v>0</v>
      </c>
      <c r="Z311" s="1447"/>
      <c r="AA311" s="1447"/>
      <c r="AB311" s="249"/>
      <c r="AC311" s="1447">
        <v>0</v>
      </c>
      <c r="AD311" s="1447"/>
      <c r="AE311" s="1447"/>
      <c r="AF311" s="249"/>
      <c r="AG311" s="1447">
        <v>0</v>
      </c>
      <c r="AH311" s="1447"/>
      <c r="AI311" s="1447"/>
      <c r="AJ311" s="155"/>
      <c r="AK311" s="155"/>
      <c r="AL311" s="155"/>
      <c r="AM311" s="155"/>
      <c r="AN311" s="155"/>
      <c r="AO311" s="155"/>
      <c r="AS311" s="1446">
        <f>U311</f>
        <v>0</v>
      </c>
      <c r="AT311" s="1446"/>
      <c r="AU311" s="1446"/>
      <c r="AV311" s="55"/>
      <c r="AW311" s="1446">
        <f>Y311</f>
        <v>0</v>
      </c>
      <c r="AX311" s="1446"/>
      <c r="AY311" s="1446"/>
      <c r="AZ311" s="55"/>
      <c r="BA311" s="1446">
        <f>AC311</f>
        <v>0</v>
      </c>
      <c r="BB311" s="1446"/>
      <c r="BC311" s="1446"/>
      <c r="BD311" s="55"/>
      <c r="BE311" s="1446">
        <f>AG311</f>
        <v>0</v>
      </c>
      <c r="BF311" s="1446"/>
      <c r="BG311" s="1446"/>
    </row>
    <row r="312" spans="3:63" s="28" customFormat="1" ht="17.100000000000001" hidden="1" customHeight="1" outlineLevel="1">
      <c r="C312" s="489"/>
      <c r="D312" s="241" t="str">
        <f>D282</f>
        <v>bedarfsgerechte Ansteuerung (FU)</v>
      </c>
      <c r="E312" s="241"/>
      <c r="F312" s="241"/>
      <c r="G312" s="241"/>
      <c r="H312" s="241"/>
      <c r="I312" s="241"/>
      <c r="J312" s="241"/>
      <c r="K312" s="241"/>
      <c r="L312" s="241"/>
      <c r="M312" s="241"/>
      <c r="N312" s="241"/>
      <c r="O312" s="241"/>
      <c r="P312" s="241"/>
      <c r="Q312" s="241"/>
      <c r="R312" s="241"/>
      <c r="S312" s="241"/>
      <c r="T312" s="241"/>
      <c r="U312" s="1447">
        <v>0.3</v>
      </c>
      <c r="V312" s="1447"/>
      <c r="W312" s="1447"/>
      <c r="X312" s="249"/>
      <c r="Y312" s="1447">
        <v>0</v>
      </c>
      <c r="Z312" s="1447"/>
      <c r="AA312" s="1447"/>
      <c r="AB312" s="249"/>
      <c r="AC312" s="1447">
        <v>0.3</v>
      </c>
      <c r="AD312" s="1447"/>
      <c r="AE312" s="1447"/>
      <c r="AF312" s="249"/>
      <c r="AG312" s="1447">
        <v>0.5</v>
      </c>
      <c r="AH312" s="1447"/>
      <c r="AI312" s="1447"/>
      <c r="AJ312" s="155"/>
      <c r="AK312" s="155"/>
      <c r="AL312" s="155"/>
      <c r="AM312" s="155"/>
      <c r="AN312" s="155"/>
      <c r="AO312" s="155"/>
      <c r="AS312" s="1446">
        <f>U312</f>
        <v>0.3</v>
      </c>
      <c r="AT312" s="1446"/>
      <c r="AU312" s="1446"/>
      <c r="AV312" s="55"/>
      <c r="AW312" s="1446">
        <f>Y312</f>
        <v>0</v>
      </c>
      <c r="AX312" s="1446"/>
      <c r="AY312" s="1446"/>
      <c r="AZ312" s="55"/>
      <c r="BA312" s="1446">
        <f>AC312</f>
        <v>0.3</v>
      </c>
      <c r="BB312" s="1446"/>
      <c r="BC312" s="1446"/>
      <c r="BD312" s="55"/>
      <c r="BE312" s="1446">
        <f>AG312</f>
        <v>0.5</v>
      </c>
      <c r="BF312" s="1446"/>
      <c r="BG312" s="1446"/>
    </row>
    <row r="313" spans="3:63" s="155" customFormat="1" ht="17.100000000000001" hidden="1" customHeight="1" outlineLevel="1">
      <c r="C313" s="494"/>
      <c r="D313" s="156"/>
      <c r="E313" s="156"/>
      <c r="F313" s="156"/>
      <c r="G313" s="156"/>
      <c r="H313" s="156"/>
      <c r="I313" s="156"/>
      <c r="J313" s="156"/>
      <c r="K313" s="156"/>
      <c r="L313" s="156"/>
      <c r="M313" s="156"/>
      <c r="N313" s="156"/>
      <c r="O313" s="156"/>
      <c r="P313" s="156"/>
      <c r="Q313" s="156"/>
      <c r="R313" s="156"/>
      <c r="S313" s="156"/>
      <c r="T313" s="156"/>
      <c r="U313" s="1446"/>
      <c r="V313" s="1446"/>
      <c r="W313" s="1446"/>
      <c r="X313" s="55"/>
      <c r="Y313" s="1446"/>
      <c r="Z313" s="1446"/>
      <c r="AA313" s="1446"/>
      <c r="AB313" s="55"/>
      <c r="AC313" s="1446"/>
      <c r="AD313" s="1446"/>
      <c r="AE313" s="1446"/>
      <c r="AF313" s="55"/>
      <c r="AG313" s="1446"/>
      <c r="AH313" s="1446"/>
      <c r="AI313" s="1446"/>
      <c r="AP313" s="248"/>
      <c r="AQ313" s="248"/>
      <c r="AR313" s="248"/>
      <c r="AS313" s="248"/>
      <c r="AT313" s="248"/>
      <c r="AU313" s="156"/>
      <c r="BA313" s="28"/>
    </row>
    <row r="314" spans="3:63" s="28" customFormat="1" ht="17.100000000000001" hidden="1" customHeight="1" outlineLevel="1">
      <c r="C314" s="489"/>
      <c r="D314" s="244" t="s">
        <v>143</v>
      </c>
      <c r="E314" s="241"/>
      <c r="F314" s="241"/>
      <c r="G314" s="241"/>
      <c r="H314" s="241"/>
      <c r="I314" s="241"/>
      <c r="J314" s="241"/>
      <c r="K314" s="241"/>
      <c r="L314" s="241"/>
      <c r="M314" s="241"/>
      <c r="N314" s="241"/>
      <c r="O314" s="241"/>
      <c r="P314" s="241"/>
      <c r="Q314" s="241"/>
      <c r="R314" s="241"/>
      <c r="S314" s="241"/>
      <c r="T314" s="241"/>
      <c r="U314" s="1530">
        <f>W70</f>
        <v>0</v>
      </c>
      <c r="V314" s="1530"/>
      <c r="W314" s="1530"/>
      <c r="X314" s="1530"/>
      <c r="Y314" s="1530"/>
      <c r="Z314" s="1530"/>
      <c r="AA314" s="1530"/>
      <c r="AB314" s="1530"/>
      <c r="AC314" s="1530"/>
      <c r="AD314" s="1530"/>
      <c r="AE314" s="1530"/>
      <c r="AF314" s="1530"/>
      <c r="AG314" s="1530"/>
      <c r="AH314" s="1530"/>
      <c r="AI314" s="1530"/>
      <c r="AJ314" s="242"/>
      <c r="AK314" s="242"/>
      <c r="AL314" s="242"/>
      <c r="AM314" s="242"/>
      <c r="AN314" s="242"/>
      <c r="AO314" s="242"/>
      <c r="AP314" s="242"/>
      <c r="AQ314" s="242"/>
      <c r="AR314" s="242"/>
      <c r="AS314" s="1530">
        <f>AU70</f>
        <v>0</v>
      </c>
      <c r="AT314" s="1530"/>
      <c r="AU314" s="1530"/>
      <c r="AV314" s="1530"/>
      <c r="AW314" s="1530"/>
      <c r="AX314" s="1530"/>
      <c r="AY314" s="1530"/>
      <c r="AZ314" s="1530"/>
      <c r="BA314" s="1530"/>
      <c r="BB314" s="1530"/>
      <c r="BC314" s="1530"/>
      <c r="BD314" s="1530"/>
      <c r="BE314" s="1530"/>
      <c r="BF314" s="1530"/>
      <c r="BG314" s="1530"/>
      <c r="BH314" s="242"/>
      <c r="BI314" s="242"/>
      <c r="BJ314" s="242"/>
      <c r="BK314" s="242"/>
    </row>
    <row r="315" spans="3:63" s="155" customFormat="1" ht="17.100000000000001" hidden="1" customHeight="1" outlineLevel="1">
      <c r="C315" s="489"/>
      <c r="D315" s="227" t="s">
        <v>153</v>
      </c>
      <c r="N315" s="240"/>
      <c r="O315" s="240"/>
      <c r="P315" s="240"/>
      <c r="Q315" s="240"/>
      <c r="R315" s="240"/>
      <c r="S315" s="240"/>
      <c r="T315" s="240"/>
      <c r="U315" s="1531">
        <f>IF($D312=$U314,U312,U311)</f>
        <v>0</v>
      </c>
      <c r="V315" s="1531"/>
      <c r="W315" s="1531"/>
      <c r="X315" s="55"/>
      <c r="Y315" s="1531">
        <f>IF($D312=$U314,Y312,Y311)</f>
        <v>0</v>
      </c>
      <c r="Z315" s="1531"/>
      <c r="AA315" s="1531"/>
      <c r="AB315" s="55"/>
      <c r="AC315" s="1531">
        <f>IF($D312=$U314,AC312,AC311)</f>
        <v>0</v>
      </c>
      <c r="AD315" s="1531"/>
      <c r="AE315" s="1531"/>
      <c r="AF315" s="55"/>
      <c r="AG315" s="1531">
        <f>IF($D312=$U314,AG312,AG311)</f>
        <v>0</v>
      </c>
      <c r="AH315" s="1531"/>
      <c r="AI315" s="1531"/>
      <c r="AJ315" s="242"/>
      <c r="AK315" s="1532">
        <f>IF(AK316=0,0,1-AK317/AK316)</f>
        <v>0</v>
      </c>
      <c r="AL315" s="1532"/>
      <c r="AM315" s="1532"/>
      <c r="AN315" s="1532"/>
      <c r="AO315" s="449"/>
      <c r="AP315" s="242"/>
      <c r="AQ315" s="242"/>
      <c r="AR315" s="242"/>
      <c r="AS315" s="1531">
        <f>IF($D312=$AS314,AS312,AS311)</f>
        <v>0</v>
      </c>
      <c r="AT315" s="1531"/>
      <c r="AU315" s="1531"/>
      <c r="AV315" s="55"/>
      <c r="AW315" s="1531">
        <f>IF($D312=$AS314,AW312,AW311)</f>
        <v>0</v>
      </c>
      <c r="AX315" s="1531"/>
      <c r="AY315" s="1531"/>
      <c r="AZ315" s="55"/>
      <c r="BA315" s="1531">
        <f>IF($D312=$AS314,BA312,BA311)</f>
        <v>0</v>
      </c>
      <c r="BB315" s="1531"/>
      <c r="BC315" s="1531"/>
      <c r="BD315" s="55"/>
      <c r="BE315" s="1531">
        <f>IF($D312=$AS314,BE312,BE311)</f>
        <v>0</v>
      </c>
      <c r="BF315" s="1531"/>
      <c r="BG315" s="1531"/>
      <c r="BH315" s="242"/>
      <c r="BI315" s="1532">
        <f>IF(BI316=0,0,1-BI317/BI316)</f>
        <v>0</v>
      </c>
      <c r="BJ315" s="1532"/>
      <c r="BK315" s="1532"/>
    </row>
    <row r="316" spans="3:63" s="28" customFormat="1" ht="17.100000000000001" hidden="1" customHeight="1" outlineLevel="1">
      <c r="C316" s="489"/>
      <c r="D316" s="241" t="s">
        <v>154</v>
      </c>
      <c r="E316" s="241"/>
      <c r="F316" s="241"/>
      <c r="G316" s="241"/>
      <c r="H316" s="241"/>
      <c r="I316" s="241"/>
      <c r="J316" s="241"/>
      <c r="K316" s="241"/>
      <c r="L316" s="241"/>
      <c r="M316" s="241"/>
      <c r="N316" s="241"/>
      <c r="O316" s="241"/>
      <c r="P316" s="241" t="s">
        <v>118</v>
      </c>
      <c r="Q316" s="241"/>
      <c r="R316" s="241"/>
      <c r="S316" s="241"/>
      <c r="T316" s="241"/>
      <c r="U316" s="1488">
        <f>U$286</f>
        <v>0</v>
      </c>
      <c r="V316" s="1488"/>
      <c r="W316" s="1488"/>
      <c r="X316" s="55"/>
      <c r="Y316" s="1488">
        <f>Y$286</f>
        <v>0</v>
      </c>
      <c r="Z316" s="1488"/>
      <c r="AA316" s="1488"/>
      <c r="AB316" s="55"/>
      <c r="AC316" s="1488">
        <f>AC$286</f>
        <v>0</v>
      </c>
      <c r="AD316" s="1488"/>
      <c r="AE316" s="1488"/>
      <c r="AF316" s="55"/>
      <c r="AG316" s="1488">
        <f>AG$286</f>
        <v>0</v>
      </c>
      <c r="AH316" s="1488"/>
      <c r="AI316" s="1488"/>
      <c r="AJ316" s="242"/>
      <c r="AK316" s="1488">
        <f>SUM(U316:AI316)</f>
        <v>0</v>
      </c>
      <c r="AL316" s="1488"/>
      <c r="AM316" s="1488"/>
      <c r="AN316" s="1488"/>
      <c r="AO316" s="444"/>
      <c r="AP316" s="242"/>
      <c r="AQ316" s="242"/>
      <c r="AR316" s="242"/>
      <c r="AS316" s="1488">
        <f>AS$286</f>
        <v>0</v>
      </c>
      <c r="AT316" s="1488"/>
      <c r="AU316" s="1488"/>
      <c r="AV316" s="55"/>
      <c r="AW316" s="1488">
        <f>AW$286</f>
        <v>0</v>
      </c>
      <c r="AX316" s="1488"/>
      <c r="AY316" s="1488"/>
      <c r="AZ316" s="55"/>
      <c r="BA316" s="1488">
        <f>BA$286</f>
        <v>0</v>
      </c>
      <c r="BB316" s="1488"/>
      <c r="BC316" s="1488"/>
      <c r="BD316" s="55"/>
      <c r="BE316" s="1488">
        <f>BE$286</f>
        <v>0</v>
      </c>
      <c r="BF316" s="1488"/>
      <c r="BG316" s="1488"/>
      <c r="BH316" s="242"/>
      <c r="BI316" s="1488">
        <f>SUM(AS316:BG316)</f>
        <v>0</v>
      </c>
      <c r="BJ316" s="1488"/>
      <c r="BK316" s="1488"/>
    </row>
    <row r="317" spans="3:63" s="155" customFormat="1" ht="17.100000000000001" hidden="1" customHeight="1" outlineLevel="1">
      <c r="C317" s="489"/>
      <c r="D317" s="241" t="s">
        <v>155</v>
      </c>
      <c r="E317" s="241"/>
      <c r="F317" s="241"/>
      <c r="G317" s="241"/>
      <c r="H317" s="241"/>
      <c r="I317" s="241"/>
      <c r="J317" s="241"/>
      <c r="K317" s="241"/>
      <c r="L317" s="241"/>
      <c r="M317" s="241"/>
      <c r="N317" s="240"/>
      <c r="O317" s="240"/>
      <c r="P317" s="241" t="s">
        <v>118</v>
      </c>
      <c r="Q317" s="240"/>
      <c r="R317" s="240"/>
      <c r="S317" s="240"/>
      <c r="T317" s="240"/>
      <c r="U317" s="1489">
        <f>U316-U315*U316</f>
        <v>0</v>
      </c>
      <c r="V317" s="1489"/>
      <c r="W317" s="1489"/>
      <c r="X317" s="245"/>
      <c r="Y317" s="1489">
        <f>Y316-Y315*Y316</f>
        <v>0</v>
      </c>
      <c r="Z317" s="1489"/>
      <c r="AA317" s="1489"/>
      <c r="AB317" s="245"/>
      <c r="AC317" s="1489">
        <f>AC316-AC315*AC316</f>
        <v>0</v>
      </c>
      <c r="AD317" s="1489"/>
      <c r="AE317" s="1489"/>
      <c r="AF317" s="245"/>
      <c r="AG317" s="1489">
        <f>AG316-AG315*AG316</f>
        <v>0</v>
      </c>
      <c r="AH317" s="1489"/>
      <c r="AI317" s="1489"/>
      <c r="AJ317" s="61"/>
      <c r="AK317" s="1489">
        <f>SUM(U317:AI317)</f>
        <v>0</v>
      </c>
      <c r="AL317" s="1489"/>
      <c r="AM317" s="1489"/>
      <c r="AN317" s="1489"/>
      <c r="AO317" s="175"/>
      <c r="AP317" s="156"/>
      <c r="AQ317" s="242"/>
      <c r="AR317" s="242"/>
      <c r="AS317" s="1490">
        <f>AS316-AS315*AS316</f>
        <v>0</v>
      </c>
      <c r="AT317" s="1490"/>
      <c r="AU317" s="1490"/>
      <c r="AV317" s="246"/>
      <c r="AW317" s="1490">
        <f>AW316-AW315*AW316</f>
        <v>0</v>
      </c>
      <c r="AX317" s="1490"/>
      <c r="AY317" s="1490"/>
      <c r="AZ317" s="246"/>
      <c r="BA317" s="1490">
        <f>BA316-BA315*BA316</f>
        <v>0</v>
      </c>
      <c r="BB317" s="1490"/>
      <c r="BC317" s="1490"/>
      <c r="BD317" s="246"/>
      <c r="BE317" s="1490">
        <f>BE316-BE315*BE316</f>
        <v>0</v>
      </c>
      <c r="BF317" s="1490"/>
      <c r="BG317" s="1490"/>
      <c r="BH317" s="156"/>
      <c r="BI317" s="1490">
        <f>SUM(AS317:BG317)</f>
        <v>0</v>
      </c>
      <c r="BJ317" s="1490"/>
      <c r="BK317" s="1490"/>
    </row>
    <row r="318" spans="3:63" s="155" customFormat="1" ht="17.100000000000001" hidden="1" customHeight="1" outlineLevel="1">
      <c r="C318" s="494"/>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247"/>
      <c r="AB318" s="247"/>
      <c r="AC318" s="247"/>
      <c r="AD318" s="247"/>
      <c r="AE318" s="247"/>
      <c r="AP318" s="248"/>
      <c r="AQ318" s="248"/>
      <c r="AR318" s="248"/>
      <c r="AS318" s="248"/>
      <c r="AT318" s="248"/>
      <c r="AU318" s="156"/>
      <c r="BA318" s="28"/>
    </row>
    <row r="319" spans="3:63" s="155" customFormat="1" ht="17.100000000000001" hidden="1" customHeight="1" outlineLevel="1">
      <c r="C319" s="494"/>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247"/>
      <c r="AB319" s="247"/>
      <c r="AC319" s="247"/>
      <c r="AD319" s="247"/>
      <c r="AE319" s="247"/>
      <c r="AP319" s="248"/>
      <c r="AQ319" s="248"/>
      <c r="AR319" s="248"/>
      <c r="AS319" s="248"/>
      <c r="AT319" s="248"/>
      <c r="AU319" s="156"/>
      <c r="BA319" s="28"/>
    </row>
    <row r="320" spans="3:63" s="28" customFormat="1" ht="23.1" hidden="1" customHeight="1" outlineLevel="1">
      <c r="C320" s="515" t="s">
        <v>157</v>
      </c>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c r="AH320" s="239"/>
      <c r="AI320" s="239"/>
      <c r="AJ320" s="239"/>
      <c r="AK320" s="239"/>
      <c r="AL320" s="239"/>
      <c r="AM320" s="239"/>
      <c r="AN320" s="239"/>
      <c r="AO320" s="239"/>
      <c r="AP320" s="239"/>
      <c r="AQ320" s="239"/>
      <c r="AR320" s="239"/>
      <c r="AS320" s="239"/>
      <c r="AT320" s="239"/>
      <c r="AU320" s="239"/>
      <c r="AV320" s="239"/>
      <c r="AW320" s="239"/>
      <c r="AX320" s="239"/>
      <c r="AY320" s="239"/>
      <c r="AZ320" s="239"/>
      <c r="BA320" s="239"/>
      <c r="BB320" s="239"/>
      <c r="BC320" s="239"/>
      <c r="BD320" s="239"/>
      <c r="BE320" s="239"/>
      <c r="BF320" s="239"/>
      <c r="BG320" s="239"/>
      <c r="BH320" s="239"/>
      <c r="BI320" s="239"/>
      <c r="BJ320" s="239"/>
      <c r="BK320" s="239"/>
    </row>
    <row r="321" spans="3:63" s="28" customFormat="1" hidden="1" outlineLevel="1">
      <c r="C321" s="489"/>
    </row>
    <row r="322" spans="3:63" s="28" customFormat="1" hidden="1" outlineLevel="1">
      <c r="C322" s="489"/>
      <c r="U322" s="1569" t="s">
        <v>117</v>
      </c>
      <c r="V322" s="1569"/>
      <c r="W322" s="1569"/>
      <c r="Y322" s="1570" t="s">
        <v>120</v>
      </c>
      <c r="Z322" s="1570"/>
      <c r="AA322" s="1570"/>
      <c r="AC322" s="1568" t="s">
        <v>121</v>
      </c>
      <c r="AD322" s="1568"/>
      <c r="AE322" s="1568"/>
      <c r="AG322" s="1568" t="s">
        <v>122</v>
      </c>
      <c r="AH322" s="1568"/>
      <c r="AI322" s="1568"/>
      <c r="AK322" s="1568" t="s">
        <v>124</v>
      </c>
      <c r="AL322" s="1568"/>
      <c r="AM322" s="1568"/>
      <c r="AN322" s="1568"/>
      <c r="AO322" s="445"/>
      <c r="AS322" s="1569" t="s">
        <v>117</v>
      </c>
      <c r="AT322" s="1569"/>
      <c r="AU322" s="1569"/>
      <c r="AW322" s="1570" t="s">
        <v>120</v>
      </c>
      <c r="AX322" s="1570"/>
      <c r="AY322" s="1570"/>
      <c r="BA322" s="1568" t="s">
        <v>121</v>
      </c>
      <c r="BB322" s="1568"/>
      <c r="BC322" s="1568"/>
      <c r="BE322" s="1568" t="s">
        <v>122</v>
      </c>
      <c r="BF322" s="1568"/>
      <c r="BG322" s="1568"/>
      <c r="BI322" s="1568" t="s">
        <v>124</v>
      </c>
      <c r="BJ322" s="1568"/>
      <c r="BK322" s="1568"/>
    </row>
    <row r="323" spans="3:63" s="28" customFormat="1" hidden="1" outlineLevel="1">
      <c r="C323" s="489"/>
    </row>
    <row r="324" spans="3:63" s="28" customFormat="1" ht="17.100000000000001" hidden="1" customHeight="1" outlineLevel="1">
      <c r="C324" s="519"/>
      <c r="D324" s="252"/>
      <c r="E324" s="252"/>
      <c r="F324" s="252"/>
      <c r="G324" s="252"/>
      <c r="H324" s="252"/>
      <c r="I324" s="252"/>
      <c r="J324" s="252"/>
      <c r="K324" s="252"/>
      <c r="L324" s="252"/>
      <c r="M324" s="252"/>
      <c r="N324" s="252"/>
      <c r="O324" s="252"/>
      <c r="P324" s="252"/>
      <c r="Q324" s="252"/>
      <c r="R324" s="252"/>
      <c r="S324" s="252"/>
      <c r="T324" s="252"/>
      <c r="U324" s="252"/>
      <c r="V324" s="252"/>
      <c r="W324" s="252"/>
      <c r="X324" s="252"/>
      <c r="Y324" s="252"/>
      <c r="Z324" s="252"/>
      <c r="AA324" s="252"/>
      <c r="AB324" s="252"/>
      <c r="AC324" s="252"/>
      <c r="AD324" s="252"/>
      <c r="AE324" s="252"/>
      <c r="AF324" s="252"/>
      <c r="AG324" s="252"/>
      <c r="AH324" s="252"/>
      <c r="AI324" s="252"/>
      <c r="AJ324" s="252"/>
      <c r="AK324" s="252"/>
      <c r="AL324" s="252"/>
      <c r="AM324" s="252"/>
      <c r="AN324" s="252"/>
      <c r="AO324" s="252"/>
      <c r="AP324" s="252"/>
      <c r="AQ324" s="252"/>
      <c r="AR324" s="252"/>
      <c r="AS324" s="252"/>
      <c r="AT324" s="252"/>
      <c r="AU324" s="252"/>
      <c r="AV324" s="252"/>
      <c r="AW324" s="252"/>
      <c r="AX324" s="252"/>
      <c r="AY324" s="252"/>
      <c r="AZ324" s="252"/>
      <c r="BA324" s="252"/>
      <c r="BB324" s="252"/>
      <c r="BC324" s="252"/>
      <c r="BD324" s="252"/>
      <c r="BE324" s="252"/>
      <c r="BF324" s="252"/>
      <c r="BG324" s="252"/>
    </row>
    <row r="325" spans="3:63" s="28" customFormat="1" ht="17.100000000000001" hidden="1" customHeight="1" outlineLevel="1">
      <c r="C325" s="518">
        <f>D75</f>
        <v>0</v>
      </c>
      <c r="D325" s="241"/>
      <c r="E325" s="241"/>
      <c r="F325" s="241"/>
      <c r="G325" s="241"/>
      <c r="H325" s="241"/>
      <c r="I325" s="241"/>
      <c r="J325" s="241"/>
      <c r="K325" s="241"/>
      <c r="L325" s="241"/>
      <c r="M325" s="241"/>
      <c r="N325" s="241"/>
      <c r="O325" s="241"/>
      <c r="P325" s="241"/>
      <c r="Q325" s="241"/>
      <c r="R325" s="241"/>
      <c r="S325" s="241"/>
      <c r="T325" s="241"/>
      <c r="U325" s="1446" t="s">
        <v>117</v>
      </c>
      <c r="V325" s="1446"/>
      <c r="W325" s="1446"/>
      <c r="X325" s="55"/>
      <c r="Y325" s="1446" t="s">
        <v>120</v>
      </c>
      <c r="Z325" s="1446"/>
      <c r="AA325" s="1446"/>
      <c r="AB325" s="55"/>
      <c r="AC325" s="1446" t="s">
        <v>121</v>
      </c>
      <c r="AD325" s="1446"/>
      <c r="AE325" s="1446"/>
      <c r="AF325" s="55"/>
      <c r="AG325" s="1446" t="s">
        <v>122</v>
      </c>
      <c r="AH325" s="1446"/>
      <c r="AI325" s="1446"/>
      <c r="AJ325" s="242"/>
      <c r="AK325" s="242"/>
      <c r="AL325" s="242"/>
      <c r="AM325" s="242"/>
      <c r="AN325" s="242"/>
      <c r="AO325" s="242"/>
      <c r="AP325" s="242"/>
      <c r="AQ325" s="242"/>
      <c r="AR325" s="242"/>
      <c r="AS325" s="1446" t="s">
        <v>117</v>
      </c>
      <c r="AT325" s="1446"/>
      <c r="AU325" s="1446"/>
      <c r="AV325" s="55"/>
      <c r="AW325" s="1446" t="s">
        <v>120</v>
      </c>
      <c r="AX325" s="1446"/>
      <c r="AY325" s="1446"/>
      <c r="AZ325" s="55"/>
      <c r="BA325" s="1446" t="s">
        <v>121</v>
      </c>
      <c r="BB325" s="1446"/>
      <c r="BC325" s="1446"/>
      <c r="BD325" s="55"/>
      <c r="BE325" s="1446" t="s">
        <v>122</v>
      </c>
      <c r="BF325" s="1446"/>
      <c r="BG325" s="1446"/>
      <c r="BH325" s="242"/>
      <c r="BI325" s="242"/>
      <c r="BJ325" s="242"/>
      <c r="BK325" s="242"/>
    </row>
    <row r="326" spans="3:63" s="28" customFormat="1" ht="17.100000000000001" hidden="1" customHeight="1" outlineLevel="1">
      <c r="C326" s="489"/>
      <c r="D326" s="241" t="str">
        <f>D281</f>
        <v>ein/aus</v>
      </c>
      <c r="E326" s="241"/>
      <c r="F326" s="241"/>
      <c r="G326" s="241"/>
      <c r="H326" s="241"/>
      <c r="I326" s="241"/>
      <c r="J326" s="241"/>
      <c r="K326" s="241"/>
      <c r="L326" s="241"/>
      <c r="M326" s="241"/>
      <c r="N326" s="241"/>
      <c r="O326" s="241"/>
      <c r="P326" s="241"/>
      <c r="Q326" s="241"/>
      <c r="R326" s="241"/>
      <c r="S326" s="241"/>
      <c r="T326" s="241"/>
      <c r="U326" s="1447">
        <v>0</v>
      </c>
      <c r="V326" s="1447"/>
      <c r="W326" s="1447"/>
      <c r="X326" s="249"/>
      <c r="Y326" s="1447">
        <v>0</v>
      </c>
      <c r="Z326" s="1447"/>
      <c r="AA326" s="1447"/>
      <c r="AB326" s="249"/>
      <c r="AC326" s="1447">
        <v>0</v>
      </c>
      <c r="AD326" s="1447"/>
      <c r="AE326" s="1447"/>
      <c r="AF326" s="249"/>
      <c r="AG326" s="1447">
        <v>0</v>
      </c>
      <c r="AH326" s="1447"/>
      <c r="AI326" s="1447"/>
      <c r="AJ326" s="242"/>
      <c r="AK326" s="242"/>
      <c r="AL326" s="242"/>
      <c r="AM326" s="242"/>
      <c r="AN326" s="242"/>
      <c r="AO326" s="242"/>
      <c r="AP326" s="242"/>
      <c r="AQ326" s="242"/>
      <c r="AR326" s="242"/>
      <c r="AS326" s="1446">
        <f>U326</f>
        <v>0</v>
      </c>
      <c r="AT326" s="1446"/>
      <c r="AU326" s="1446"/>
      <c r="AV326" s="55"/>
      <c r="AW326" s="1446">
        <f>Y326</f>
        <v>0</v>
      </c>
      <c r="AX326" s="1446"/>
      <c r="AY326" s="1446"/>
      <c r="AZ326" s="55"/>
      <c r="BA326" s="1446">
        <f>AC326</f>
        <v>0</v>
      </c>
      <c r="BB326" s="1446"/>
      <c r="BC326" s="1446"/>
      <c r="BD326" s="55"/>
      <c r="BE326" s="1446">
        <f>AG326</f>
        <v>0</v>
      </c>
      <c r="BF326" s="1446"/>
      <c r="BG326" s="1446"/>
      <c r="BH326" s="242"/>
      <c r="BI326" s="242"/>
      <c r="BJ326" s="242"/>
      <c r="BK326" s="242"/>
    </row>
    <row r="327" spans="3:63" s="28" customFormat="1" ht="17.100000000000001" hidden="1" customHeight="1" outlineLevel="1">
      <c r="C327" s="489"/>
      <c r="D327" s="241" t="str">
        <f>D282</f>
        <v>bedarfsgerechte Ansteuerung (FU)</v>
      </c>
      <c r="E327" s="241"/>
      <c r="F327" s="241"/>
      <c r="G327" s="241"/>
      <c r="H327" s="241"/>
      <c r="I327" s="241"/>
      <c r="J327" s="241"/>
      <c r="K327" s="241"/>
      <c r="L327" s="241"/>
      <c r="M327" s="241"/>
      <c r="N327" s="241"/>
      <c r="O327" s="241"/>
      <c r="P327" s="241"/>
      <c r="Q327" s="241"/>
      <c r="R327" s="241"/>
      <c r="S327" s="241"/>
      <c r="T327" s="241"/>
      <c r="U327" s="1447">
        <v>0.3</v>
      </c>
      <c r="V327" s="1447"/>
      <c r="W327" s="1447"/>
      <c r="X327" s="249"/>
      <c r="Y327" s="1447">
        <v>0</v>
      </c>
      <c r="Z327" s="1447"/>
      <c r="AA327" s="1447"/>
      <c r="AB327" s="249"/>
      <c r="AC327" s="1447">
        <v>0.3</v>
      </c>
      <c r="AD327" s="1447"/>
      <c r="AE327" s="1447"/>
      <c r="AF327" s="249"/>
      <c r="AG327" s="1447">
        <v>0.5</v>
      </c>
      <c r="AH327" s="1447"/>
      <c r="AI327" s="1447"/>
      <c r="AJ327" s="242"/>
      <c r="AK327" s="242"/>
      <c r="AL327" s="242"/>
      <c r="AM327" s="242"/>
      <c r="AN327" s="242"/>
      <c r="AO327" s="242"/>
      <c r="AP327" s="242"/>
      <c r="AQ327" s="242"/>
      <c r="AR327" s="242"/>
      <c r="AS327" s="1446">
        <f>U327</f>
        <v>0.3</v>
      </c>
      <c r="AT327" s="1446"/>
      <c r="AU327" s="1446"/>
      <c r="AV327" s="55"/>
      <c r="AW327" s="1446">
        <f>Y327</f>
        <v>0</v>
      </c>
      <c r="AX327" s="1446"/>
      <c r="AY327" s="1446"/>
      <c r="AZ327" s="55"/>
      <c r="BA327" s="1446">
        <f>AC327</f>
        <v>0.3</v>
      </c>
      <c r="BB327" s="1446"/>
      <c r="BC327" s="1446"/>
      <c r="BD327" s="55"/>
      <c r="BE327" s="1446">
        <f>AG327</f>
        <v>0.5</v>
      </c>
      <c r="BF327" s="1446"/>
      <c r="BG327" s="1446"/>
      <c r="BH327" s="242"/>
      <c r="BI327" s="242"/>
      <c r="BJ327" s="242"/>
      <c r="BK327" s="242"/>
    </row>
    <row r="328" spans="3:63" s="28" customFormat="1" ht="17.100000000000001" hidden="1" customHeight="1" outlineLevel="1">
      <c r="C328" s="489"/>
      <c r="D328" s="241"/>
      <c r="E328" s="241"/>
      <c r="F328" s="241"/>
      <c r="G328" s="241"/>
      <c r="H328" s="241"/>
      <c r="I328" s="241"/>
      <c r="J328" s="241"/>
      <c r="K328" s="241"/>
      <c r="L328" s="241"/>
      <c r="M328" s="241"/>
      <c r="N328" s="241"/>
      <c r="O328" s="241"/>
      <c r="P328" s="241"/>
      <c r="Q328" s="241"/>
      <c r="R328" s="241"/>
      <c r="S328" s="241"/>
      <c r="T328" s="241"/>
      <c r="U328" s="243"/>
      <c r="V328" s="243"/>
      <c r="W328" s="243"/>
      <c r="X328" s="55"/>
      <c r="Y328" s="243"/>
      <c r="Z328" s="243"/>
      <c r="AA328" s="243"/>
      <c r="AB328" s="55"/>
      <c r="AC328" s="243"/>
      <c r="AD328" s="243"/>
      <c r="AE328" s="243"/>
      <c r="AF328" s="55"/>
      <c r="AG328" s="243"/>
      <c r="AH328" s="243"/>
      <c r="AI328" s="243"/>
      <c r="AJ328" s="242"/>
      <c r="AK328" s="242"/>
      <c r="AL328" s="242"/>
      <c r="AM328" s="242"/>
      <c r="AN328" s="242"/>
      <c r="AO328" s="242"/>
      <c r="AP328" s="55"/>
      <c r="AQ328" s="55"/>
      <c r="AR328" s="55"/>
      <c r="AS328" s="243"/>
      <c r="AT328" s="243"/>
      <c r="AU328" s="243"/>
      <c r="AV328" s="55"/>
      <c r="AW328" s="243"/>
      <c r="AX328" s="243"/>
      <c r="AY328" s="243"/>
      <c r="AZ328" s="55"/>
      <c r="BA328" s="243"/>
      <c r="BB328" s="243"/>
      <c r="BC328" s="243"/>
      <c r="BD328" s="55"/>
      <c r="BE328" s="243"/>
      <c r="BF328" s="243"/>
      <c r="BG328" s="243"/>
      <c r="BH328" s="242"/>
      <c r="BI328" s="242"/>
      <c r="BJ328" s="242"/>
      <c r="BK328" s="242"/>
    </row>
    <row r="329" spans="3:63" s="28" customFormat="1" ht="17.100000000000001" hidden="1" customHeight="1" outlineLevel="1">
      <c r="C329" s="489"/>
      <c r="D329" s="244" t="s">
        <v>143</v>
      </c>
      <c r="E329" s="241"/>
      <c r="F329" s="241"/>
      <c r="G329" s="241"/>
      <c r="H329" s="241"/>
      <c r="I329" s="241"/>
      <c r="J329" s="241"/>
      <c r="K329" s="241"/>
      <c r="L329" s="241"/>
      <c r="M329" s="241"/>
      <c r="N329" s="241"/>
      <c r="O329" s="241"/>
      <c r="P329" s="241"/>
      <c r="Q329" s="241"/>
      <c r="R329" s="241"/>
      <c r="S329" s="241"/>
      <c r="T329" s="241"/>
      <c r="U329" s="1530">
        <f>W75</f>
        <v>0</v>
      </c>
      <c r="V329" s="1530"/>
      <c r="W329" s="1530"/>
      <c r="X329" s="1530"/>
      <c r="Y329" s="1530"/>
      <c r="Z329" s="1530"/>
      <c r="AA329" s="1530"/>
      <c r="AB329" s="1530"/>
      <c r="AC329" s="1530"/>
      <c r="AD329" s="1530"/>
      <c r="AE329" s="1530"/>
      <c r="AF329" s="1530"/>
      <c r="AG329" s="1530"/>
      <c r="AH329" s="1530"/>
      <c r="AI329" s="1530"/>
      <c r="AJ329" s="242"/>
      <c r="AK329" s="242"/>
      <c r="AL329" s="242"/>
      <c r="AM329" s="242"/>
      <c r="AN329" s="242"/>
      <c r="AO329" s="242"/>
      <c r="AP329" s="242"/>
      <c r="AQ329" s="242"/>
      <c r="AR329" s="242"/>
      <c r="AS329" s="1530">
        <f>AU75</f>
        <v>0</v>
      </c>
      <c r="AT329" s="1530"/>
      <c r="AU329" s="1530"/>
      <c r="AV329" s="1530"/>
      <c r="AW329" s="1530"/>
      <c r="AX329" s="1530"/>
      <c r="AY329" s="1530"/>
      <c r="AZ329" s="1530"/>
      <c r="BA329" s="1530"/>
      <c r="BB329" s="1530"/>
      <c r="BC329" s="1530"/>
      <c r="BD329" s="1530"/>
      <c r="BE329" s="1530"/>
      <c r="BF329" s="1530"/>
      <c r="BG329" s="1530"/>
      <c r="BH329" s="242"/>
      <c r="BI329" s="242"/>
      <c r="BJ329" s="242"/>
      <c r="BK329" s="242"/>
    </row>
    <row r="330" spans="3:63" s="155" customFormat="1" ht="17.100000000000001" hidden="1" customHeight="1" outlineLevel="1">
      <c r="C330" s="489"/>
      <c r="D330" s="227" t="s">
        <v>153</v>
      </c>
      <c r="N330" s="240"/>
      <c r="O330" s="240"/>
      <c r="P330" s="240"/>
      <c r="Q330" s="240"/>
      <c r="R330" s="240"/>
      <c r="S330" s="240"/>
      <c r="T330" s="240"/>
      <c r="U330" s="1531">
        <f>IF($D327=$U329,U327,U326)</f>
        <v>0</v>
      </c>
      <c r="V330" s="1531"/>
      <c r="W330" s="1531"/>
      <c r="X330" s="55"/>
      <c r="Y330" s="1531">
        <f>IF($D327=$U329,Y327,Y326)</f>
        <v>0</v>
      </c>
      <c r="Z330" s="1531"/>
      <c r="AA330" s="1531"/>
      <c r="AB330" s="55"/>
      <c r="AC330" s="1531">
        <f>IF($D327=$U329,AC327,AC326)</f>
        <v>0</v>
      </c>
      <c r="AD330" s="1531"/>
      <c r="AE330" s="1531"/>
      <c r="AF330" s="55"/>
      <c r="AG330" s="1531">
        <f>IF($D327=$U329,AG327,AG326)</f>
        <v>0</v>
      </c>
      <c r="AH330" s="1531"/>
      <c r="AI330" s="1531"/>
      <c r="AJ330" s="242"/>
      <c r="AK330" s="1532">
        <f>IF(AK331=0,0,1-AK332/AK331)</f>
        <v>0</v>
      </c>
      <c r="AL330" s="1532"/>
      <c r="AM330" s="1532"/>
      <c r="AN330" s="1532"/>
      <c r="AO330" s="449"/>
      <c r="AP330" s="242"/>
      <c r="AQ330" s="242"/>
      <c r="AR330" s="242"/>
      <c r="AS330" s="1531">
        <f>IF($D327=$U329,AS327,AS326)</f>
        <v>0</v>
      </c>
      <c r="AT330" s="1531"/>
      <c r="AU330" s="1531"/>
      <c r="AV330" s="55"/>
      <c r="AW330" s="1531">
        <f>IF($D327=$U329,AW327,AW326)</f>
        <v>0</v>
      </c>
      <c r="AX330" s="1531"/>
      <c r="AY330" s="1531"/>
      <c r="AZ330" s="55"/>
      <c r="BA330" s="1531">
        <f>IF($D327=$U329,BA327,BA326)</f>
        <v>0</v>
      </c>
      <c r="BB330" s="1531"/>
      <c r="BC330" s="1531"/>
      <c r="BD330" s="55"/>
      <c r="BE330" s="1531">
        <f>IF($D327=$U329,BE327,BE326)</f>
        <v>0</v>
      </c>
      <c r="BF330" s="1531"/>
      <c r="BG330" s="1531"/>
      <c r="BH330" s="242"/>
      <c r="BI330" s="1532">
        <f>IF(BI331=0,0,1-BI332/BI331)</f>
        <v>0</v>
      </c>
      <c r="BJ330" s="1532"/>
      <c r="BK330" s="1532"/>
    </row>
    <row r="331" spans="3:63" s="28" customFormat="1" ht="17.100000000000001" hidden="1" customHeight="1" outlineLevel="1">
      <c r="C331" s="489"/>
      <c r="D331" s="241" t="s">
        <v>154</v>
      </c>
      <c r="E331" s="241"/>
      <c r="F331" s="241"/>
      <c r="G331" s="241"/>
      <c r="H331" s="241"/>
      <c r="I331" s="241"/>
      <c r="J331" s="241"/>
      <c r="K331" s="241"/>
      <c r="L331" s="241"/>
      <c r="M331" s="241"/>
      <c r="N331" s="241"/>
      <c r="O331" s="241"/>
      <c r="P331" s="241" t="s">
        <v>118</v>
      </c>
      <c r="Q331" s="241"/>
      <c r="R331" s="241"/>
      <c r="S331" s="241"/>
      <c r="T331" s="241"/>
      <c r="U331" s="1488">
        <f>U$286</f>
        <v>0</v>
      </c>
      <c r="V331" s="1488"/>
      <c r="W331" s="1488"/>
      <c r="X331" s="55"/>
      <c r="Y331" s="1488">
        <f>Y$286</f>
        <v>0</v>
      </c>
      <c r="Z331" s="1488"/>
      <c r="AA331" s="1488"/>
      <c r="AB331" s="55"/>
      <c r="AC331" s="1488">
        <f>AC$286</f>
        <v>0</v>
      </c>
      <c r="AD331" s="1488"/>
      <c r="AE331" s="1488"/>
      <c r="AF331" s="55"/>
      <c r="AG331" s="1488">
        <f>AG$286</f>
        <v>0</v>
      </c>
      <c r="AH331" s="1488"/>
      <c r="AI331" s="1488"/>
      <c r="AJ331" s="242"/>
      <c r="AK331" s="1488">
        <f>SUM(U331:AI331)</f>
        <v>0</v>
      </c>
      <c r="AL331" s="1488"/>
      <c r="AM331" s="1488"/>
      <c r="AN331" s="1488"/>
      <c r="AO331" s="444"/>
      <c r="AP331" s="242"/>
      <c r="AQ331" s="242"/>
      <c r="AR331" s="242"/>
      <c r="AS331" s="1488">
        <f>AS$286</f>
        <v>0</v>
      </c>
      <c r="AT331" s="1488"/>
      <c r="AU331" s="1488"/>
      <c r="AV331" s="55"/>
      <c r="AW331" s="1488">
        <f>AW$286</f>
        <v>0</v>
      </c>
      <c r="AX331" s="1488"/>
      <c r="AY331" s="1488"/>
      <c r="AZ331" s="55"/>
      <c r="BA331" s="1488">
        <f>BA$286</f>
        <v>0</v>
      </c>
      <c r="BB331" s="1488"/>
      <c r="BC331" s="1488"/>
      <c r="BD331" s="55"/>
      <c r="BE331" s="1488">
        <f>BE$286</f>
        <v>0</v>
      </c>
      <c r="BF331" s="1488"/>
      <c r="BG331" s="1488"/>
      <c r="BH331" s="242"/>
      <c r="BI331" s="1488">
        <f>SUM(AS331:BG331)</f>
        <v>0</v>
      </c>
      <c r="BJ331" s="1488"/>
      <c r="BK331" s="1488"/>
    </row>
    <row r="332" spans="3:63" s="155" customFormat="1" ht="17.100000000000001" hidden="1" customHeight="1" outlineLevel="1">
      <c r="C332" s="489"/>
      <c r="D332" s="241" t="s">
        <v>155</v>
      </c>
      <c r="E332" s="241"/>
      <c r="F332" s="241"/>
      <c r="G332" s="241"/>
      <c r="H332" s="241"/>
      <c r="I332" s="241"/>
      <c r="J332" s="241"/>
      <c r="K332" s="241"/>
      <c r="L332" s="241"/>
      <c r="M332" s="241"/>
      <c r="N332" s="240"/>
      <c r="O332" s="240"/>
      <c r="P332" s="241" t="s">
        <v>118</v>
      </c>
      <c r="Q332" s="240"/>
      <c r="R332" s="240"/>
      <c r="S332" s="240"/>
      <c r="T332" s="240"/>
      <c r="U332" s="1489">
        <f>U331-U330*U331</f>
        <v>0</v>
      </c>
      <c r="V332" s="1489"/>
      <c r="W332" s="1489"/>
      <c r="X332" s="245"/>
      <c r="Y332" s="1489">
        <f>Y331-Y330*Y331</f>
        <v>0</v>
      </c>
      <c r="Z332" s="1489"/>
      <c r="AA332" s="1489"/>
      <c r="AB332" s="245"/>
      <c r="AC332" s="1489">
        <f>AC331-AC330*AC331</f>
        <v>0</v>
      </c>
      <c r="AD332" s="1489"/>
      <c r="AE332" s="1489"/>
      <c r="AF332" s="245"/>
      <c r="AG332" s="1489">
        <f>AG331-AG330*AG331</f>
        <v>0</v>
      </c>
      <c r="AH332" s="1489"/>
      <c r="AI332" s="1489"/>
      <c r="AJ332" s="61"/>
      <c r="AK332" s="1489">
        <f>SUM(U332:AI332)</f>
        <v>0</v>
      </c>
      <c r="AL332" s="1489"/>
      <c r="AM332" s="1489"/>
      <c r="AN332" s="1489"/>
      <c r="AO332" s="175"/>
      <c r="AP332" s="156"/>
      <c r="AQ332" s="242"/>
      <c r="AR332" s="242"/>
      <c r="AS332" s="1490">
        <f>AS331-AS330*AS331</f>
        <v>0</v>
      </c>
      <c r="AT332" s="1490"/>
      <c r="AU332" s="1490"/>
      <c r="AV332" s="246"/>
      <c r="AW332" s="1490">
        <f>AW331-AW330*AW331</f>
        <v>0</v>
      </c>
      <c r="AX332" s="1490"/>
      <c r="AY332" s="1490"/>
      <c r="AZ332" s="246"/>
      <c r="BA332" s="1490">
        <f>BA331-BA330*BA331</f>
        <v>0</v>
      </c>
      <c r="BB332" s="1490"/>
      <c r="BC332" s="1490"/>
      <c r="BD332" s="246"/>
      <c r="BE332" s="1490">
        <f>BE331-BE330*BE331</f>
        <v>0</v>
      </c>
      <c r="BF332" s="1490"/>
      <c r="BG332" s="1490"/>
      <c r="BH332" s="156"/>
      <c r="BI332" s="1490">
        <f>SUM(AS332:BG332)</f>
        <v>0</v>
      </c>
      <c r="BJ332" s="1490"/>
      <c r="BK332" s="1490"/>
    </row>
    <row r="333" spans="3:63" s="155" customFormat="1" ht="17.100000000000001" hidden="1" customHeight="1" outlineLevel="1">
      <c r="C333" s="491"/>
      <c r="P333" s="156"/>
      <c r="Q333" s="156"/>
      <c r="R333" s="156"/>
      <c r="S333" s="156"/>
      <c r="T333" s="156"/>
      <c r="U333" s="156"/>
      <c r="V333" s="156"/>
      <c r="W333" s="156"/>
      <c r="X333" s="156"/>
      <c r="Y333" s="156"/>
      <c r="Z333" s="156"/>
      <c r="AA333" s="247"/>
      <c r="AB333" s="247"/>
      <c r="AC333" s="247"/>
      <c r="AD333" s="247"/>
      <c r="AE333" s="247"/>
      <c r="AP333" s="248"/>
      <c r="AQ333" s="248"/>
      <c r="AR333" s="248"/>
      <c r="AS333" s="248"/>
      <c r="AT333" s="248"/>
      <c r="AU333" s="156"/>
      <c r="BA333" s="28"/>
    </row>
    <row r="334" spans="3:63" s="155" customFormat="1" ht="17.100000000000001" hidden="1" customHeight="1" outlineLevel="1">
      <c r="C334" s="491"/>
      <c r="P334" s="156"/>
      <c r="Q334" s="156"/>
      <c r="R334" s="156"/>
      <c r="S334" s="156"/>
      <c r="T334" s="156"/>
      <c r="U334" s="156"/>
      <c r="V334" s="156"/>
      <c r="W334" s="156"/>
      <c r="X334" s="156"/>
      <c r="Y334" s="156"/>
      <c r="Z334" s="156"/>
      <c r="AA334" s="247"/>
      <c r="AB334" s="247"/>
      <c r="AC334" s="247"/>
      <c r="AD334" s="247"/>
      <c r="AE334" s="247"/>
      <c r="AP334" s="248"/>
      <c r="AQ334" s="248"/>
      <c r="AR334" s="248"/>
      <c r="AS334" s="248"/>
      <c r="AT334" s="248"/>
      <c r="AU334" s="156"/>
      <c r="BA334" s="28"/>
    </row>
    <row r="335" spans="3:63" s="28" customFormat="1" ht="17.100000000000001" hidden="1" customHeight="1" outlineLevel="1">
      <c r="C335" s="518">
        <f>D77</f>
        <v>0</v>
      </c>
      <c r="D335" s="241"/>
      <c r="E335" s="241"/>
      <c r="F335" s="241"/>
      <c r="G335" s="241"/>
      <c r="H335" s="241"/>
      <c r="I335" s="241"/>
      <c r="J335" s="241"/>
      <c r="K335" s="241"/>
      <c r="L335" s="241"/>
      <c r="M335" s="241"/>
      <c r="N335" s="241"/>
      <c r="O335" s="241"/>
      <c r="P335" s="241"/>
      <c r="Q335" s="241"/>
      <c r="R335" s="241"/>
      <c r="S335" s="241"/>
      <c r="T335" s="241"/>
      <c r="U335" s="1446" t="s">
        <v>117</v>
      </c>
      <c r="V335" s="1446"/>
      <c r="W335" s="1446"/>
      <c r="X335" s="55"/>
      <c r="Y335" s="1446" t="s">
        <v>120</v>
      </c>
      <c r="Z335" s="1446"/>
      <c r="AA335" s="1446"/>
      <c r="AB335" s="55"/>
      <c r="AC335" s="1446" t="s">
        <v>121</v>
      </c>
      <c r="AD335" s="1446"/>
      <c r="AE335" s="1446"/>
      <c r="AF335" s="55"/>
      <c r="AG335" s="1446" t="s">
        <v>122</v>
      </c>
      <c r="AH335" s="1446"/>
      <c r="AI335" s="1446"/>
      <c r="AJ335" s="242"/>
      <c r="AK335" s="242"/>
      <c r="AL335" s="242"/>
      <c r="AM335" s="242"/>
      <c r="AN335" s="242"/>
      <c r="AO335" s="242"/>
      <c r="AP335" s="242"/>
      <c r="AQ335" s="242"/>
      <c r="AR335" s="242"/>
      <c r="AS335" s="1446" t="s">
        <v>117</v>
      </c>
      <c r="AT335" s="1446"/>
      <c r="AU335" s="1446"/>
      <c r="AV335" s="55"/>
      <c r="AW335" s="1446" t="s">
        <v>120</v>
      </c>
      <c r="AX335" s="1446"/>
      <c r="AY335" s="1446"/>
      <c r="AZ335" s="55"/>
      <c r="BA335" s="1446" t="s">
        <v>121</v>
      </c>
      <c r="BB335" s="1446"/>
      <c r="BC335" s="1446"/>
      <c r="BD335" s="55"/>
      <c r="BE335" s="1446" t="s">
        <v>122</v>
      </c>
      <c r="BF335" s="1446"/>
      <c r="BG335" s="1446"/>
      <c r="BH335" s="242"/>
      <c r="BI335" s="242"/>
      <c r="BJ335" s="242"/>
      <c r="BK335" s="242"/>
    </row>
    <row r="336" spans="3:63" s="28" customFormat="1" ht="17.100000000000001" hidden="1" customHeight="1" outlineLevel="1">
      <c r="C336" s="489"/>
      <c r="D336" s="241" t="str">
        <f>D326</f>
        <v>ein/aus</v>
      </c>
      <c r="E336" s="241"/>
      <c r="F336" s="241"/>
      <c r="G336" s="241"/>
      <c r="H336" s="241"/>
      <c r="I336" s="241"/>
      <c r="J336" s="241"/>
      <c r="K336" s="241"/>
      <c r="L336" s="241"/>
      <c r="M336" s="241"/>
      <c r="N336" s="241"/>
      <c r="O336" s="241"/>
      <c r="P336" s="241"/>
      <c r="Q336" s="241"/>
      <c r="R336" s="241"/>
      <c r="S336" s="241"/>
      <c r="T336" s="241"/>
      <c r="U336" s="1447">
        <v>0</v>
      </c>
      <c r="V336" s="1447"/>
      <c r="W336" s="1447"/>
      <c r="X336" s="249"/>
      <c r="Y336" s="1447">
        <v>0</v>
      </c>
      <c r="Z336" s="1447"/>
      <c r="AA336" s="1447"/>
      <c r="AB336" s="249"/>
      <c r="AC336" s="1447">
        <v>0</v>
      </c>
      <c r="AD336" s="1447"/>
      <c r="AE336" s="1447"/>
      <c r="AF336" s="249"/>
      <c r="AG336" s="1447">
        <v>0</v>
      </c>
      <c r="AH336" s="1447"/>
      <c r="AI336" s="1447"/>
      <c r="AJ336" s="242"/>
      <c r="AK336" s="242"/>
      <c r="AL336" s="242"/>
      <c r="AM336" s="242"/>
      <c r="AN336" s="242"/>
      <c r="AO336" s="242"/>
      <c r="AP336" s="242"/>
      <c r="AQ336" s="242"/>
      <c r="AR336" s="242"/>
      <c r="AS336" s="1446">
        <f>U336</f>
        <v>0</v>
      </c>
      <c r="AT336" s="1446"/>
      <c r="AU336" s="1446"/>
      <c r="AV336" s="55"/>
      <c r="AW336" s="1446">
        <f>Y336</f>
        <v>0</v>
      </c>
      <c r="AX336" s="1446"/>
      <c r="AY336" s="1446"/>
      <c r="AZ336" s="55"/>
      <c r="BA336" s="1446">
        <f>AC336</f>
        <v>0</v>
      </c>
      <c r="BB336" s="1446"/>
      <c r="BC336" s="1446"/>
      <c r="BD336" s="55"/>
      <c r="BE336" s="1446">
        <f>AG336</f>
        <v>0</v>
      </c>
      <c r="BF336" s="1446"/>
      <c r="BG336" s="1446"/>
      <c r="BH336" s="242"/>
      <c r="BI336" s="242"/>
      <c r="BJ336" s="242"/>
      <c r="BK336" s="242"/>
    </row>
    <row r="337" spans="3:63" s="28" customFormat="1" ht="17.100000000000001" hidden="1" customHeight="1" outlineLevel="1">
      <c r="C337" s="489"/>
      <c r="D337" s="241" t="str">
        <f>D327</f>
        <v>bedarfsgerechte Ansteuerung (FU)</v>
      </c>
      <c r="E337" s="241"/>
      <c r="F337" s="241"/>
      <c r="G337" s="241"/>
      <c r="H337" s="241"/>
      <c r="I337" s="241"/>
      <c r="J337" s="241"/>
      <c r="K337" s="241"/>
      <c r="L337" s="241"/>
      <c r="M337" s="241"/>
      <c r="N337" s="241"/>
      <c r="O337" s="241"/>
      <c r="P337" s="241"/>
      <c r="Q337" s="241"/>
      <c r="R337" s="241"/>
      <c r="S337" s="241"/>
      <c r="T337" s="241"/>
      <c r="U337" s="1447">
        <v>0.3</v>
      </c>
      <c r="V337" s="1447"/>
      <c r="W337" s="1447"/>
      <c r="X337" s="249"/>
      <c r="Y337" s="1447">
        <v>0</v>
      </c>
      <c r="Z337" s="1447"/>
      <c r="AA337" s="1447"/>
      <c r="AB337" s="249"/>
      <c r="AC337" s="1447">
        <v>0.3</v>
      </c>
      <c r="AD337" s="1447"/>
      <c r="AE337" s="1447"/>
      <c r="AF337" s="249"/>
      <c r="AG337" s="1447">
        <v>0.5</v>
      </c>
      <c r="AH337" s="1447"/>
      <c r="AI337" s="1447"/>
      <c r="AJ337" s="242"/>
      <c r="AK337" s="242"/>
      <c r="AL337" s="242"/>
      <c r="AM337" s="242"/>
      <c r="AN337" s="242"/>
      <c r="AO337" s="242"/>
      <c r="AP337" s="242"/>
      <c r="AQ337" s="242"/>
      <c r="AR337" s="242"/>
      <c r="AS337" s="1446">
        <f>U337</f>
        <v>0.3</v>
      </c>
      <c r="AT337" s="1446"/>
      <c r="AU337" s="1446"/>
      <c r="AV337" s="55"/>
      <c r="AW337" s="1446">
        <f>Y337</f>
        <v>0</v>
      </c>
      <c r="AX337" s="1446"/>
      <c r="AY337" s="1446"/>
      <c r="AZ337" s="55"/>
      <c r="BA337" s="1446">
        <f>AC337</f>
        <v>0.3</v>
      </c>
      <c r="BB337" s="1446"/>
      <c r="BC337" s="1446"/>
      <c r="BD337" s="55"/>
      <c r="BE337" s="1446">
        <f>AG337</f>
        <v>0.5</v>
      </c>
      <c r="BF337" s="1446"/>
      <c r="BG337" s="1446"/>
      <c r="BH337" s="242"/>
      <c r="BI337" s="242"/>
      <c r="BJ337" s="242"/>
      <c r="BK337" s="242"/>
    </row>
    <row r="338" spans="3:63" s="28" customFormat="1" ht="17.100000000000001" hidden="1" customHeight="1" outlineLevel="1">
      <c r="C338" s="489"/>
      <c r="D338" s="241"/>
      <c r="E338" s="241"/>
      <c r="F338" s="241"/>
      <c r="G338" s="241"/>
      <c r="H338" s="241"/>
      <c r="I338" s="241"/>
      <c r="J338" s="241"/>
      <c r="K338" s="241"/>
      <c r="L338" s="241"/>
      <c r="M338" s="241"/>
      <c r="N338" s="241"/>
      <c r="O338" s="241"/>
      <c r="P338" s="241"/>
      <c r="Q338" s="241"/>
      <c r="R338" s="241"/>
      <c r="S338" s="241"/>
      <c r="T338" s="241"/>
      <c r="U338" s="243"/>
      <c r="V338" s="243"/>
      <c r="W338" s="243"/>
      <c r="X338" s="55"/>
      <c r="Y338" s="243"/>
      <c r="Z338" s="243"/>
      <c r="AA338" s="243"/>
      <c r="AB338" s="55"/>
      <c r="AC338" s="243"/>
      <c r="AD338" s="243"/>
      <c r="AE338" s="243"/>
      <c r="AF338" s="55"/>
      <c r="AG338" s="243"/>
      <c r="AH338" s="243"/>
      <c r="AI338" s="243"/>
      <c r="AJ338" s="242"/>
      <c r="AK338" s="242"/>
      <c r="AL338" s="242"/>
      <c r="AM338" s="242"/>
      <c r="AN338" s="242"/>
      <c r="AO338" s="242"/>
      <c r="AP338" s="55"/>
      <c r="AQ338" s="55"/>
      <c r="AR338" s="55"/>
      <c r="AS338" s="243"/>
      <c r="AT338" s="243"/>
      <c r="AU338" s="243"/>
      <c r="AV338" s="55"/>
      <c r="AW338" s="243"/>
      <c r="AX338" s="243"/>
      <c r="AY338" s="243"/>
      <c r="AZ338" s="55"/>
      <c r="BA338" s="243"/>
      <c r="BB338" s="243"/>
      <c r="BC338" s="243"/>
      <c r="BD338" s="55"/>
      <c r="BE338" s="243"/>
      <c r="BF338" s="243"/>
      <c r="BG338" s="243"/>
      <c r="BH338" s="242"/>
      <c r="BI338" s="242"/>
      <c r="BJ338" s="242"/>
      <c r="BK338" s="242"/>
    </row>
    <row r="339" spans="3:63" s="28" customFormat="1" ht="17.100000000000001" hidden="1" customHeight="1" outlineLevel="1">
      <c r="C339" s="489"/>
      <c r="D339" s="244" t="s">
        <v>143</v>
      </c>
      <c r="E339" s="241"/>
      <c r="F339" s="241"/>
      <c r="G339" s="241"/>
      <c r="H339" s="241"/>
      <c r="I339" s="241"/>
      <c r="J339" s="241"/>
      <c r="K339" s="241"/>
      <c r="L339" s="241"/>
      <c r="M339" s="241"/>
      <c r="N339" s="241"/>
      <c r="O339" s="241"/>
      <c r="P339" s="241"/>
      <c r="Q339" s="241"/>
      <c r="R339" s="241"/>
      <c r="S339" s="241"/>
      <c r="T339" s="241"/>
      <c r="U339" s="1530">
        <f>W77</f>
        <v>0</v>
      </c>
      <c r="V339" s="1530"/>
      <c r="W339" s="1530"/>
      <c r="X339" s="1530"/>
      <c r="Y339" s="1530"/>
      <c r="Z339" s="1530"/>
      <c r="AA339" s="1530"/>
      <c r="AB339" s="1530"/>
      <c r="AC339" s="1530"/>
      <c r="AD339" s="1530"/>
      <c r="AE339" s="1530"/>
      <c r="AF339" s="1530"/>
      <c r="AG339" s="1530"/>
      <c r="AH339" s="1530"/>
      <c r="AI339" s="1530"/>
      <c r="AJ339" s="242"/>
      <c r="AK339" s="242"/>
      <c r="AL339" s="242"/>
      <c r="AM339" s="242"/>
      <c r="AN339" s="242"/>
      <c r="AO339" s="242"/>
      <c r="AP339" s="242"/>
      <c r="AQ339" s="242"/>
      <c r="AR339" s="242"/>
      <c r="AS339" s="1530">
        <f>AU77</f>
        <v>0</v>
      </c>
      <c r="AT339" s="1530"/>
      <c r="AU339" s="1530"/>
      <c r="AV339" s="1530"/>
      <c r="AW339" s="1530"/>
      <c r="AX339" s="1530"/>
      <c r="AY339" s="1530"/>
      <c r="AZ339" s="1530"/>
      <c r="BA339" s="1530"/>
      <c r="BB339" s="1530"/>
      <c r="BC339" s="1530"/>
      <c r="BD339" s="1530"/>
      <c r="BE339" s="1530"/>
      <c r="BF339" s="1530"/>
      <c r="BG339" s="1530"/>
      <c r="BH339" s="242"/>
      <c r="BI339" s="242"/>
      <c r="BJ339" s="242"/>
      <c r="BK339" s="242"/>
    </row>
    <row r="340" spans="3:63" s="155" customFormat="1" ht="17.100000000000001" hidden="1" customHeight="1" outlineLevel="1">
      <c r="C340" s="489"/>
      <c r="D340" s="227" t="s">
        <v>153</v>
      </c>
      <c r="N340" s="240"/>
      <c r="O340" s="240"/>
      <c r="P340" s="240"/>
      <c r="Q340" s="240"/>
      <c r="R340" s="240"/>
      <c r="S340" s="240"/>
      <c r="T340" s="240"/>
      <c r="U340" s="1531">
        <f>IF($D337=$U339,U337,U336)</f>
        <v>0</v>
      </c>
      <c r="V340" s="1531"/>
      <c r="W340" s="1531"/>
      <c r="X340" s="55"/>
      <c r="Y340" s="1531">
        <f>IF($D337=$U339,Y337,Y336)</f>
        <v>0</v>
      </c>
      <c r="Z340" s="1531"/>
      <c r="AA340" s="1531"/>
      <c r="AB340" s="55"/>
      <c r="AC340" s="1531">
        <f>IF($D337=$U339,AC337,AC336)</f>
        <v>0</v>
      </c>
      <c r="AD340" s="1531"/>
      <c r="AE340" s="1531"/>
      <c r="AF340" s="55"/>
      <c r="AG340" s="1531">
        <f>IF($D337=$U339,AG337,AG336)</f>
        <v>0</v>
      </c>
      <c r="AH340" s="1531"/>
      <c r="AI340" s="1531"/>
      <c r="AJ340" s="242"/>
      <c r="AK340" s="1532">
        <f>IF(AK341=0,0,1-AK342/AK341)</f>
        <v>0</v>
      </c>
      <c r="AL340" s="1532"/>
      <c r="AM340" s="1532"/>
      <c r="AN340" s="1532"/>
      <c r="AO340" s="449"/>
      <c r="AP340" s="242"/>
      <c r="AQ340" s="242"/>
      <c r="AR340" s="242"/>
      <c r="AS340" s="1531">
        <f>IF($D337=$U339,AS337,AS336)</f>
        <v>0</v>
      </c>
      <c r="AT340" s="1531"/>
      <c r="AU340" s="1531"/>
      <c r="AV340" s="55"/>
      <c r="AW340" s="1531">
        <f>IF($D337=$U339,AW337,AW336)</f>
        <v>0</v>
      </c>
      <c r="AX340" s="1531"/>
      <c r="AY340" s="1531"/>
      <c r="AZ340" s="55"/>
      <c r="BA340" s="1531">
        <f>IF($D337=$U339,BA337,BA336)</f>
        <v>0</v>
      </c>
      <c r="BB340" s="1531"/>
      <c r="BC340" s="1531"/>
      <c r="BD340" s="55"/>
      <c r="BE340" s="1531">
        <f>IF($D337=$U339,BE337,BE336)</f>
        <v>0</v>
      </c>
      <c r="BF340" s="1531"/>
      <c r="BG340" s="1531"/>
      <c r="BH340" s="242"/>
      <c r="BI340" s="1532">
        <f>IF(BI341=0,0,1-BI342/BI341)</f>
        <v>0</v>
      </c>
      <c r="BJ340" s="1532"/>
      <c r="BK340" s="1532"/>
    </row>
    <row r="341" spans="3:63" s="28" customFormat="1" ht="17.100000000000001" hidden="1" customHeight="1" outlineLevel="1">
      <c r="C341" s="489"/>
      <c r="D341" s="241" t="s">
        <v>154</v>
      </c>
      <c r="E341" s="241"/>
      <c r="F341" s="241"/>
      <c r="G341" s="241"/>
      <c r="H341" s="241"/>
      <c r="I341" s="241"/>
      <c r="J341" s="241"/>
      <c r="K341" s="241"/>
      <c r="L341" s="241"/>
      <c r="M341" s="241"/>
      <c r="N341" s="241"/>
      <c r="O341" s="241"/>
      <c r="P341" s="241" t="s">
        <v>118</v>
      </c>
      <c r="Q341" s="241"/>
      <c r="R341" s="241"/>
      <c r="S341" s="241"/>
      <c r="T341" s="241"/>
      <c r="U341" s="1488">
        <f>U$286</f>
        <v>0</v>
      </c>
      <c r="V341" s="1488"/>
      <c r="W341" s="1488"/>
      <c r="X341" s="55"/>
      <c r="Y341" s="1488">
        <f>Y$286</f>
        <v>0</v>
      </c>
      <c r="Z341" s="1488"/>
      <c r="AA341" s="1488"/>
      <c r="AB341" s="55"/>
      <c r="AC341" s="1488">
        <f>AC$286</f>
        <v>0</v>
      </c>
      <c r="AD341" s="1488"/>
      <c r="AE341" s="1488"/>
      <c r="AF341" s="55"/>
      <c r="AG341" s="1488">
        <f>AG$286</f>
        <v>0</v>
      </c>
      <c r="AH341" s="1488"/>
      <c r="AI341" s="1488"/>
      <c r="AJ341" s="242"/>
      <c r="AK341" s="1488">
        <f>SUM(U341:AI341)</f>
        <v>0</v>
      </c>
      <c r="AL341" s="1488"/>
      <c r="AM341" s="1488"/>
      <c r="AN341" s="1488"/>
      <c r="AO341" s="444"/>
      <c r="AP341" s="242"/>
      <c r="AQ341" s="242"/>
      <c r="AR341" s="242"/>
      <c r="AS341" s="1488">
        <f>AS$286</f>
        <v>0</v>
      </c>
      <c r="AT341" s="1488"/>
      <c r="AU341" s="1488"/>
      <c r="AV341" s="55"/>
      <c r="AW341" s="1488">
        <f>AW$286</f>
        <v>0</v>
      </c>
      <c r="AX341" s="1488"/>
      <c r="AY341" s="1488"/>
      <c r="AZ341" s="55"/>
      <c r="BA341" s="1488">
        <f>BA$286</f>
        <v>0</v>
      </c>
      <c r="BB341" s="1488"/>
      <c r="BC341" s="1488"/>
      <c r="BD341" s="55"/>
      <c r="BE341" s="1488">
        <f>BE$286</f>
        <v>0</v>
      </c>
      <c r="BF341" s="1488"/>
      <c r="BG341" s="1488"/>
      <c r="BH341" s="242"/>
      <c r="BI341" s="1488">
        <f>SUM(AS341:BG341)</f>
        <v>0</v>
      </c>
      <c r="BJ341" s="1488"/>
      <c r="BK341" s="1488"/>
    </row>
    <row r="342" spans="3:63" s="155" customFormat="1" ht="17.100000000000001" hidden="1" customHeight="1" outlineLevel="1">
      <c r="C342" s="489"/>
      <c r="D342" s="241" t="s">
        <v>155</v>
      </c>
      <c r="E342" s="241"/>
      <c r="F342" s="241"/>
      <c r="G342" s="241"/>
      <c r="H342" s="241"/>
      <c r="I342" s="241"/>
      <c r="J342" s="241"/>
      <c r="K342" s="241"/>
      <c r="L342" s="241"/>
      <c r="M342" s="241"/>
      <c r="N342" s="240"/>
      <c r="O342" s="240"/>
      <c r="P342" s="241" t="s">
        <v>118</v>
      </c>
      <c r="Q342" s="240"/>
      <c r="R342" s="240"/>
      <c r="S342" s="240"/>
      <c r="T342" s="240"/>
      <c r="U342" s="1489">
        <f>U341-U340*U341</f>
        <v>0</v>
      </c>
      <c r="V342" s="1489"/>
      <c r="W342" s="1489"/>
      <c r="X342" s="245"/>
      <c r="Y342" s="1489">
        <f>Y341-Y340*Y341</f>
        <v>0</v>
      </c>
      <c r="Z342" s="1489"/>
      <c r="AA342" s="1489"/>
      <c r="AB342" s="245"/>
      <c r="AC342" s="1489">
        <f>AC341-AC340*AC341</f>
        <v>0</v>
      </c>
      <c r="AD342" s="1489"/>
      <c r="AE342" s="1489"/>
      <c r="AF342" s="245"/>
      <c r="AG342" s="1489">
        <f>AG341-AG340*AG341</f>
        <v>0</v>
      </c>
      <c r="AH342" s="1489"/>
      <c r="AI342" s="1489"/>
      <c r="AJ342" s="61"/>
      <c r="AK342" s="1489">
        <f>SUM(U342:AI342)</f>
        <v>0</v>
      </c>
      <c r="AL342" s="1489"/>
      <c r="AM342" s="1489"/>
      <c r="AN342" s="1489"/>
      <c r="AO342" s="175"/>
      <c r="AP342" s="156"/>
      <c r="AQ342" s="242"/>
      <c r="AR342" s="242"/>
      <c r="AS342" s="1490">
        <f>AS341-AS340*AS341</f>
        <v>0</v>
      </c>
      <c r="AT342" s="1490"/>
      <c r="AU342" s="1490"/>
      <c r="AV342" s="246"/>
      <c r="AW342" s="1490">
        <f>AW341-AW340*AW341</f>
        <v>0</v>
      </c>
      <c r="AX342" s="1490"/>
      <c r="AY342" s="1490"/>
      <c r="AZ342" s="246"/>
      <c r="BA342" s="1490">
        <f>BA341-BA340*BA341</f>
        <v>0</v>
      </c>
      <c r="BB342" s="1490"/>
      <c r="BC342" s="1490"/>
      <c r="BD342" s="246"/>
      <c r="BE342" s="1490">
        <f>BE341-BE340*BE341</f>
        <v>0</v>
      </c>
      <c r="BF342" s="1490"/>
      <c r="BG342" s="1490"/>
      <c r="BH342" s="156"/>
      <c r="BI342" s="1490">
        <f>SUM(AS342:BG342)</f>
        <v>0</v>
      </c>
      <c r="BJ342" s="1490"/>
      <c r="BK342" s="1490"/>
    </row>
    <row r="343" spans="3:63" s="155" customFormat="1" ht="17.100000000000001" hidden="1" customHeight="1" outlineLevel="1">
      <c r="C343" s="491"/>
      <c r="P343" s="156"/>
      <c r="Q343" s="156"/>
      <c r="R343" s="156"/>
      <c r="S343" s="156"/>
      <c r="T343" s="156"/>
      <c r="U343" s="156"/>
      <c r="V343" s="156"/>
      <c r="W343" s="156"/>
      <c r="X343" s="156"/>
      <c r="Y343" s="156"/>
      <c r="Z343" s="156"/>
      <c r="AA343" s="247"/>
      <c r="AB343" s="247"/>
      <c r="AC343" s="247"/>
      <c r="AD343" s="247"/>
      <c r="AE343" s="247"/>
      <c r="AP343" s="248"/>
      <c r="AQ343" s="248"/>
      <c r="AR343" s="248"/>
      <c r="AS343" s="248"/>
      <c r="AT343" s="248"/>
      <c r="AU343" s="156"/>
      <c r="BA343" s="28"/>
    </row>
    <row r="344" spans="3:63" ht="15" hidden="1" outlineLevel="1">
      <c r="C344" s="10"/>
      <c r="D344" s="7"/>
      <c r="E344" s="7"/>
      <c r="F344" s="7"/>
      <c r="G344" s="7"/>
      <c r="H344" s="7"/>
      <c r="I344" s="7"/>
      <c r="J344" s="7"/>
      <c r="K344" s="7"/>
      <c r="L344" s="7"/>
      <c r="M344" s="7"/>
      <c r="N344" s="7"/>
      <c r="O344" s="7"/>
      <c r="P344" s="10"/>
      <c r="Q344" s="12"/>
      <c r="R344" s="6"/>
      <c r="S344" s="6"/>
      <c r="T344" s="6"/>
      <c r="U344" s="8"/>
      <c r="V344" s="8"/>
      <c r="W344" s="8"/>
      <c r="X344" s="8"/>
      <c r="Y344" s="8"/>
      <c r="Z344" s="9"/>
      <c r="AB344" s="28"/>
    </row>
    <row r="345" spans="3:63" s="28" customFormat="1" ht="23.1" hidden="1" customHeight="1" outlineLevel="1">
      <c r="C345" s="515" t="s">
        <v>815</v>
      </c>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c r="AI345" s="239"/>
      <c r="AJ345" s="239"/>
      <c r="AK345" s="239"/>
      <c r="AL345" s="239"/>
      <c r="AM345" s="239"/>
      <c r="AN345" s="239"/>
      <c r="AO345" s="239"/>
      <c r="AP345" s="239"/>
      <c r="AQ345" s="239"/>
      <c r="AR345" s="239"/>
      <c r="AS345" s="239"/>
      <c r="AT345" s="239"/>
      <c r="AU345" s="239"/>
      <c r="AV345" s="239"/>
      <c r="AW345" s="239"/>
      <c r="AX345" s="239"/>
      <c r="AY345" s="239"/>
      <c r="AZ345" s="239"/>
      <c r="BA345" s="239"/>
      <c r="BB345" s="239"/>
      <c r="BC345" s="239"/>
      <c r="BD345" s="239"/>
      <c r="BE345" s="239"/>
      <c r="BF345" s="239"/>
      <c r="BG345" s="239"/>
      <c r="BH345" s="239"/>
      <c r="BI345" s="239"/>
      <c r="BJ345" s="239"/>
      <c r="BK345" s="239"/>
    </row>
    <row r="346" spans="3:63" ht="16.5" hidden="1" outlineLevel="1">
      <c r="C346" s="5"/>
      <c r="D346" s="1"/>
      <c r="E346" s="1"/>
      <c r="F346" s="1"/>
      <c r="G346" s="1"/>
      <c r="H346" s="1"/>
      <c r="I346" s="1"/>
      <c r="J346" s="1"/>
      <c r="K346" s="1"/>
      <c r="L346" s="1"/>
      <c r="M346" s="1"/>
      <c r="N346" s="1"/>
      <c r="O346" s="1"/>
      <c r="P346" s="1"/>
      <c r="Q346" s="2"/>
      <c r="R346" s="3"/>
      <c r="S346" s="4"/>
      <c r="T346" s="5"/>
      <c r="U346" s="5"/>
      <c r="V346" s="5"/>
      <c r="W346" s="5"/>
      <c r="X346" s="5"/>
      <c r="Y346" s="5"/>
      <c r="Z346" s="1"/>
      <c r="AB346" s="28"/>
    </row>
    <row r="347" spans="3:63" s="28" customFormat="1" ht="17.100000000000001" hidden="1" customHeight="1" outlineLevel="1">
      <c r="C347" s="496" t="s">
        <v>115</v>
      </c>
      <c r="D347" s="129"/>
      <c r="E347" s="129"/>
      <c r="F347" s="129"/>
      <c r="H347" s="129"/>
      <c r="K347" s="129"/>
      <c r="L347" s="129"/>
      <c r="P347" s="130"/>
      <c r="R347" s="129"/>
      <c r="S347" s="1620">
        <f>S31</f>
        <v>0</v>
      </c>
      <c r="T347" s="1620"/>
      <c r="U347" s="1620"/>
      <c r="V347" s="1620"/>
      <c r="W347" s="1620"/>
      <c r="X347" s="1620"/>
      <c r="Y347" s="1620"/>
      <c r="Z347" s="1620"/>
      <c r="AA347" s="1620"/>
      <c r="AB347" s="1620"/>
      <c r="AC347" s="1620"/>
      <c r="AD347" s="1620"/>
      <c r="AE347" s="1620"/>
      <c r="AF347" s="1620"/>
      <c r="AG347" s="1620"/>
      <c r="AH347" s="1620"/>
      <c r="AI347" s="1620"/>
      <c r="AJ347" s="1620"/>
      <c r="AK347" s="1621"/>
      <c r="AL347" s="212"/>
      <c r="AM347" s="129"/>
      <c r="AN347" s="129"/>
      <c r="AO347" s="129"/>
      <c r="AP347" s="129"/>
      <c r="AQ347" s="129"/>
      <c r="AR347" s="129"/>
      <c r="AS347" s="129"/>
      <c r="AT347" s="129"/>
      <c r="AU347" s="129"/>
    </row>
    <row r="348" spans="3:63" ht="15" hidden="1" outlineLevel="1">
      <c r="C348" s="10"/>
      <c r="D348" s="7"/>
      <c r="E348" s="7"/>
      <c r="F348" s="7"/>
      <c r="G348" s="7"/>
      <c r="H348" s="7"/>
      <c r="I348" s="7"/>
      <c r="J348" s="7"/>
      <c r="K348" s="7"/>
      <c r="L348" s="7"/>
      <c r="M348" s="7"/>
      <c r="N348" s="7"/>
      <c r="O348" s="7"/>
      <c r="P348" s="10"/>
      <c r="Q348" s="12"/>
      <c r="R348" s="6"/>
      <c r="S348" s="7"/>
      <c r="T348" s="8"/>
      <c r="U348" s="8"/>
      <c r="V348" s="8"/>
      <c r="W348" s="8"/>
      <c r="X348" s="8"/>
      <c r="Y348" s="8"/>
      <c r="Z348" s="9"/>
      <c r="AB348" s="28"/>
    </row>
    <row r="349" spans="3:63" s="28" customFormat="1" ht="15" hidden="1" customHeight="1" outlineLevel="1">
      <c r="C349" s="516" t="s">
        <v>117</v>
      </c>
      <c r="D349" s="15"/>
      <c r="E349" s="15"/>
      <c r="F349" s="15"/>
      <c r="G349" s="15"/>
      <c r="H349" s="15"/>
      <c r="I349" s="1523" t="s">
        <v>166</v>
      </c>
      <c r="J349" s="1523"/>
      <c r="K349" s="1523"/>
      <c r="L349" s="27"/>
      <c r="M349" s="1523" t="s">
        <v>167</v>
      </c>
      <c r="N349" s="1523"/>
      <c r="O349" s="1523"/>
      <c r="P349" s="27"/>
      <c r="Q349" s="1523" t="s">
        <v>168</v>
      </c>
      <c r="R349" s="1523"/>
      <c r="S349" s="1523"/>
      <c r="T349" s="27"/>
      <c r="U349" s="1567" t="s">
        <v>178</v>
      </c>
      <c r="V349" s="1567"/>
      <c r="W349" s="1567"/>
      <c r="X349" s="15"/>
      <c r="Y349" s="1528">
        <f>SUM(Y350:AA356)</f>
        <v>0</v>
      </c>
      <c r="Z349" s="1529"/>
      <c r="AA349" s="1529"/>
    </row>
    <row r="350" spans="3:63" s="28" customFormat="1" ht="18.95" hidden="1" customHeight="1" outlineLevel="1">
      <c r="C350" s="549" t="str">
        <f>X!$C$38</f>
        <v>Basel</v>
      </c>
      <c r="D350" s="16"/>
      <c r="E350" s="16"/>
      <c r="F350" s="16"/>
      <c r="G350" s="16"/>
      <c r="H350" s="16"/>
      <c r="I350" s="1700">
        <v>7.9877419354838706</v>
      </c>
      <c r="J350" s="1700"/>
      <c r="K350" s="1700"/>
      <c r="L350" s="450"/>
      <c r="M350" s="1700">
        <v>13.434000000000001</v>
      </c>
      <c r="N350" s="1700"/>
      <c r="O350" s="1700"/>
      <c r="P350" s="450"/>
      <c r="Q350" s="1700">
        <v>16.869999999999997</v>
      </c>
      <c r="R350" s="1700"/>
      <c r="S350" s="1700"/>
      <c r="T350" s="16"/>
      <c r="U350" s="1488">
        <f t="shared" ref="U350:U356" si="0">(I350+M350+Q350)/3</f>
        <v>12.763913978494623</v>
      </c>
      <c r="V350" s="1488">
        <f t="shared" ref="V350:W356" si="1">(4.8+9.5+13)/3</f>
        <v>9.1</v>
      </c>
      <c r="W350" s="1488">
        <f t="shared" si="1"/>
        <v>9.1</v>
      </c>
      <c r="X350" s="17"/>
      <c r="Y350" s="1489">
        <f>IF(C350=S$347,U350,0)</f>
        <v>0</v>
      </c>
      <c r="Z350" s="1489"/>
      <c r="AA350" s="1489"/>
    </row>
    <row r="351" spans="3:63" s="28" customFormat="1" ht="18.95" hidden="1" customHeight="1" outlineLevel="1">
      <c r="C351" s="549" t="str">
        <f>X!$C$55</f>
        <v>Bern</v>
      </c>
      <c r="D351" s="16"/>
      <c r="E351" s="16"/>
      <c r="F351" s="16"/>
      <c r="G351" s="16"/>
      <c r="H351" s="16"/>
      <c r="I351" s="1700">
        <v>6.5119354838709684</v>
      </c>
      <c r="J351" s="1700"/>
      <c r="K351" s="1700"/>
      <c r="L351" s="450"/>
      <c r="M351" s="1700">
        <v>12.053333333333335</v>
      </c>
      <c r="N351" s="1700"/>
      <c r="O351" s="1700"/>
      <c r="P351" s="450"/>
      <c r="Q351" s="1700">
        <v>15.602258064516132</v>
      </c>
      <c r="R351" s="1700"/>
      <c r="S351" s="1700"/>
      <c r="T351" s="16"/>
      <c r="U351" s="1488">
        <f t="shared" si="0"/>
        <v>11.389175627240144</v>
      </c>
      <c r="V351" s="1488">
        <f t="shared" si="1"/>
        <v>9.1</v>
      </c>
      <c r="W351" s="1488">
        <f t="shared" si="1"/>
        <v>9.1</v>
      </c>
      <c r="X351" s="17"/>
      <c r="Y351" s="1489">
        <f t="shared" ref="Y351:Y356" si="2">IF(C351=S$347,U351,0)</f>
        <v>0</v>
      </c>
      <c r="Z351" s="1489"/>
      <c r="AA351" s="1489"/>
    </row>
    <row r="352" spans="3:63" s="28" customFormat="1" ht="18.95" hidden="1" customHeight="1" outlineLevel="1">
      <c r="C352" s="1060" t="str">
        <f>X!C358</f>
        <v>Davos</v>
      </c>
      <c r="D352" s="16"/>
      <c r="E352" s="16"/>
      <c r="F352" s="16"/>
      <c r="G352" s="16"/>
      <c r="H352" s="16"/>
      <c r="I352" s="1700">
        <v>-1</v>
      </c>
      <c r="J352" s="1700"/>
      <c r="K352" s="1700"/>
      <c r="L352" s="450"/>
      <c r="M352" s="1700">
        <v>3.8</v>
      </c>
      <c r="N352" s="1700"/>
      <c r="O352" s="1700"/>
      <c r="P352" s="450"/>
      <c r="Q352" s="1700">
        <v>7.5</v>
      </c>
      <c r="R352" s="1700"/>
      <c r="S352" s="1700"/>
      <c r="T352" s="16"/>
      <c r="U352" s="1488">
        <f>(I352+M352+Q352)/3</f>
        <v>3.4333333333333336</v>
      </c>
      <c r="V352" s="1488">
        <f t="shared" si="1"/>
        <v>9.1</v>
      </c>
      <c r="W352" s="1488">
        <f t="shared" si="1"/>
        <v>9.1</v>
      </c>
      <c r="X352" s="17"/>
      <c r="Y352" s="1489">
        <f>IF(C352=S$347,U352,0)</f>
        <v>0</v>
      </c>
      <c r="Z352" s="1489"/>
      <c r="AA352" s="1489"/>
    </row>
    <row r="353" spans="3:28" s="28" customFormat="1" ht="18.95" hidden="1" customHeight="1" outlineLevel="1">
      <c r="C353" s="549" t="str">
        <f>X!$C$116</f>
        <v>Genf</v>
      </c>
      <c r="D353" s="16"/>
      <c r="E353" s="16"/>
      <c r="F353" s="16"/>
      <c r="G353" s="16"/>
      <c r="H353" s="16"/>
      <c r="I353" s="1700">
        <v>8.1058064516129029</v>
      </c>
      <c r="J353" s="1700"/>
      <c r="K353" s="1700"/>
      <c r="L353" s="450"/>
      <c r="M353" s="1700">
        <v>13.476000000000003</v>
      </c>
      <c r="N353" s="1700"/>
      <c r="O353" s="1700"/>
      <c r="P353" s="450"/>
      <c r="Q353" s="1700">
        <v>16.889354838709675</v>
      </c>
      <c r="R353" s="1700"/>
      <c r="S353" s="1700"/>
      <c r="T353" s="16"/>
      <c r="U353" s="1488">
        <f t="shared" si="0"/>
        <v>12.823720430107528</v>
      </c>
      <c r="V353" s="1488">
        <f t="shared" si="1"/>
        <v>9.1</v>
      </c>
      <c r="W353" s="1488">
        <f t="shared" si="1"/>
        <v>9.1</v>
      </c>
      <c r="X353" s="17"/>
      <c r="Y353" s="1489">
        <f t="shared" si="2"/>
        <v>0</v>
      </c>
      <c r="Z353" s="1489"/>
      <c r="AA353" s="1489"/>
    </row>
    <row r="354" spans="3:28" s="28" customFormat="1" ht="18.95" hidden="1" customHeight="1" outlineLevel="1">
      <c r="C354" s="549" t="str">
        <f>X!$C$174</f>
        <v>Lugano</v>
      </c>
      <c r="D354" s="16"/>
      <c r="E354" s="16"/>
      <c r="F354" s="16"/>
      <c r="G354" s="16"/>
      <c r="H354" s="16"/>
      <c r="I354" s="1700">
        <v>9.8825806451612905</v>
      </c>
      <c r="J354" s="1700"/>
      <c r="K354" s="1700"/>
      <c r="L354" s="450"/>
      <c r="M354" s="1700">
        <v>14.089333333333334</v>
      </c>
      <c r="N354" s="1700"/>
      <c r="O354" s="1700"/>
      <c r="P354" s="450"/>
      <c r="Q354" s="1700">
        <v>18.090967741935479</v>
      </c>
      <c r="R354" s="1700"/>
      <c r="S354" s="1700"/>
      <c r="T354" s="16"/>
      <c r="U354" s="1488">
        <f t="shared" si="0"/>
        <v>14.020960573476701</v>
      </c>
      <c r="V354" s="1488">
        <f t="shared" si="1"/>
        <v>9.1</v>
      </c>
      <c r="W354" s="1488">
        <f t="shared" si="1"/>
        <v>9.1</v>
      </c>
      <c r="X354" s="17"/>
      <c r="Y354" s="1489">
        <f t="shared" si="2"/>
        <v>0</v>
      </c>
      <c r="Z354" s="1489"/>
      <c r="AA354" s="1489"/>
    </row>
    <row r="355" spans="3:28" s="28" customFormat="1" ht="18.95" hidden="1" customHeight="1" outlineLevel="1">
      <c r="C355" s="549" t="str">
        <f>X!$C$213</f>
        <v>St. Gallen</v>
      </c>
      <c r="D355" s="16"/>
      <c r="E355" s="16"/>
      <c r="F355" s="16"/>
      <c r="G355" s="16"/>
      <c r="H355" s="16"/>
      <c r="I355" s="1700">
        <v>4.8217018909899894</v>
      </c>
      <c r="J355" s="1700"/>
      <c r="K355" s="1700"/>
      <c r="L355" s="450"/>
      <c r="M355" s="1700">
        <v>10.16</v>
      </c>
      <c r="N355" s="1700"/>
      <c r="O355" s="1700"/>
      <c r="P355" s="450"/>
      <c r="Q355" s="1700">
        <v>13.814838709677421</v>
      </c>
      <c r="R355" s="1700"/>
      <c r="S355" s="1700"/>
      <c r="T355" s="16"/>
      <c r="U355" s="1488">
        <f t="shared" si="0"/>
        <v>9.5988468668891365</v>
      </c>
      <c r="V355" s="1488">
        <f t="shared" si="1"/>
        <v>9.1</v>
      </c>
      <c r="W355" s="1488">
        <f t="shared" si="1"/>
        <v>9.1</v>
      </c>
      <c r="X355" s="17"/>
      <c r="Y355" s="1489">
        <f t="shared" si="2"/>
        <v>0</v>
      </c>
      <c r="Z355" s="1489"/>
      <c r="AA355" s="1489"/>
    </row>
    <row r="356" spans="3:28" s="28" customFormat="1" ht="18.95" hidden="1" customHeight="1" outlineLevel="1">
      <c r="C356" s="549" t="str">
        <f>X!$C$275</f>
        <v>Zürich</v>
      </c>
      <c r="D356" s="16"/>
      <c r="E356" s="16"/>
      <c r="F356" s="16"/>
      <c r="G356" s="16"/>
      <c r="H356" s="16"/>
      <c r="I356" s="1700">
        <v>6.5819354838709669</v>
      </c>
      <c r="J356" s="1700"/>
      <c r="K356" s="1700"/>
      <c r="L356" s="450"/>
      <c r="M356" s="1700">
        <v>12.138999999999999</v>
      </c>
      <c r="N356" s="1700"/>
      <c r="O356" s="1700"/>
      <c r="P356" s="450"/>
      <c r="Q356" s="1700">
        <v>15.498387096774195</v>
      </c>
      <c r="R356" s="1700"/>
      <c r="S356" s="1700"/>
      <c r="T356" s="16"/>
      <c r="U356" s="1488">
        <f t="shared" si="0"/>
        <v>11.406440860215055</v>
      </c>
      <c r="V356" s="1488">
        <f t="shared" si="1"/>
        <v>9.1</v>
      </c>
      <c r="W356" s="1488">
        <f t="shared" si="1"/>
        <v>9.1</v>
      </c>
      <c r="X356" s="17"/>
      <c r="Y356" s="1489">
        <f t="shared" si="2"/>
        <v>0</v>
      </c>
      <c r="Z356" s="1489"/>
      <c r="AA356" s="1489"/>
    </row>
    <row r="357" spans="3:28" hidden="1" outlineLevel="1">
      <c r="C357" s="10"/>
      <c r="D357" s="7"/>
      <c r="E357" s="7"/>
      <c r="F357" s="7"/>
      <c r="G357" s="7"/>
      <c r="H357" s="7"/>
      <c r="I357" s="451"/>
      <c r="J357" s="451"/>
      <c r="K357" s="451"/>
      <c r="L357" s="451"/>
      <c r="M357" s="451"/>
      <c r="N357" s="451"/>
      <c r="O357" s="452"/>
      <c r="P357" s="452"/>
      <c r="Q357" s="452"/>
      <c r="R357" s="452"/>
      <c r="S357" s="452"/>
    </row>
    <row r="358" spans="3:28" ht="16.5" hidden="1" outlineLevel="1">
      <c r="C358" s="5"/>
      <c r="D358" s="1"/>
      <c r="E358" s="1"/>
      <c r="F358" s="1"/>
      <c r="G358" s="1"/>
      <c r="H358" s="1"/>
      <c r="I358" s="453"/>
      <c r="J358" s="453"/>
      <c r="K358" s="453"/>
      <c r="L358" s="453"/>
      <c r="M358" s="453"/>
      <c r="N358" s="453"/>
      <c r="O358" s="453"/>
      <c r="P358" s="453"/>
      <c r="Q358" s="454"/>
      <c r="R358" s="455"/>
      <c r="S358" s="13"/>
      <c r="T358" s="3"/>
      <c r="U358" s="3"/>
      <c r="V358" s="3"/>
      <c r="W358" s="3"/>
      <c r="X358" s="3"/>
      <c r="Y358" s="3"/>
      <c r="Z358" s="3"/>
      <c r="AB358" s="28"/>
    </row>
    <row r="359" spans="3:28" s="28" customFormat="1" ht="20.100000000000001" hidden="1" customHeight="1" outlineLevel="1">
      <c r="C359" s="516" t="s">
        <v>120</v>
      </c>
      <c r="D359" s="15"/>
      <c r="E359" s="15"/>
      <c r="F359" s="15"/>
      <c r="G359" s="15"/>
      <c r="H359" s="15"/>
      <c r="I359" s="1705" t="s">
        <v>169</v>
      </c>
      <c r="J359" s="1705"/>
      <c r="K359" s="1705"/>
      <c r="L359" s="456"/>
      <c r="M359" s="1705" t="s">
        <v>170</v>
      </c>
      <c r="N359" s="1705"/>
      <c r="O359" s="1705"/>
      <c r="P359" s="456"/>
      <c r="Q359" s="1705" t="s">
        <v>171</v>
      </c>
      <c r="R359" s="1705"/>
      <c r="S359" s="1705"/>
      <c r="T359" s="27"/>
      <c r="U359" s="1567" t="s">
        <v>178</v>
      </c>
      <c r="V359" s="1567"/>
      <c r="W359" s="1567"/>
      <c r="X359" s="15"/>
      <c r="Y359" s="1528">
        <f>SUM(Y360:AA366)</f>
        <v>0</v>
      </c>
      <c r="Z359" s="1529"/>
      <c r="AA359" s="1529"/>
    </row>
    <row r="360" spans="3:28" ht="15" hidden="1" outlineLevel="1">
      <c r="C360" s="517" t="str">
        <f>C350</f>
        <v>Basel</v>
      </c>
      <c r="D360" s="16"/>
      <c r="E360" s="16"/>
      <c r="F360" s="16"/>
      <c r="G360" s="16"/>
      <c r="H360" s="16"/>
      <c r="I360" s="1700">
        <v>20.448333333333331</v>
      </c>
      <c r="J360" s="1700"/>
      <c r="K360" s="1700"/>
      <c r="L360" s="450"/>
      <c r="M360" s="1700">
        <v>22.596774193548388</v>
      </c>
      <c r="N360" s="1700"/>
      <c r="O360" s="1700"/>
      <c r="P360" s="450"/>
      <c r="Q360" s="1700">
        <v>21.15</v>
      </c>
      <c r="R360" s="1700"/>
      <c r="S360" s="1700"/>
      <c r="T360" s="16"/>
      <c r="U360" s="1488">
        <f t="shared" ref="U360:U366" si="3">(I360+M360+Q360)/3</f>
        <v>21.398369175627238</v>
      </c>
      <c r="V360" s="1488">
        <f t="shared" ref="V360:W366" si="4">(4.8+9.5+13)/3</f>
        <v>9.1</v>
      </c>
      <c r="W360" s="1488">
        <f t="shared" si="4"/>
        <v>9.1</v>
      </c>
      <c r="X360" s="17"/>
      <c r="Y360" s="1489">
        <f>IF(C360=S$347,U360,0)</f>
        <v>0</v>
      </c>
      <c r="Z360" s="1489"/>
      <c r="AA360" s="1489"/>
      <c r="AB360" s="28"/>
    </row>
    <row r="361" spans="3:28" ht="15" hidden="1" outlineLevel="1">
      <c r="C361" s="517" t="str">
        <f>C351</f>
        <v>Bern</v>
      </c>
      <c r="D361" s="16"/>
      <c r="E361" s="16"/>
      <c r="F361" s="16"/>
      <c r="G361" s="16"/>
      <c r="H361" s="16"/>
      <c r="I361" s="1700">
        <v>19.423999999999999</v>
      </c>
      <c r="J361" s="1700"/>
      <c r="K361" s="1700"/>
      <c r="L361" s="450"/>
      <c r="M361" s="1700">
        <v>21.546774193548387</v>
      </c>
      <c r="N361" s="1700"/>
      <c r="O361" s="1700"/>
      <c r="P361" s="450"/>
      <c r="Q361" s="1700">
        <v>20.179677419354839</v>
      </c>
      <c r="R361" s="1700"/>
      <c r="S361" s="1700"/>
      <c r="T361" s="16"/>
      <c r="U361" s="1488">
        <f t="shared" si="3"/>
        <v>20.383483870967741</v>
      </c>
      <c r="V361" s="1488">
        <f t="shared" si="4"/>
        <v>9.1</v>
      </c>
      <c r="W361" s="1488">
        <f t="shared" si="4"/>
        <v>9.1</v>
      </c>
      <c r="X361" s="17"/>
      <c r="Y361" s="1489">
        <f t="shared" ref="Y361:Y366" si="5">IF(C361=S$347,U361,0)</f>
        <v>0</v>
      </c>
      <c r="Z361" s="1489"/>
      <c r="AA361" s="1489"/>
      <c r="AB361" s="28"/>
    </row>
    <row r="362" spans="3:28" s="28" customFormat="1" ht="18.95" hidden="1" customHeight="1" outlineLevel="1">
      <c r="C362" s="517" t="str">
        <f t="shared" ref="C362:C363" si="6">C352</f>
        <v>Davos</v>
      </c>
      <c r="D362" s="16"/>
      <c r="E362" s="16"/>
      <c r="F362" s="16"/>
      <c r="G362" s="16"/>
      <c r="H362" s="16"/>
      <c r="I362" s="1700">
        <v>11.1</v>
      </c>
      <c r="J362" s="1700"/>
      <c r="K362" s="1700"/>
      <c r="L362" s="450"/>
      <c r="M362" s="1700">
        <v>13.2</v>
      </c>
      <c r="N362" s="1700"/>
      <c r="O362" s="1700"/>
      <c r="P362" s="450"/>
      <c r="Q362" s="1700">
        <v>12.2</v>
      </c>
      <c r="R362" s="1700"/>
      <c r="S362" s="1700"/>
      <c r="T362" s="16"/>
      <c r="U362" s="1488">
        <f t="shared" si="3"/>
        <v>12.166666666666666</v>
      </c>
      <c r="V362" s="1488">
        <f t="shared" si="4"/>
        <v>9.1</v>
      </c>
      <c r="W362" s="1488">
        <f t="shared" si="4"/>
        <v>9.1</v>
      </c>
      <c r="X362" s="17"/>
      <c r="Y362" s="1489">
        <f t="shared" si="5"/>
        <v>0</v>
      </c>
      <c r="Z362" s="1489"/>
      <c r="AA362" s="1489"/>
    </row>
    <row r="363" spans="3:28" ht="15" hidden="1" outlineLevel="1">
      <c r="C363" s="517" t="str">
        <f t="shared" si="6"/>
        <v>Genf</v>
      </c>
      <c r="D363" s="16"/>
      <c r="E363" s="16"/>
      <c r="F363" s="16"/>
      <c r="G363" s="16"/>
      <c r="H363" s="16"/>
      <c r="I363" s="1700">
        <v>20.847356321839079</v>
      </c>
      <c r="J363" s="1700"/>
      <c r="K363" s="1700"/>
      <c r="L363" s="450"/>
      <c r="M363" s="1700">
        <v>23.107741935483865</v>
      </c>
      <c r="N363" s="1700"/>
      <c r="O363" s="1700"/>
      <c r="P363" s="450"/>
      <c r="Q363" s="1700">
        <v>21.791935483870972</v>
      </c>
      <c r="R363" s="1700"/>
      <c r="S363" s="1700"/>
      <c r="T363" s="16"/>
      <c r="U363" s="1488">
        <f t="shared" si="3"/>
        <v>21.915677913731304</v>
      </c>
      <c r="V363" s="1488">
        <f t="shared" si="4"/>
        <v>9.1</v>
      </c>
      <c r="W363" s="1488">
        <f t="shared" si="4"/>
        <v>9.1</v>
      </c>
      <c r="X363" s="17"/>
      <c r="Y363" s="1489">
        <f t="shared" si="5"/>
        <v>0</v>
      </c>
      <c r="Z363" s="1489"/>
      <c r="AA363" s="1489"/>
      <c r="AB363" s="28"/>
    </row>
    <row r="364" spans="3:28" ht="15" hidden="1" outlineLevel="1">
      <c r="C364" s="517" t="str">
        <f>C354</f>
        <v>Lugano</v>
      </c>
      <c r="D364" s="16"/>
      <c r="E364" s="16"/>
      <c r="F364" s="16"/>
      <c r="G364" s="16"/>
      <c r="H364" s="16"/>
      <c r="I364" s="1700">
        <v>22.057333333333336</v>
      </c>
      <c r="J364" s="1700"/>
      <c r="K364" s="1700"/>
      <c r="L364" s="450"/>
      <c r="M364" s="1700">
        <v>24.600967741935484</v>
      </c>
      <c r="N364" s="1700"/>
      <c r="O364" s="1700"/>
      <c r="P364" s="450"/>
      <c r="Q364" s="1700">
        <v>23.465806451612902</v>
      </c>
      <c r="R364" s="1700"/>
      <c r="S364" s="1700"/>
      <c r="T364" s="16"/>
      <c r="U364" s="1488">
        <f t="shared" si="3"/>
        <v>23.374702508960578</v>
      </c>
      <c r="V364" s="1488">
        <f t="shared" si="4"/>
        <v>9.1</v>
      </c>
      <c r="W364" s="1488">
        <f t="shared" si="4"/>
        <v>9.1</v>
      </c>
      <c r="X364" s="17"/>
      <c r="Y364" s="1489">
        <f t="shared" si="5"/>
        <v>0</v>
      </c>
      <c r="Z364" s="1489"/>
      <c r="AA364" s="1489"/>
      <c r="AB364" s="28"/>
    </row>
    <row r="365" spans="3:28" ht="15" hidden="1" outlineLevel="1">
      <c r="C365" s="517" t="str">
        <f>C355</f>
        <v>St. Gallen</v>
      </c>
      <c r="D365" s="16"/>
      <c r="E365" s="16"/>
      <c r="F365" s="16"/>
      <c r="G365" s="16"/>
      <c r="H365" s="16"/>
      <c r="I365" s="1700">
        <v>17.133333333333333</v>
      </c>
      <c r="J365" s="1700"/>
      <c r="K365" s="1700"/>
      <c r="L365" s="450"/>
      <c r="M365" s="1700">
        <v>19.345806451612908</v>
      </c>
      <c r="N365" s="1700"/>
      <c r="O365" s="1700"/>
      <c r="P365" s="450"/>
      <c r="Q365" s="1700">
        <v>18.054193548387097</v>
      </c>
      <c r="R365" s="1700"/>
      <c r="S365" s="1700"/>
      <c r="T365" s="16"/>
      <c r="U365" s="1488">
        <f t="shared" si="3"/>
        <v>18.177777777777781</v>
      </c>
      <c r="V365" s="1488">
        <f t="shared" si="4"/>
        <v>9.1</v>
      </c>
      <c r="W365" s="1488">
        <f t="shared" si="4"/>
        <v>9.1</v>
      </c>
      <c r="X365" s="17"/>
      <c r="Y365" s="1489">
        <f t="shared" si="5"/>
        <v>0</v>
      </c>
      <c r="Z365" s="1489"/>
      <c r="AA365" s="1489"/>
      <c r="AB365" s="28"/>
    </row>
    <row r="366" spans="3:28" ht="15" hidden="1" outlineLevel="1">
      <c r="C366" s="517" t="str">
        <f>C356</f>
        <v>Zürich</v>
      </c>
      <c r="D366" s="16"/>
      <c r="E366" s="16"/>
      <c r="F366" s="16"/>
      <c r="G366" s="16"/>
      <c r="H366" s="16"/>
      <c r="I366" s="1700">
        <v>19.078666666666667</v>
      </c>
      <c r="J366" s="1700"/>
      <c r="K366" s="1700"/>
      <c r="L366" s="450"/>
      <c r="M366" s="1700">
        <v>21.119032258064514</v>
      </c>
      <c r="N366" s="1700"/>
      <c r="O366" s="1700"/>
      <c r="P366" s="450"/>
      <c r="Q366" s="1700">
        <v>19.77225806451613</v>
      </c>
      <c r="R366" s="1700"/>
      <c r="S366" s="1700"/>
      <c r="T366" s="16"/>
      <c r="U366" s="1488">
        <f t="shared" si="3"/>
        <v>19.98998566308244</v>
      </c>
      <c r="V366" s="1488">
        <f t="shared" si="4"/>
        <v>9.1</v>
      </c>
      <c r="W366" s="1488">
        <f t="shared" si="4"/>
        <v>9.1</v>
      </c>
      <c r="X366" s="17"/>
      <c r="Y366" s="1489">
        <f t="shared" si="5"/>
        <v>0</v>
      </c>
      <c r="Z366" s="1489"/>
      <c r="AA366" s="1489"/>
      <c r="AB366" s="28"/>
    </row>
    <row r="367" spans="3:28" ht="15" hidden="1" outlineLevel="1">
      <c r="C367" s="10"/>
      <c r="D367" s="7"/>
      <c r="E367" s="7"/>
      <c r="F367" s="7"/>
      <c r="G367" s="7"/>
      <c r="H367" s="7"/>
      <c r="I367" s="451"/>
      <c r="J367" s="451"/>
      <c r="K367" s="451"/>
      <c r="L367" s="451"/>
      <c r="M367" s="451"/>
      <c r="N367" s="451"/>
      <c r="O367" s="451"/>
      <c r="P367" s="457"/>
      <c r="Q367" s="458"/>
      <c r="R367" s="14"/>
      <c r="S367" s="14"/>
      <c r="T367" s="6"/>
      <c r="U367" s="6"/>
      <c r="V367" s="6"/>
      <c r="W367" s="8"/>
      <c r="X367" s="8"/>
      <c r="Y367" s="8"/>
      <c r="Z367" s="9"/>
      <c r="AB367" s="28"/>
    </row>
    <row r="368" spans="3:28" hidden="1" outlineLevel="1">
      <c r="C368" s="520" t="s">
        <v>121</v>
      </c>
      <c r="D368" s="11"/>
      <c r="E368" s="11"/>
      <c r="F368" s="11"/>
      <c r="G368" s="11"/>
      <c r="H368" s="11"/>
      <c r="I368" s="1705" t="s">
        <v>172</v>
      </c>
      <c r="J368" s="1705"/>
      <c r="K368" s="1705"/>
      <c r="L368" s="456"/>
      <c r="M368" s="1705" t="s">
        <v>173</v>
      </c>
      <c r="N368" s="1705"/>
      <c r="O368" s="1705"/>
      <c r="P368" s="456"/>
      <c r="Q368" s="1705" t="s">
        <v>174</v>
      </c>
      <c r="R368" s="1705"/>
      <c r="S368" s="1705"/>
      <c r="T368" s="27"/>
      <c r="U368" s="1567" t="s">
        <v>178</v>
      </c>
      <c r="V368" s="1567"/>
      <c r="W368" s="1567"/>
      <c r="X368" s="15"/>
      <c r="Y368" s="1528">
        <f>SUM(Y369:AA375)</f>
        <v>0</v>
      </c>
      <c r="Z368" s="1529"/>
      <c r="AA368" s="1529"/>
    </row>
    <row r="369" spans="3:27" ht="15" hidden="1" outlineLevel="1">
      <c r="C369" s="517" t="str">
        <f>C350</f>
        <v>Basel</v>
      </c>
      <c r="D369" s="16"/>
      <c r="E369" s="16"/>
      <c r="F369" s="16"/>
      <c r="G369" s="16"/>
      <c r="H369" s="16"/>
      <c r="I369" s="1700">
        <v>17.377333333333333</v>
      </c>
      <c r="J369" s="1700"/>
      <c r="K369" s="1700"/>
      <c r="L369" s="450"/>
      <c r="M369" s="1700">
        <v>12.674193548387098</v>
      </c>
      <c r="N369" s="1700"/>
      <c r="O369" s="1700"/>
      <c r="P369" s="450"/>
      <c r="Q369" s="1700">
        <v>7.6366666666666649</v>
      </c>
      <c r="R369" s="1700"/>
      <c r="S369" s="1700"/>
      <c r="T369" s="16"/>
      <c r="U369" s="1488">
        <f t="shared" ref="U369:U375" si="7">(I369+M369+Q369)/3</f>
        <v>12.5627311827957</v>
      </c>
      <c r="V369" s="1488">
        <f t="shared" ref="V369:W375" si="8">(4.8+9.5+13)/3</f>
        <v>9.1</v>
      </c>
      <c r="W369" s="1488">
        <f t="shared" si="8"/>
        <v>9.1</v>
      </c>
      <c r="X369" s="17"/>
      <c r="Y369" s="1489">
        <f t="shared" ref="Y369:Y375" si="9">IF(C369=S$347,U369,0)</f>
        <v>0</v>
      </c>
      <c r="Z369" s="1489"/>
      <c r="AA369" s="1489"/>
    </row>
    <row r="370" spans="3:27" ht="15" hidden="1" outlineLevel="1">
      <c r="C370" s="517" t="str">
        <f>C351</f>
        <v>Bern</v>
      </c>
      <c r="D370" s="16"/>
      <c r="E370" s="16"/>
      <c r="F370" s="16"/>
      <c r="G370" s="16"/>
      <c r="H370" s="16"/>
      <c r="I370" s="1700">
        <v>16.302666666666667</v>
      </c>
      <c r="J370" s="1700"/>
      <c r="K370" s="1700"/>
      <c r="L370" s="450"/>
      <c r="M370" s="1700">
        <v>11.354193548387098</v>
      </c>
      <c r="N370" s="1700"/>
      <c r="O370" s="1700"/>
      <c r="P370" s="450"/>
      <c r="Q370" s="1700">
        <v>5.9429999999999996</v>
      </c>
      <c r="R370" s="1700"/>
      <c r="S370" s="1700"/>
      <c r="T370" s="16"/>
      <c r="U370" s="1488">
        <f t="shared" si="7"/>
        <v>11.199953405017922</v>
      </c>
      <c r="V370" s="1488">
        <f t="shared" si="8"/>
        <v>9.1</v>
      </c>
      <c r="W370" s="1488">
        <f t="shared" si="8"/>
        <v>9.1</v>
      </c>
      <c r="X370" s="17"/>
      <c r="Y370" s="1489">
        <f t="shared" si="9"/>
        <v>0</v>
      </c>
      <c r="Z370" s="1489"/>
      <c r="AA370" s="1489"/>
    </row>
    <row r="371" spans="3:27" s="28" customFormat="1" ht="18.95" hidden="1" customHeight="1" outlineLevel="1">
      <c r="C371" s="517" t="str">
        <f t="shared" ref="C371:C372" si="10">C352</f>
        <v>Davos</v>
      </c>
      <c r="D371" s="16"/>
      <c r="E371" s="16"/>
      <c r="F371" s="16"/>
      <c r="G371" s="16"/>
      <c r="H371" s="16"/>
      <c r="I371" s="1700">
        <v>8.9</v>
      </c>
      <c r="J371" s="1700"/>
      <c r="K371" s="1700"/>
      <c r="L371" s="450"/>
      <c r="M371" s="1700">
        <v>5.2</v>
      </c>
      <c r="N371" s="1700"/>
      <c r="O371" s="1700"/>
      <c r="P371" s="450"/>
      <c r="Q371" s="1700">
        <v>0.6</v>
      </c>
      <c r="R371" s="1700"/>
      <c r="S371" s="1700"/>
      <c r="T371" s="16"/>
      <c r="U371" s="1488">
        <f t="shared" si="7"/>
        <v>4.9000000000000004</v>
      </c>
      <c r="V371" s="1488">
        <f t="shared" si="8"/>
        <v>9.1</v>
      </c>
      <c r="W371" s="1488">
        <f t="shared" si="8"/>
        <v>9.1</v>
      </c>
      <c r="X371" s="17"/>
      <c r="Y371" s="1489">
        <f t="shared" si="9"/>
        <v>0</v>
      </c>
      <c r="Z371" s="1489"/>
      <c r="AA371" s="1489"/>
    </row>
    <row r="372" spans="3:27" ht="15" hidden="1" outlineLevel="1">
      <c r="C372" s="517" t="str">
        <f t="shared" si="10"/>
        <v>Genf</v>
      </c>
      <c r="D372" s="16"/>
      <c r="E372" s="16"/>
      <c r="F372" s="16"/>
      <c r="G372" s="16"/>
      <c r="H372" s="16"/>
      <c r="I372" s="1700">
        <v>17.806666666666665</v>
      </c>
      <c r="J372" s="1700"/>
      <c r="K372" s="1700"/>
      <c r="L372" s="450"/>
      <c r="M372" s="1700">
        <v>13.015483870967742</v>
      </c>
      <c r="N372" s="1700"/>
      <c r="O372" s="1700"/>
      <c r="P372" s="450"/>
      <c r="Q372" s="1700">
        <v>7.7520000000000007</v>
      </c>
      <c r="R372" s="1700"/>
      <c r="S372" s="1700"/>
      <c r="T372" s="16"/>
      <c r="U372" s="1488">
        <f t="shared" si="7"/>
        <v>12.858050179211469</v>
      </c>
      <c r="V372" s="1488">
        <f t="shared" si="8"/>
        <v>9.1</v>
      </c>
      <c r="W372" s="1488">
        <f t="shared" si="8"/>
        <v>9.1</v>
      </c>
      <c r="X372" s="17"/>
      <c r="Y372" s="1489">
        <f t="shared" si="9"/>
        <v>0</v>
      </c>
      <c r="Z372" s="1489"/>
      <c r="AA372" s="1489"/>
    </row>
    <row r="373" spans="3:27" ht="15" hidden="1" outlineLevel="1">
      <c r="C373" s="517" t="str">
        <f>C354</f>
        <v>Lugano</v>
      </c>
      <c r="D373" s="16"/>
      <c r="E373" s="16"/>
      <c r="F373" s="16"/>
      <c r="G373" s="16"/>
      <c r="H373" s="16"/>
      <c r="I373" s="1700">
        <v>19.737666666666666</v>
      </c>
      <c r="J373" s="1700"/>
      <c r="K373" s="1700"/>
      <c r="L373" s="450"/>
      <c r="M373" s="1700">
        <v>14.745161290322581</v>
      </c>
      <c r="N373" s="1700"/>
      <c r="O373" s="1700"/>
      <c r="P373" s="450"/>
      <c r="Q373" s="1700">
        <v>9.6989999999999998</v>
      </c>
      <c r="R373" s="1700"/>
      <c r="S373" s="1700"/>
      <c r="T373" s="16"/>
      <c r="U373" s="1488">
        <f t="shared" si="7"/>
        <v>14.727275985663082</v>
      </c>
      <c r="V373" s="1488">
        <f t="shared" si="8"/>
        <v>9.1</v>
      </c>
      <c r="W373" s="1488">
        <f t="shared" si="8"/>
        <v>9.1</v>
      </c>
      <c r="X373" s="17"/>
      <c r="Y373" s="1489">
        <f t="shared" si="9"/>
        <v>0</v>
      </c>
      <c r="Z373" s="1489"/>
      <c r="AA373" s="1489"/>
    </row>
    <row r="374" spans="3:27" ht="15" hidden="1" outlineLevel="1">
      <c r="C374" s="517" t="str">
        <f>C355</f>
        <v>St. Gallen</v>
      </c>
      <c r="D374" s="16"/>
      <c r="E374" s="16"/>
      <c r="F374" s="16"/>
      <c r="G374" s="16"/>
      <c r="H374" s="16"/>
      <c r="I374" s="1700">
        <v>14.250333333333336</v>
      </c>
      <c r="J374" s="1700"/>
      <c r="K374" s="1700"/>
      <c r="L374" s="450"/>
      <c r="M374" s="1700">
        <v>10.140420757363255</v>
      </c>
      <c r="N374" s="1700"/>
      <c r="O374" s="1700"/>
      <c r="P374" s="450"/>
      <c r="Q374" s="1700">
        <v>5.4262142857142859</v>
      </c>
      <c r="R374" s="1700"/>
      <c r="S374" s="1700"/>
      <c r="T374" s="16"/>
      <c r="U374" s="1488">
        <f t="shared" si="7"/>
        <v>9.9389894588036256</v>
      </c>
      <c r="V374" s="1488">
        <f t="shared" si="8"/>
        <v>9.1</v>
      </c>
      <c r="W374" s="1488">
        <f t="shared" si="8"/>
        <v>9.1</v>
      </c>
      <c r="X374" s="17"/>
      <c r="Y374" s="1489">
        <f t="shared" si="9"/>
        <v>0</v>
      </c>
      <c r="Z374" s="1489"/>
      <c r="AA374" s="1489"/>
    </row>
    <row r="375" spans="3:27" ht="15" hidden="1" outlineLevel="1">
      <c r="C375" s="517" t="str">
        <f>C356</f>
        <v>Zürich</v>
      </c>
      <c r="D375" s="16"/>
      <c r="E375" s="16"/>
      <c r="F375" s="16"/>
      <c r="G375" s="16"/>
      <c r="H375" s="16"/>
      <c r="I375" s="1700">
        <v>16.004666666666665</v>
      </c>
      <c r="J375" s="1700"/>
      <c r="K375" s="1700"/>
      <c r="L375" s="450"/>
      <c r="M375" s="1700">
        <v>11.286129032258064</v>
      </c>
      <c r="N375" s="1700"/>
      <c r="O375" s="1700"/>
      <c r="P375" s="450"/>
      <c r="Q375" s="1700">
        <v>6.2376666666666658</v>
      </c>
      <c r="R375" s="1700"/>
      <c r="S375" s="1700"/>
      <c r="T375" s="16"/>
      <c r="U375" s="1488">
        <f t="shared" si="7"/>
        <v>11.176154121863798</v>
      </c>
      <c r="V375" s="1488">
        <f t="shared" si="8"/>
        <v>9.1</v>
      </c>
      <c r="W375" s="1488">
        <f t="shared" si="8"/>
        <v>9.1</v>
      </c>
      <c r="X375" s="17"/>
      <c r="Y375" s="1489">
        <f t="shared" si="9"/>
        <v>0</v>
      </c>
      <c r="Z375" s="1489"/>
      <c r="AA375" s="1489"/>
    </row>
    <row r="376" spans="3:27" ht="15" hidden="1" outlineLevel="1">
      <c r="C376" s="10"/>
      <c r="D376" s="7"/>
      <c r="E376" s="7"/>
      <c r="F376" s="7"/>
      <c r="G376" s="7"/>
      <c r="H376" s="7"/>
      <c r="I376" s="451"/>
      <c r="J376" s="451"/>
      <c r="K376" s="451"/>
      <c r="L376" s="451"/>
      <c r="M376" s="451"/>
      <c r="N376" s="451"/>
      <c r="O376" s="451"/>
      <c r="P376" s="457"/>
      <c r="Q376" s="458"/>
      <c r="R376" s="14"/>
      <c r="S376" s="14"/>
      <c r="T376" s="6"/>
      <c r="U376" s="6"/>
      <c r="V376" s="8"/>
      <c r="W376" s="8"/>
      <c r="X376" s="8"/>
      <c r="Y376" s="9"/>
      <c r="AA376" s="28"/>
    </row>
    <row r="377" spans="3:27" hidden="1" outlineLevel="1">
      <c r="C377" s="520" t="s">
        <v>122</v>
      </c>
      <c r="D377" s="11"/>
      <c r="E377" s="11"/>
      <c r="F377" s="11"/>
      <c r="G377" s="11"/>
      <c r="H377" s="11"/>
      <c r="I377" s="1705" t="s">
        <v>175</v>
      </c>
      <c r="J377" s="1705"/>
      <c r="K377" s="1705"/>
      <c r="L377" s="456"/>
      <c r="M377" s="1705" t="s">
        <v>176</v>
      </c>
      <c r="N377" s="1705"/>
      <c r="O377" s="1705"/>
      <c r="P377" s="456"/>
      <c r="Q377" s="1705" t="s">
        <v>177</v>
      </c>
      <c r="R377" s="1705"/>
      <c r="S377" s="1705"/>
      <c r="T377" s="27"/>
      <c r="U377" s="1567" t="s">
        <v>178</v>
      </c>
      <c r="V377" s="1567"/>
      <c r="W377" s="1567"/>
      <c r="X377" s="15"/>
      <c r="Y377" s="1528">
        <f>SUM(Y378:AA384)</f>
        <v>0</v>
      </c>
      <c r="Z377" s="1529"/>
      <c r="AA377" s="1529"/>
    </row>
    <row r="378" spans="3:27" ht="15" hidden="1" outlineLevel="1">
      <c r="C378" s="517" t="str">
        <f>C350</f>
        <v>Basel</v>
      </c>
      <c r="D378" s="16"/>
      <c r="E378" s="16"/>
      <c r="F378" s="16"/>
      <c r="G378" s="16"/>
      <c r="H378" s="16"/>
      <c r="I378" s="1700">
        <v>3.6141935483870959</v>
      </c>
      <c r="J378" s="1700"/>
      <c r="K378" s="1700"/>
      <c r="L378" s="450"/>
      <c r="M378" s="1700">
        <v>2.770322580645161</v>
      </c>
      <c r="N378" s="1700"/>
      <c r="O378" s="1700"/>
      <c r="P378" s="450"/>
      <c r="Q378" s="1700">
        <v>3.4915640394088667</v>
      </c>
      <c r="R378" s="1700"/>
      <c r="S378" s="1700"/>
      <c r="T378" s="16"/>
      <c r="U378" s="1488">
        <f t="shared" ref="U378:U384" si="11">(I378+M378+Q378)/3</f>
        <v>3.2920267228137079</v>
      </c>
      <c r="V378" s="1488">
        <f t="shared" ref="V378:W384" si="12">(4.8+9.5+13)/3</f>
        <v>9.1</v>
      </c>
      <c r="W378" s="1488">
        <f t="shared" si="12"/>
        <v>9.1</v>
      </c>
      <c r="X378" s="17"/>
      <c r="Y378" s="1489">
        <f t="shared" ref="Y378:Y384" si="13">IF(C378=S$347,U378,0)</f>
        <v>0</v>
      </c>
      <c r="Z378" s="1489"/>
      <c r="AA378" s="1489"/>
    </row>
    <row r="379" spans="3:27" ht="15" hidden="1" outlineLevel="1">
      <c r="C379" s="517" t="str">
        <f>C351</f>
        <v>Bern</v>
      </c>
      <c r="D379" s="16"/>
      <c r="E379" s="16"/>
      <c r="F379" s="16"/>
      <c r="G379" s="16"/>
      <c r="H379" s="16"/>
      <c r="I379" s="1700">
        <v>1.5970967741935485</v>
      </c>
      <c r="J379" s="1700"/>
      <c r="K379" s="1700"/>
      <c r="L379" s="450"/>
      <c r="M379" s="1700">
        <v>1.0629032258064512</v>
      </c>
      <c r="N379" s="1700"/>
      <c r="O379" s="1700"/>
      <c r="P379" s="450"/>
      <c r="Q379" s="1700">
        <v>1.662992610837438</v>
      </c>
      <c r="R379" s="1700"/>
      <c r="S379" s="1700"/>
      <c r="T379" s="16"/>
      <c r="U379" s="1488">
        <f t="shared" si="11"/>
        <v>1.4409975369458126</v>
      </c>
      <c r="V379" s="1488">
        <f t="shared" si="12"/>
        <v>9.1</v>
      </c>
      <c r="W379" s="1488">
        <f t="shared" si="12"/>
        <v>9.1</v>
      </c>
      <c r="X379" s="17"/>
      <c r="Y379" s="1489">
        <f t="shared" si="13"/>
        <v>0</v>
      </c>
      <c r="Z379" s="1489"/>
      <c r="AA379" s="1489"/>
    </row>
    <row r="380" spans="3:27" s="28" customFormat="1" ht="18.95" hidden="1" customHeight="1" outlineLevel="1">
      <c r="C380" s="517" t="str">
        <f t="shared" ref="C380:C382" si="14">C352</f>
        <v>Davos</v>
      </c>
      <c r="D380" s="16"/>
      <c r="E380" s="16"/>
      <c r="F380" s="16"/>
      <c r="G380" s="16"/>
      <c r="H380" s="16"/>
      <c r="I380" s="1700">
        <v>-3.5</v>
      </c>
      <c r="J380" s="1700"/>
      <c r="K380" s="1700"/>
      <c r="L380" s="450"/>
      <c r="M380" s="1700">
        <v>-4.8</v>
      </c>
      <c r="N380" s="1700"/>
      <c r="O380" s="1700"/>
      <c r="P380" s="450"/>
      <c r="Q380" s="1700">
        <v>-1</v>
      </c>
      <c r="R380" s="1700"/>
      <c r="S380" s="1700"/>
      <c r="T380" s="16"/>
      <c r="U380" s="1488">
        <f t="shared" si="11"/>
        <v>-3.1</v>
      </c>
      <c r="V380" s="1488">
        <f t="shared" si="12"/>
        <v>9.1</v>
      </c>
      <c r="W380" s="1488">
        <f t="shared" si="12"/>
        <v>9.1</v>
      </c>
      <c r="X380" s="17"/>
      <c r="Y380" s="1489">
        <f t="shared" si="13"/>
        <v>0</v>
      </c>
      <c r="Z380" s="1489"/>
      <c r="AA380" s="1489"/>
    </row>
    <row r="381" spans="3:27" ht="15" hidden="1" outlineLevel="1">
      <c r="C381" s="517" t="str">
        <f t="shared" si="14"/>
        <v>Genf</v>
      </c>
      <c r="D381" s="16"/>
      <c r="E381" s="16"/>
      <c r="F381" s="16"/>
      <c r="G381" s="16"/>
      <c r="H381" s="16"/>
      <c r="I381" s="1700">
        <v>3.4409677419354834</v>
      </c>
      <c r="J381" s="1700"/>
      <c r="K381" s="1700"/>
      <c r="L381" s="450"/>
      <c r="M381" s="1700">
        <v>2.9022580645161296</v>
      </c>
      <c r="N381" s="1700"/>
      <c r="O381" s="1700"/>
      <c r="P381" s="450"/>
      <c r="Q381" s="1700">
        <v>3.4457389162561567</v>
      </c>
      <c r="R381" s="1700"/>
      <c r="S381" s="1700"/>
      <c r="T381" s="16"/>
      <c r="U381" s="1488">
        <f t="shared" si="11"/>
        <v>3.2629882409025903</v>
      </c>
      <c r="V381" s="1488">
        <f t="shared" si="12"/>
        <v>9.1</v>
      </c>
      <c r="W381" s="1488">
        <f t="shared" si="12"/>
        <v>9.1</v>
      </c>
      <c r="X381" s="17"/>
      <c r="Y381" s="1489">
        <f t="shared" si="13"/>
        <v>0</v>
      </c>
      <c r="Z381" s="1489"/>
      <c r="AA381" s="1489"/>
    </row>
    <row r="382" spans="3:27" ht="15" hidden="1" outlineLevel="1">
      <c r="C382" s="517" t="str">
        <f t="shared" si="14"/>
        <v>Lugano</v>
      </c>
      <c r="D382" s="16"/>
      <c r="E382" s="16"/>
      <c r="F382" s="16"/>
      <c r="G382" s="16"/>
      <c r="H382" s="16"/>
      <c r="I382" s="1700">
        <v>5.60516129032258</v>
      </c>
      <c r="J382" s="1700"/>
      <c r="K382" s="1700"/>
      <c r="L382" s="450"/>
      <c r="M382" s="1700">
        <v>4.7138709677419355</v>
      </c>
      <c r="N382" s="1700"/>
      <c r="O382" s="1700"/>
      <c r="P382" s="450"/>
      <c r="Q382" s="1700">
        <v>5.580492610837438</v>
      </c>
      <c r="R382" s="1700"/>
      <c r="S382" s="1700"/>
      <c r="T382" s="16"/>
      <c r="U382" s="1488">
        <f t="shared" si="11"/>
        <v>5.2998416229673175</v>
      </c>
      <c r="V382" s="1488">
        <f t="shared" si="12"/>
        <v>9.1</v>
      </c>
      <c r="W382" s="1488">
        <f t="shared" si="12"/>
        <v>9.1</v>
      </c>
      <c r="X382" s="17"/>
      <c r="Y382" s="1489">
        <f t="shared" si="13"/>
        <v>0</v>
      </c>
      <c r="Z382" s="1489"/>
      <c r="AA382" s="1489"/>
    </row>
    <row r="383" spans="3:27" ht="15" hidden="1" outlineLevel="1">
      <c r="C383" s="517" t="str">
        <f>C355</f>
        <v>St. Gallen</v>
      </c>
      <c r="D383" s="16"/>
      <c r="E383" s="16"/>
      <c r="F383" s="16"/>
      <c r="G383" s="16"/>
      <c r="H383" s="16"/>
      <c r="I383" s="1700">
        <v>1.8374193548387097</v>
      </c>
      <c r="J383" s="1700"/>
      <c r="K383" s="1700"/>
      <c r="L383" s="450"/>
      <c r="M383" s="1700">
        <v>0.37225806451612903</v>
      </c>
      <c r="N383" s="1700"/>
      <c r="O383" s="1700"/>
      <c r="P383" s="450"/>
      <c r="Q383" s="1700">
        <v>0.58261083743842368</v>
      </c>
      <c r="R383" s="1700"/>
      <c r="S383" s="1700"/>
      <c r="T383" s="16"/>
      <c r="U383" s="1488">
        <f t="shared" si="11"/>
        <v>0.93076275226442073</v>
      </c>
      <c r="V383" s="1488">
        <f t="shared" si="12"/>
        <v>9.1</v>
      </c>
      <c r="W383" s="1488">
        <f t="shared" si="12"/>
        <v>9.1</v>
      </c>
      <c r="X383" s="17"/>
      <c r="Y383" s="1489">
        <f t="shared" si="13"/>
        <v>0</v>
      </c>
      <c r="Z383" s="1489"/>
      <c r="AA383" s="1489"/>
    </row>
    <row r="384" spans="3:27" ht="15" hidden="1" outlineLevel="1">
      <c r="C384" s="517" t="str">
        <f>C356</f>
        <v>Zürich</v>
      </c>
      <c r="D384" s="16"/>
      <c r="E384" s="16"/>
      <c r="F384" s="16"/>
      <c r="G384" s="16"/>
      <c r="H384" s="16"/>
      <c r="I384" s="1700">
        <v>2.2954838709677423</v>
      </c>
      <c r="J384" s="1700"/>
      <c r="K384" s="1700"/>
      <c r="L384" s="450"/>
      <c r="M384" s="1700">
        <v>1.4409677419354838</v>
      </c>
      <c r="N384" s="1700"/>
      <c r="O384" s="1700"/>
      <c r="P384" s="450"/>
      <c r="Q384" s="1700">
        <v>1.9078571428571434</v>
      </c>
      <c r="R384" s="1700"/>
      <c r="S384" s="1700"/>
      <c r="T384" s="16"/>
      <c r="U384" s="1488">
        <f t="shared" si="11"/>
        <v>1.8814362519201231</v>
      </c>
      <c r="V384" s="1488">
        <f t="shared" si="12"/>
        <v>9.1</v>
      </c>
      <c r="W384" s="1488">
        <f t="shared" si="12"/>
        <v>9.1</v>
      </c>
      <c r="X384" s="17"/>
      <c r="Y384" s="1489">
        <f t="shared" si="13"/>
        <v>0</v>
      </c>
      <c r="Z384" s="1489"/>
      <c r="AA384" s="1489"/>
    </row>
    <row r="385" spans="3:63" ht="15" hidden="1" outlineLevel="1">
      <c r="C385" s="521"/>
      <c r="D385" s="18"/>
      <c r="E385" s="18"/>
      <c r="F385" s="18"/>
      <c r="G385" s="18"/>
      <c r="H385" s="18"/>
      <c r="I385" s="18"/>
      <c r="J385" s="18"/>
      <c r="K385" s="18"/>
      <c r="L385" s="18"/>
      <c r="M385" s="18"/>
      <c r="N385" s="18"/>
      <c r="O385" s="18"/>
      <c r="P385" s="18"/>
      <c r="Q385" s="18"/>
      <c r="R385" s="18"/>
      <c r="S385" s="18"/>
      <c r="T385" s="18"/>
      <c r="U385" s="253"/>
      <c r="V385" s="253"/>
      <c r="W385" s="253"/>
      <c r="X385" s="17"/>
      <c r="Y385" s="175"/>
      <c r="Z385" s="175"/>
      <c r="AA385" s="175"/>
    </row>
    <row r="386" spans="3:63" ht="15" hidden="1" outlineLevel="1">
      <c r="C386" s="10"/>
      <c r="D386" s="7"/>
      <c r="E386" s="7"/>
      <c r="F386" s="7"/>
      <c r="G386" s="7"/>
      <c r="H386" s="7"/>
      <c r="I386" s="7"/>
      <c r="J386" s="7"/>
      <c r="K386" s="7"/>
      <c r="L386" s="7"/>
      <c r="M386" s="7"/>
      <c r="N386" s="7"/>
      <c r="O386" s="7"/>
      <c r="P386" s="10"/>
      <c r="Q386" s="12"/>
      <c r="R386" s="6"/>
      <c r="S386" s="6"/>
      <c r="T386" s="6"/>
      <c r="U386" s="8"/>
      <c r="V386" s="8"/>
      <c r="W386" s="8"/>
      <c r="X386" s="8"/>
      <c r="Y386" s="8"/>
      <c r="Z386" s="9"/>
      <c r="AB386" s="28"/>
    </row>
    <row r="387" spans="3:63" s="28" customFormat="1" ht="23.1" hidden="1" customHeight="1" outlineLevel="1">
      <c r="C387" s="515" t="s">
        <v>133</v>
      </c>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c r="AI387" s="239"/>
      <c r="AJ387" s="239"/>
      <c r="AK387" s="239"/>
      <c r="AL387" s="239"/>
      <c r="AM387" s="239"/>
      <c r="AN387" s="239"/>
      <c r="AO387" s="239"/>
      <c r="AP387" s="239"/>
      <c r="AQ387" s="239"/>
      <c r="AR387" s="239"/>
      <c r="AS387" s="239"/>
      <c r="AT387" s="239"/>
      <c r="AU387" s="239"/>
      <c r="AV387" s="239"/>
      <c r="AW387" s="239"/>
      <c r="AX387" s="239"/>
      <c r="AY387" s="239"/>
      <c r="AZ387" s="239"/>
      <c r="BA387" s="239"/>
      <c r="BB387" s="239"/>
      <c r="BC387" s="239"/>
      <c r="BD387" s="239"/>
      <c r="BE387" s="239"/>
      <c r="BF387" s="239"/>
      <c r="BG387" s="239"/>
      <c r="BH387" s="239"/>
      <c r="BI387" s="239"/>
      <c r="BJ387" s="239"/>
      <c r="BK387" s="239"/>
    </row>
    <row r="388" spans="3:63" ht="15" hidden="1" outlineLevel="1">
      <c r="C388" s="10"/>
      <c r="D388" s="7"/>
      <c r="E388" s="7"/>
      <c r="F388" s="7"/>
      <c r="G388" s="7"/>
      <c r="H388" s="7"/>
      <c r="I388" s="7"/>
      <c r="J388" s="7"/>
      <c r="K388" s="7"/>
      <c r="L388" s="7"/>
      <c r="M388" s="7"/>
      <c r="N388" s="7"/>
      <c r="O388" s="7"/>
      <c r="P388" s="10"/>
      <c r="Q388" s="12"/>
      <c r="R388" s="6"/>
      <c r="S388" s="6"/>
      <c r="T388" s="6"/>
      <c r="U388" s="8"/>
      <c r="V388" s="8"/>
      <c r="W388" s="8"/>
      <c r="X388" s="8"/>
      <c r="Y388" s="8"/>
      <c r="Z388" s="8"/>
      <c r="AA388" s="8"/>
      <c r="AB388" s="8"/>
    </row>
    <row r="389" spans="3:63" ht="17.100000000000001" hidden="1" customHeight="1" outlineLevel="1">
      <c r="C389" s="10" t="s">
        <v>134</v>
      </c>
      <c r="D389" s="74"/>
      <c r="E389" s="74"/>
      <c r="F389" s="74"/>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Q389" s="74"/>
      <c r="AR389" s="74"/>
      <c r="AS389" s="74"/>
      <c r="AT389" s="74"/>
      <c r="AU389" s="74"/>
      <c r="AV389" s="74"/>
      <c r="AW389" s="74"/>
      <c r="AX389" s="74"/>
      <c r="AY389" s="74"/>
      <c r="AZ389" s="74"/>
      <c r="BA389" s="74"/>
      <c r="BB389" s="74"/>
      <c r="BC389" s="74"/>
      <c r="BD389" s="74"/>
      <c r="BE389" s="74"/>
      <c r="BF389" s="74"/>
      <c r="BG389" s="74"/>
      <c r="BH389" s="74"/>
      <c r="BI389" s="74"/>
    </row>
    <row r="390" spans="3:63" ht="17.100000000000001" hidden="1" customHeight="1" outlineLevel="1">
      <c r="C390" s="500" t="s">
        <v>136</v>
      </c>
      <c r="D390" s="82"/>
      <c r="E390" s="82"/>
      <c r="F390" s="82"/>
      <c r="G390" s="82"/>
      <c r="H390" s="82"/>
      <c r="I390" s="82"/>
      <c r="J390" s="82"/>
      <c r="K390" s="82"/>
      <c r="L390" s="82"/>
      <c r="M390" s="82"/>
      <c r="N390" s="82"/>
      <c r="O390" s="82"/>
      <c r="P390" s="82"/>
      <c r="Q390" s="82"/>
      <c r="R390" s="52"/>
      <c r="S390" s="1557" t="s">
        <v>117</v>
      </c>
      <c r="T390" s="1557"/>
      <c r="U390" s="1557"/>
      <c r="V390" s="52"/>
      <c r="W390" s="1557" t="s">
        <v>120</v>
      </c>
      <c r="X390" s="1557"/>
      <c r="Y390" s="1557"/>
      <c r="Z390" s="52"/>
      <c r="AA390" s="1557" t="s">
        <v>121</v>
      </c>
      <c r="AB390" s="1557"/>
      <c r="AC390" s="1557"/>
      <c r="AE390" s="1557" t="s">
        <v>122</v>
      </c>
      <c r="AF390" s="1557"/>
      <c r="AG390" s="1557"/>
      <c r="AI390" s="1557" t="s">
        <v>124</v>
      </c>
      <c r="AJ390" s="1557"/>
      <c r="AK390" s="1557"/>
      <c r="AL390" s="251"/>
      <c r="AQ390" s="1557" t="s">
        <v>117</v>
      </c>
      <c r="AR390" s="1557"/>
      <c r="AS390" s="1557"/>
      <c r="AU390" s="1557" t="s">
        <v>120</v>
      </c>
      <c r="AV390" s="1557"/>
      <c r="AW390" s="1557"/>
      <c r="AY390" s="1557" t="s">
        <v>121</v>
      </c>
      <c r="AZ390" s="1557"/>
      <c r="BA390" s="1557"/>
      <c r="BC390" s="1557" t="s">
        <v>122</v>
      </c>
      <c r="BD390" s="1557"/>
      <c r="BE390" s="1557"/>
      <c r="BG390" s="1557" t="s">
        <v>124</v>
      </c>
      <c r="BH390" s="1557"/>
      <c r="BI390" s="1557"/>
    </row>
    <row r="391" spans="3:63" ht="17.100000000000001" hidden="1" customHeight="1" outlineLevel="1">
      <c r="D391" s="82" t="s">
        <v>137</v>
      </c>
      <c r="E391" s="82"/>
      <c r="F391" s="82"/>
      <c r="G391" s="82"/>
      <c r="H391" s="82"/>
      <c r="I391" s="82"/>
      <c r="J391" s="82"/>
      <c r="K391" s="82"/>
      <c r="L391" s="82"/>
      <c r="M391" s="82"/>
      <c r="N391" s="82"/>
      <c r="O391" s="82"/>
      <c r="P391" s="82"/>
      <c r="Q391" s="82" t="s">
        <v>30</v>
      </c>
      <c r="R391" s="52"/>
      <c r="S391" s="1557">
        <v>0.06</v>
      </c>
      <c r="T391" s="1557"/>
      <c r="U391" s="1557"/>
      <c r="V391" s="52"/>
      <c r="W391" s="1557">
        <v>0.66</v>
      </c>
      <c r="X391" s="1557"/>
      <c r="Y391" s="1557"/>
      <c r="Z391" s="52"/>
      <c r="AA391" s="1557">
        <v>0.19</v>
      </c>
      <c r="AB391" s="1557"/>
      <c r="AC391" s="1557"/>
      <c r="AE391" s="1557">
        <v>0</v>
      </c>
      <c r="AF391" s="1557"/>
      <c r="AG391" s="1557"/>
      <c r="AI391" s="1557">
        <f>AI393/AI392</f>
        <v>0.22750000000000001</v>
      </c>
      <c r="AJ391" s="1557"/>
      <c r="AK391" s="1557"/>
      <c r="AL391" s="251"/>
      <c r="AQ391" s="1557">
        <f>S391</f>
        <v>0.06</v>
      </c>
      <c r="AR391" s="1557"/>
      <c r="AS391" s="1557"/>
      <c r="AU391" s="1557">
        <f>W391</f>
        <v>0.66</v>
      </c>
      <c r="AV391" s="1557"/>
      <c r="AW391" s="1557"/>
      <c r="AY391" s="1557">
        <f>AA391</f>
        <v>0.19</v>
      </c>
      <c r="AZ391" s="1557"/>
      <c r="BA391" s="1557"/>
      <c r="BC391" s="1557">
        <f>AE391</f>
        <v>0</v>
      </c>
      <c r="BD391" s="1557"/>
      <c r="BE391" s="1557"/>
      <c r="BG391" s="1557">
        <f>AI391</f>
        <v>0.22750000000000001</v>
      </c>
      <c r="BH391" s="1557"/>
      <c r="BI391" s="1557"/>
    </row>
    <row r="392" spans="3:63" ht="17.100000000000001" hidden="1" customHeight="1" outlineLevel="1">
      <c r="D392" s="82" t="s">
        <v>138</v>
      </c>
      <c r="E392" s="82"/>
      <c r="F392" s="82"/>
      <c r="G392" s="82"/>
      <c r="H392" s="82"/>
      <c r="I392" s="82"/>
      <c r="J392" s="82"/>
      <c r="K392" s="82"/>
      <c r="L392" s="82"/>
      <c r="M392" s="82"/>
      <c r="N392" s="82"/>
      <c r="O392" s="82"/>
      <c r="P392" s="82"/>
      <c r="Q392" s="82" t="s">
        <v>139</v>
      </c>
      <c r="R392" s="52"/>
      <c r="S392" s="1556">
        <v>2190</v>
      </c>
      <c r="T392" s="1556"/>
      <c r="U392" s="1556"/>
      <c r="V392" s="52"/>
      <c r="W392" s="1556">
        <v>2190</v>
      </c>
      <c r="X392" s="1556"/>
      <c r="Y392" s="1556"/>
      <c r="Z392" s="52"/>
      <c r="AA392" s="1556">
        <v>2190</v>
      </c>
      <c r="AB392" s="1556"/>
      <c r="AC392" s="1556"/>
      <c r="AE392" s="1556">
        <v>2190</v>
      </c>
      <c r="AF392" s="1556"/>
      <c r="AG392" s="1556"/>
      <c r="AI392" s="1556">
        <f>SUM(S392:AG392)</f>
        <v>8760</v>
      </c>
      <c r="AJ392" s="1556"/>
      <c r="AK392" s="1556"/>
      <c r="AL392" s="255"/>
      <c r="AQ392" s="1556">
        <f>S392</f>
        <v>2190</v>
      </c>
      <c r="AR392" s="1556"/>
      <c r="AS392" s="1556"/>
      <c r="AU392" s="1556">
        <f>W392</f>
        <v>2190</v>
      </c>
      <c r="AV392" s="1556"/>
      <c r="AW392" s="1556"/>
      <c r="AY392" s="1556">
        <f>AA392</f>
        <v>2190</v>
      </c>
      <c r="AZ392" s="1556"/>
      <c r="BA392" s="1556"/>
      <c r="BC392" s="1556">
        <f>AE392</f>
        <v>2190</v>
      </c>
      <c r="BD392" s="1556"/>
      <c r="BE392" s="1556"/>
      <c r="BG392" s="1556">
        <f>AI392</f>
        <v>8760</v>
      </c>
      <c r="BH392" s="1556"/>
      <c r="BI392" s="1556"/>
    </row>
    <row r="393" spans="3:63" ht="17.100000000000001" hidden="1" customHeight="1" outlineLevel="1">
      <c r="D393" s="82" t="s">
        <v>145</v>
      </c>
      <c r="E393" s="82"/>
      <c r="F393" s="82"/>
      <c r="G393" s="82"/>
      <c r="H393" s="82"/>
      <c r="I393" s="82"/>
      <c r="J393" s="82"/>
      <c r="K393" s="82"/>
      <c r="L393" s="82"/>
      <c r="M393" s="82"/>
      <c r="N393" s="82"/>
      <c r="O393" s="82"/>
      <c r="P393" s="82"/>
      <c r="Q393" s="82" t="s">
        <v>139</v>
      </c>
      <c r="R393" s="52"/>
      <c r="S393" s="1556">
        <f>S391*S392</f>
        <v>131.4</v>
      </c>
      <c r="T393" s="1556"/>
      <c r="U393" s="1556"/>
      <c r="V393" s="52"/>
      <c r="W393" s="1556">
        <f>W391*W392</f>
        <v>1445.4</v>
      </c>
      <c r="X393" s="1556"/>
      <c r="Y393" s="1556"/>
      <c r="Z393" s="52"/>
      <c r="AA393" s="1556">
        <f>AA391*AA392</f>
        <v>416.1</v>
      </c>
      <c r="AB393" s="1556"/>
      <c r="AC393" s="1556"/>
      <c r="AE393" s="1556">
        <f>AE391*AE392</f>
        <v>0</v>
      </c>
      <c r="AF393" s="1556"/>
      <c r="AG393" s="1556"/>
      <c r="AI393" s="1556">
        <f>SUM(S393:AG393)</f>
        <v>1992.9</v>
      </c>
      <c r="AJ393" s="1556"/>
      <c r="AK393" s="1556"/>
      <c r="AL393" s="255"/>
      <c r="AQ393" s="1556">
        <f>S393</f>
        <v>131.4</v>
      </c>
      <c r="AR393" s="1556"/>
      <c r="AS393" s="1556"/>
      <c r="AU393" s="1556">
        <f>W393</f>
        <v>1445.4</v>
      </c>
      <c r="AV393" s="1556"/>
      <c r="AW393" s="1556"/>
      <c r="AY393" s="1556">
        <f>AA393</f>
        <v>416.1</v>
      </c>
      <c r="AZ393" s="1556"/>
      <c r="BA393" s="1556"/>
      <c r="BC393" s="1556">
        <f>AE393</f>
        <v>0</v>
      </c>
      <c r="BD393" s="1556"/>
      <c r="BE393" s="1556"/>
      <c r="BG393" s="1556">
        <f>AI393</f>
        <v>1992.9</v>
      </c>
      <c r="BH393" s="1556"/>
      <c r="BI393" s="1556"/>
    </row>
    <row r="394" spans="3:63" ht="6.95" hidden="1" customHeight="1" outlineLevel="1">
      <c r="D394" s="258"/>
      <c r="E394" s="258"/>
      <c r="F394" s="258"/>
      <c r="G394" s="258"/>
      <c r="H394" s="258"/>
      <c r="I394" s="258"/>
      <c r="J394" s="258"/>
      <c r="K394" s="258"/>
      <c r="L394" s="258"/>
      <c r="M394" s="258"/>
      <c r="N394" s="258"/>
      <c r="O394" s="258"/>
      <c r="P394" s="258"/>
      <c r="Q394" s="258"/>
      <c r="R394" s="52"/>
      <c r="S394" s="259"/>
      <c r="T394" s="259"/>
      <c r="U394" s="259"/>
      <c r="V394" s="52"/>
      <c r="W394" s="259"/>
      <c r="X394" s="259"/>
      <c r="Y394" s="259"/>
      <c r="Z394" s="52"/>
      <c r="AA394" s="260"/>
      <c r="AB394" s="260"/>
      <c r="AC394" s="260"/>
      <c r="AE394" s="260"/>
      <c r="AF394" s="260"/>
      <c r="AG394" s="260"/>
      <c r="AI394" s="260"/>
      <c r="AJ394" s="260"/>
      <c r="AK394" s="260"/>
      <c r="AL394" s="255"/>
      <c r="AQ394" s="259"/>
      <c r="AR394" s="259"/>
      <c r="AS394" s="259"/>
      <c r="AU394" s="259"/>
      <c r="AV394" s="259"/>
      <c r="AW394" s="259"/>
      <c r="AY394" s="260"/>
      <c r="AZ394" s="260"/>
      <c r="BA394" s="260"/>
      <c r="BC394" s="260"/>
      <c r="BD394" s="260"/>
      <c r="BE394" s="260"/>
      <c r="BG394" s="260"/>
      <c r="BH394" s="260"/>
      <c r="BI394" s="260"/>
    </row>
    <row r="395" spans="3:63" s="52" customFormat="1" ht="17.100000000000001" hidden="1" customHeight="1" outlineLevel="1">
      <c r="C395" s="477"/>
      <c r="D395" s="36" t="s">
        <v>140</v>
      </c>
      <c r="E395" s="36"/>
      <c r="F395" s="36"/>
      <c r="G395" s="36"/>
      <c r="H395" s="36"/>
      <c r="I395" s="36"/>
      <c r="J395" s="36"/>
      <c r="K395" s="36"/>
      <c r="L395" s="36"/>
      <c r="M395" s="36"/>
      <c r="N395" s="36"/>
      <c r="O395" s="36"/>
      <c r="P395" s="36"/>
      <c r="Q395" s="36"/>
      <c r="S395" s="1712">
        <f>AI174</f>
        <v>0</v>
      </c>
      <c r="T395" s="1712"/>
      <c r="U395" s="1712"/>
      <c r="W395" s="1712">
        <f>S395</f>
        <v>0</v>
      </c>
      <c r="X395" s="1712"/>
      <c r="Y395" s="1712"/>
      <c r="AA395" s="1712">
        <f>W395</f>
        <v>0</v>
      </c>
      <c r="AB395" s="1712"/>
      <c r="AC395" s="1712"/>
      <c r="AD395" s="31"/>
      <c r="AE395" s="1712">
        <f>AA395</f>
        <v>0</v>
      </c>
      <c r="AF395" s="1712"/>
      <c r="AG395" s="1712"/>
      <c r="AH395" s="31"/>
      <c r="AI395" s="368"/>
      <c r="AJ395" s="368"/>
      <c r="AK395" s="368"/>
      <c r="AL395" s="251"/>
      <c r="AM395" s="31"/>
      <c r="AN395" s="31"/>
      <c r="AO395" s="31"/>
      <c r="AP395" s="31"/>
      <c r="AQ395" s="1712">
        <f>BG174</f>
        <v>0</v>
      </c>
      <c r="AR395" s="1712"/>
      <c r="AS395" s="1712"/>
      <c r="AT395" s="31"/>
      <c r="AU395" s="1712">
        <f>AQ395</f>
        <v>0</v>
      </c>
      <c r="AV395" s="1712"/>
      <c r="AW395" s="1712"/>
      <c r="AX395" s="31"/>
      <c r="AY395" s="1712">
        <f>AU395</f>
        <v>0</v>
      </c>
      <c r="AZ395" s="1712"/>
      <c r="BA395" s="1712"/>
      <c r="BB395" s="31"/>
      <c r="BC395" s="1712">
        <f>AY395</f>
        <v>0</v>
      </c>
      <c r="BD395" s="1712"/>
      <c r="BE395" s="1712"/>
      <c r="BF395" s="31"/>
      <c r="BG395" s="368"/>
      <c r="BH395" s="368"/>
      <c r="BI395" s="368"/>
      <c r="BJ395" s="31"/>
      <c r="BK395" s="31"/>
    </row>
    <row r="396" spans="3:63" ht="17.100000000000001" hidden="1" customHeight="1" outlineLevel="1">
      <c r="D396" s="82" t="s">
        <v>142</v>
      </c>
      <c r="E396" s="82"/>
      <c r="F396" s="82"/>
      <c r="G396" s="82"/>
      <c r="H396" s="82"/>
      <c r="I396" s="82"/>
      <c r="J396" s="82"/>
      <c r="K396" s="82"/>
      <c r="L396" s="82"/>
      <c r="M396" s="82"/>
      <c r="N396" s="82"/>
      <c r="O396" s="82"/>
      <c r="P396" s="82"/>
      <c r="Q396" s="82" t="s">
        <v>146</v>
      </c>
      <c r="R396" s="52"/>
      <c r="S396" s="1556">
        <f>IF(S395=0,0,S393/S395)</f>
        <v>0</v>
      </c>
      <c r="T396" s="1556"/>
      <c r="U396" s="1556"/>
      <c r="V396" s="52"/>
      <c r="W396" s="1556">
        <f>IF(W395=0,0,W393/W395)</f>
        <v>0</v>
      </c>
      <c r="X396" s="1556"/>
      <c r="Y396" s="1556"/>
      <c r="Z396" s="52"/>
      <c r="AA396" s="1556">
        <f>IF(AA395=0,0,AA393/AA395)</f>
        <v>0</v>
      </c>
      <c r="AB396" s="1556"/>
      <c r="AC396" s="1556"/>
      <c r="AE396" s="1556">
        <f>IF(AE395=0,0,AE393/AE395)</f>
        <v>0</v>
      </c>
      <c r="AF396" s="1556"/>
      <c r="AG396" s="1556"/>
      <c r="AI396" s="1556">
        <f>SUM(S396:AG396)</f>
        <v>0</v>
      </c>
      <c r="AJ396" s="1556"/>
      <c r="AK396" s="1556"/>
      <c r="AL396" s="255"/>
      <c r="AQ396" s="1556">
        <f>IF(AQ395=0,0,AQ393/AQ395)</f>
        <v>0</v>
      </c>
      <c r="AR396" s="1556"/>
      <c r="AS396" s="1556"/>
      <c r="AU396" s="1556">
        <f>IF(AU395=0,0,AU393/AU395)</f>
        <v>0</v>
      </c>
      <c r="AV396" s="1556"/>
      <c r="AW396" s="1556"/>
      <c r="AY396" s="1556">
        <f>IF(AY395=0,0,AY393/AY395)</f>
        <v>0</v>
      </c>
      <c r="AZ396" s="1556"/>
      <c r="BA396" s="1556"/>
      <c r="BC396" s="1556">
        <f>IF(BC395=0,0,BC393/BC395)</f>
        <v>0</v>
      </c>
      <c r="BD396" s="1556"/>
      <c r="BE396" s="1556"/>
      <c r="BG396" s="1556">
        <f>SUM(AQ396:BE396)</f>
        <v>0</v>
      </c>
      <c r="BH396" s="1556"/>
      <c r="BI396" s="1556"/>
    </row>
    <row r="397" spans="3:63" ht="17.100000000000001" hidden="1" customHeight="1" outlineLevel="1">
      <c r="D397" s="82" t="s">
        <v>147</v>
      </c>
      <c r="E397" s="82"/>
      <c r="F397" s="82"/>
      <c r="G397" s="82"/>
      <c r="H397" s="82"/>
      <c r="I397" s="82"/>
      <c r="J397" s="82"/>
      <c r="K397" s="82"/>
      <c r="L397" s="82"/>
      <c r="M397" s="82"/>
      <c r="N397" s="82"/>
      <c r="O397" s="82"/>
      <c r="P397" s="82"/>
      <c r="Q397" s="82" t="s">
        <v>146</v>
      </c>
      <c r="R397" s="52"/>
      <c r="S397" s="1616">
        <f>365/4</f>
        <v>91.25</v>
      </c>
      <c r="T397" s="1616"/>
      <c r="U397" s="1616"/>
      <c r="V397" s="52"/>
      <c r="W397" s="1616">
        <f>365/4</f>
        <v>91.25</v>
      </c>
      <c r="X397" s="1616"/>
      <c r="Y397" s="1616"/>
      <c r="Z397" s="52"/>
      <c r="AA397" s="1616">
        <f>365/4</f>
        <v>91.25</v>
      </c>
      <c r="AB397" s="1616"/>
      <c r="AC397" s="1616"/>
      <c r="AE397" s="1616">
        <f>365/4</f>
        <v>91.25</v>
      </c>
      <c r="AF397" s="1616"/>
      <c r="AG397" s="1616"/>
      <c r="AI397" s="1556">
        <f>SUM(S397:AG397)</f>
        <v>365</v>
      </c>
      <c r="AJ397" s="1556"/>
      <c r="AK397" s="1556"/>
      <c r="AL397" s="255"/>
      <c r="AQ397" s="1616">
        <f>365/4</f>
        <v>91.25</v>
      </c>
      <c r="AR397" s="1616"/>
      <c r="AS397" s="1616"/>
      <c r="AT397" s="52"/>
      <c r="AU397" s="1616">
        <f>365/4</f>
        <v>91.25</v>
      </c>
      <c r="AV397" s="1616"/>
      <c r="AW397" s="1616"/>
      <c r="AX397" s="52"/>
      <c r="AY397" s="1616">
        <f>365/4</f>
        <v>91.25</v>
      </c>
      <c r="AZ397" s="1616"/>
      <c r="BA397" s="1616"/>
      <c r="BC397" s="1616">
        <f>365/4</f>
        <v>91.25</v>
      </c>
      <c r="BD397" s="1616"/>
      <c r="BE397" s="1616"/>
      <c r="BG397" s="1556">
        <f>SUM(AQ397:BE397)</f>
        <v>365</v>
      </c>
      <c r="BH397" s="1556"/>
      <c r="BI397" s="1556"/>
    </row>
    <row r="398" spans="3:63" ht="17.100000000000001" hidden="1" customHeight="1" outlineLevel="1">
      <c r="D398" s="82" t="s">
        <v>142</v>
      </c>
      <c r="E398" s="82"/>
      <c r="F398" s="82"/>
      <c r="G398" s="82"/>
      <c r="H398" s="82"/>
      <c r="I398" s="82"/>
      <c r="J398" s="82"/>
      <c r="K398" s="82"/>
      <c r="L398" s="82"/>
      <c r="M398" s="82"/>
      <c r="N398" s="82"/>
      <c r="O398" s="82"/>
      <c r="P398" s="82"/>
      <c r="Q398" s="82" t="s">
        <v>118</v>
      </c>
      <c r="R398" s="52"/>
      <c r="S398" s="1564">
        <f>S396/S397</f>
        <v>0</v>
      </c>
      <c r="T398" s="1564"/>
      <c r="U398" s="1564"/>
      <c r="V398" s="52"/>
      <c r="W398" s="1564">
        <f>W396/W397</f>
        <v>0</v>
      </c>
      <c r="X398" s="1564"/>
      <c r="Y398" s="1564"/>
      <c r="Z398" s="52"/>
      <c r="AA398" s="1564">
        <f>AA396/AA397</f>
        <v>0</v>
      </c>
      <c r="AB398" s="1564"/>
      <c r="AC398" s="1564"/>
      <c r="AE398" s="1564">
        <f>AE396/AE397</f>
        <v>0</v>
      </c>
      <c r="AF398" s="1564"/>
      <c r="AG398" s="1564"/>
      <c r="AI398" s="1564">
        <f>AI396/AI397</f>
        <v>0</v>
      </c>
      <c r="AJ398" s="1564"/>
      <c r="AK398" s="1564"/>
      <c r="AL398" s="434"/>
      <c r="AQ398" s="1564">
        <f>AQ396/AQ397</f>
        <v>0</v>
      </c>
      <c r="AR398" s="1564"/>
      <c r="AS398" s="1564"/>
      <c r="AT398" s="52"/>
      <c r="AU398" s="1564">
        <f>AU396/AU397</f>
        <v>0</v>
      </c>
      <c r="AV398" s="1564"/>
      <c r="AW398" s="1564"/>
      <c r="AX398" s="52"/>
      <c r="AY398" s="1564">
        <f>AY396/AY397</f>
        <v>0</v>
      </c>
      <c r="AZ398" s="1564"/>
      <c r="BA398" s="1564"/>
      <c r="BC398" s="1564">
        <f>BC396/BC397</f>
        <v>0</v>
      </c>
      <c r="BD398" s="1564"/>
      <c r="BE398" s="1564"/>
      <c r="BG398" s="1564">
        <f>BG396/BG397</f>
        <v>0</v>
      </c>
      <c r="BH398" s="1564"/>
      <c r="BI398" s="1564"/>
    </row>
    <row r="399" spans="3:63" hidden="1" outlineLevel="1">
      <c r="C399" s="10"/>
      <c r="D399" s="7"/>
      <c r="E399" s="7"/>
      <c r="F399" s="7"/>
      <c r="G399" s="7"/>
      <c r="H399" s="7"/>
      <c r="I399" s="7"/>
      <c r="J399" s="7"/>
      <c r="K399" s="7"/>
      <c r="L399" s="7"/>
      <c r="M399" s="7"/>
      <c r="N399" s="7"/>
      <c r="O399" s="7"/>
      <c r="P399" s="7"/>
      <c r="Q399" s="7"/>
      <c r="R399" s="7"/>
      <c r="S399" s="7"/>
      <c r="T399" s="7"/>
      <c r="U399" s="7"/>
      <c r="V399" s="7"/>
      <c r="W399" s="7"/>
      <c r="X399" s="7"/>
      <c r="Y399" s="7"/>
      <c r="Z399" s="7"/>
      <c r="AB399" s="28"/>
    </row>
    <row r="400" spans="3:63" hidden="1" outlineLevel="1">
      <c r="C400" s="10"/>
      <c r="D400" s="7"/>
      <c r="E400" s="7"/>
      <c r="F400" s="7"/>
      <c r="G400" s="7"/>
      <c r="H400" s="7"/>
      <c r="I400" s="7"/>
      <c r="J400" s="7"/>
      <c r="K400" s="7"/>
      <c r="L400" s="7"/>
      <c r="M400" s="7"/>
      <c r="N400" s="7"/>
      <c r="O400" s="7"/>
      <c r="P400" s="7"/>
      <c r="Q400" s="7"/>
      <c r="R400" s="7"/>
      <c r="S400" s="7"/>
      <c r="T400" s="7"/>
      <c r="U400" s="7"/>
      <c r="V400" s="7"/>
      <c r="W400" s="7"/>
      <c r="X400" s="7"/>
      <c r="Y400" s="7"/>
      <c r="Z400" s="7"/>
      <c r="AB400" s="28"/>
    </row>
    <row r="401" spans="3:62" ht="15" hidden="1" outlineLevel="1">
      <c r="C401" s="10"/>
      <c r="D401" s="7"/>
      <c r="E401" s="7"/>
      <c r="F401" s="7"/>
      <c r="G401" s="7"/>
      <c r="H401" s="7"/>
      <c r="I401" s="7"/>
      <c r="J401" s="7"/>
      <c r="K401" s="7"/>
      <c r="L401" s="7"/>
      <c r="M401" s="7"/>
      <c r="N401" s="7"/>
      <c r="O401" s="7"/>
      <c r="P401" s="10"/>
      <c r="Q401" s="12"/>
      <c r="R401" s="6"/>
      <c r="S401" s="6"/>
      <c r="T401" s="6"/>
      <c r="U401" s="8"/>
      <c r="V401" s="8"/>
      <c r="W401" s="8"/>
      <c r="X401" s="8"/>
      <c r="Y401" s="8"/>
      <c r="Z401" s="9"/>
      <c r="AB401" s="28"/>
    </row>
    <row r="402" spans="3:62" ht="18" hidden="1" outlineLevel="1">
      <c r="C402" s="19" t="s">
        <v>18</v>
      </c>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row>
    <row r="403" spans="3:62" hidden="1" outlineLevel="1"/>
    <row r="404" spans="3:62" hidden="1" outlineLevel="1"/>
    <row r="405" spans="3:62" hidden="1" outlineLevel="1">
      <c r="C405" s="499" t="s">
        <v>936</v>
      </c>
    </row>
    <row r="406" spans="3:62" ht="17.100000000000001" hidden="1" customHeight="1" outlineLevel="1">
      <c r="C406" s="1689" t="str">
        <f>'3 TEWI'!C199</f>
        <v>R 32</v>
      </c>
      <c r="D406" s="1689"/>
      <c r="E406" s="1689"/>
      <c r="F406" s="1689"/>
      <c r="G406" s="1689"/>
      <c r="H406" s="1689"/>
      <c r="I406" s="1689"/>
      <c r="J406" s="1689"/>
    </row>
    <row r="407" spans="3:62" ht="17.100000000000001" hidden="1" customHeight="1" outlineLevel="1">
      <c r="C407" s="1689" t="str">
        <f>'3 TEWI'!C200</f>
        <v>R134a</v>
      </c>
      <c r="D407" s="1689"/>
      <c r="E407" s="1689"/>
      <c r="F407" s="1689"/>
      <c r="G407" s="1689"/>
      <c r="H407" s="1689"/>
      <c r="I407" s="1689"/>
      <c r="J407" s="1689"/>
    </row>
    <row r="408" spans="3:62" ht="17.100000000000001" hidden="1" customHeight="1" outlineLevel="1">
      <c r="C408" s="1689" t="str">
        <f>'3 TEWI'!C201</f>
        <v>R290 (Propan)</v>
      </c>
      <c r="D408" s="1689"/>
      <c r="E408" s="1689"/>
      <c r="F408" s="1689"/>
      <c r="G408" s="1689"/>
      <c r="H408" s="1689"/>
      <c r="I408" s="1689"/>
      <c r="J408" s="1689"/>
    </row>
    <row r="409" spans="3:62" ht="17.100000000000001" hidden="1" customHeight="1" outlineLevel="1">
      <c r="C409" s="1689" t="str">
        <f>'3 TEWI'!C202</f>
        <v>R404A</v>
      </c>
      <c r="D409" s="1689"/>
      <c r="E409" s="1689"/>
      <c r="F409" s="1689"/>
      <c r="G409" s="1689"/>
      <c r="H409" s="1689"/>
      <c r="I409" s="1689"/>
      <c r="J409" s="1689"/>
    </row>
    <row r="410" spans="3:62" ht="17.100000000000001" hidden="1" customHeight="1" outlineLevel="1">
      <c r="C410" s="1689" t="str">
        <f>'3 TEWI'!C203</f>
        <v>R407C</v>
      </c>
      <c r="D410" s="1689"/>
      <c r="E410" s="1689"/>
      <c r="F410" s="1689"/>
      <c r="G410" s="1689"/>
      <c r="H410" s="1689"/>
      <c r="I410" s="1689"/>
      <c r="J410" s="1689"/>
    </row>
    <row r="411" spans="3:62" ht="17.100000000000001" hidden="1" customHeight="1" outlineLevel="1">
      <c r="C411" s="1689" t="str">
        <f>'3 TEWI'!C204</f>
        <v>R407F</v>
      </c>
      <c r="D411" s="1689"/>
      <c r="E411" s="1689"/>
      <c r="F411" s="1689"/>
      <c r="G411" s="1689"/>
      <c r="H411" s="1689"/>
      <c r="I411" s="1689"/>
      <c r="J411" s="1689"/>
    </row>
    <row r="412" spans="3:62" ht="17.100000000000001" hidden="1" customHeight="1" outlineLevel="1">
      <c r="C412" s="1689" t="str">
        <f>'3 TEWI'!C205</f>
        <v>R410A</v>
      </c>
      <c r="D412" s="1689"/>
      <c r="E412" s="1689"/>
      <c r="F412" s="1689"/>
      <c r="G412" s="1689"/>
      <c r="H412" s="1689"/>
      <c r="I412" s="1689"/>
      <c r="J412" s="1689"/>
    </row>
    <row r="413" spans="3:62" ht="17.100000000000001" hidden="1" customHeight="1" outlineLevel="1">
      <c r="C413" s="1689" t="str">
        <f>'3 TEWI'!C206</f>
        <v>R417A</v>
      </c>
      <c r="D413" s="1689"/>
      <c r="E413" s="1689"/>
      <c r="F413" s="1689"/>
      <c r="G413" s="1689"/>
      <c r="H413" s="1689"/>
      <c r="I413" s="1689"/>
      <c r="J413" s="1689"/>
    </row>
    <row r="414" spans="3:62" ht="17.100000000000001" hidden="1" customHeight="1" outlineLevel="1">
      <c r="C414" s="1689" t="str">
        <f>'3 TEWI'!C207</f>
        <v>R422A</v>
      </c>
      <c r="D414" s="1689"/>
      <c r="E414" s="1689"/>
      <c r="F414" s="1689"/>
      <c r="G414" s="1689"/>
      <c r="H414" s="1689"/>
      <c r="I414" s="1689"/>
      <c r="J414" s="1689"/>
    </row>
    <row r="415" spans="3:62" ht="17.100000000000001" hidden="1" customHeight="1" outlineLevel="1">
      <c r="C415" s="1689" t="str">
        <f>'3 TEWI'!C208</f>
        <v>R422D</v>
      </c>
      <c r="D415" s="1689"/>
      <c r="E415" s="1689"/>
      <c r="F415" s="1689"/>
      <c r="G415" s="1689"/>
      <c r="H415" s="1689"/>
      <c r="I415" s="1689"/>
      <c r="J415" s="1689"/>
    </row>
    <row r="416" spans="3:62" ht="17.100000000000001" hidden="1" customHeight="1" outlineLevel="1">
      <c r="C416" s="1689" t="str">
        <f>'3 TEWI'!C209</f>
        <v>R427A</v>
      </c>
      <c r="D416" s="1689"/>
      <c r="E416" s="1689"/>
      <c r="F416" s="1689"/>
      <c r="G416" s="1689"/>
      <c r="H416" s="1689"/>
      <c r="I416" s="1689"/>
      <c r="J416" s="1689"/>
    </row>
    <row r="417" spans="3:62" ht="17.100000000000001" hidden="1" customHeight="1" outlineLevel="1">
      <c r="C417" s="1689" t="str">
        <f>'3 TEWI'!C210</f>
        <v>R448A</v>
      </c>
      <c r="D417" s="1689"/>
      <c r="E417" s="1689"/>
      <c r="F417" s="1689"/>
      <c r="G417" s="1689"/>
      <c r="H417" s="1689"/>
      <c r="I417" s="1689"/>
      <c r="J417" s="1689"/>
    </row>
    <row r="418" spans="3:62" ht="17.100000000000001" hidden="1" customHeight="1" outlineLevel="1">
      <c r="C418" s="1689" t="str">
        <f>'3 TEWI'!C211</f>
        <v>R449A</v>
      </c>
      <c r="D418" s="1689"/>
      <c r="E418" s="1689"/>
      <c r="F418" s="1689"/>
      <c r="G418" s="1689"/>
      <c r="H418" s="1689"/>
      <c r="I418" s="1689"/>
      <c r="J418" s="1689"/>
    </row>
    <row r="419" spans="3:62" ht="17.100000000000001" hidden="1" customHeight="1" outlineLevel="1">
      <c r="C419" s="1689" t="str">
        <f>'3 TEWI'!C212</f>
        <v>R450A</v>
      </c>
      <c r="D419" s="1689"/>
      <c r="E419" s="1689"/>
      <c r="F419" s="1689"/>
      <c r="G419" s="1689"/>
      <c r="H419" s="1689"/>
      <c r="I419" s="1689"/>
      <c r="J419" s="1689"/>
    </row>
    <row r="420" spans="3:62" ht="17.100000000000001" hidden="1" customHeight="1" outlineLevel="1">
      <c r="C420" s="1689" t="str">
        <f>'3 TEWI'!C213</f>
        <v>R507 A</v>
      </c>
      <c r="D420" s="1689"/>
      <c r="E420" s="1689"/>
      <c r="F420" s="1689"/>
      <c r="G420" s="1689"/>
      <c r="H420" s="1689"/>
      <c r="I420" s="1689"/>
      <c r="J420" s="1689"/>
    </row>
    <row r="421" spans="3:62" ht="17.100000000000001" hidden="1" customHeight="1" outlineLevel="1">
      <c r="C421" s="1689" t="str">
        <f>'3 TEWI'!C214</f>
        <v>R513 A</v>
      </c>
      <c r="D421" s="1689"/>
      <c r="E421" s="1689"/>
      <c r="F421" s="1689"/>
      <c r="G421" s="1689"/>
      <c r="H421" s="1689"/>
      <c r="I421" s="1689"/>
      <c r="J421" s="1689"/>
    </row>
    <row r="422" spans="3:62" ht="17.100000000000001" hidden="1" customHeight="1" outlineLevel="1">
      <c r="C422" s="1689" t="str">
        <f>'3 TEWI'!C215</f>
        <v>R717 (Ammoniak - NH3)</v>
      </c>
      <c r="D422" s="1689"/>
      <c r="E422" s="1689"/>
      <c r="F422" s="1689"/>
      <c r="G422" s="1689"/>
      <c r="H422" s="1689"/>
      <c r="I422" s="1689"/>
      <c r="J422" s="1689"/>
    </row>
    <row r="423" spans="3:62" ht="17.100000000000001" hidden="1" customHeight="1" outlineLevel="1">
      <c r="C423" s="1689" t="str">
        <f>'3 TEWI'!C216</f>
        <v>R723</v>
      </c>
      <c r="D423" s="1689"/>
      <c r="E423" s="1689"/>
      <c r="F423" s="1689"/>
      <c r="G423" s="1689"/>
      <c r="H423" s="1689"/>
      <c r="I423" s="1689"/>
      <c r="J423" s="1689"/>
    </row>
    <row r="424" spans="3:62" ht="17.100000000000001" hidden="1" customHeight="1" outlineLevel="1">
      <c r="C424" s="1689" t="str">
        <f>'3 TEWI'!C217</f>
        <v>R744  (CO2)</v>
      </c>
      <c r="D424" s="1689"/>
      <c r="E424" s="1689"/>
      <c r="F424" s="1689"/>
      <c r="G424" s="1689"/>
      <c r="H424" s="1689"/>
      <c r="I424" s="1689"/>
      <c r="J424" s="1689"/>
    </row>
    <row r="425" spans="3:62" ht="17.100000000000001" hidden="1" customHeight="1" outlineLevel="1">
      <c r="C425" s="1689" t="str">
        <f>'3 TEWI'!C218</f>
        <v>R1270 (Propylen)</v>
      </c>
      <c r="D425" s="1689"/>
      <c r="E425" s="1689"/>
      <c r="F425" s="1689"/>
      <c r="G425" s="1689"/>
      <c r="H425" s="1689"/>
      <c r="I425" s="1689"/>
      <c r="J425" s="1689"/>
    </row>
    <row r="426" spans="3:62" ht="17.100000000000001" hidden="1" customHeight="1" outlineLevel="1">
      <c r="C426" s="1689" t="str">
        <f>'3 TEWI'!C219</f>
        <v>R1233zd</v>
      </c>
      <c r="D426" s="1689"/>
      <c r="E426" s="1689"/>
      <c r="F426" s="1689"/>
      <c r="G426" s="1689"/>
      <c r="H426" s="1689"/>
      <c r="I426" s="1689"/>
      <c r="J426" s="1689"/>
    </row>
    <row r="427" spans="3:62" ht="17.100000000000001" hidden="1" customHeight="1" outlineLevel="1">
      <c r="C427" s="1689" t="str">
        <f>'3 TEWI'!C220</f>
        <v xml:space="preserve">R1234ze </v>
      </c>
      <c r="D427" s="1689"/>
      <c r="E427" s="1689"/>
      <c r="F427" s="1689"/>
      <c r="G427" s="1689"/>
      <c r="H427" s="1689"/>
      <c r="I427" s="1689"/>
      <c r="J427" s="1689"/>
    </row>
    <row r="428" spans="3:62" ht="17.100000000000001" hidden="1" customHeight="1" outlineLevel="1">
      <c r="C428" s="1689" t="str">
        <f>'3 TEWI'!C221</f>
        <v>R1234yf</v>
      </c>
      <c r="D428" s="1689"/>
      <c r="E428" s="1689"/>
      <c r="F428" s="1689"/>
      <c r="G428" s="1689"/>
      <c r="H428" s="1689"/>
      <c r="I428" s="1689"/>
      <c r="J428" s="1689"/>
    </row>
    <row r="429" spans="3:62" hidden="1" outlineLevel="1"/>
    <row r="430" spans="3:62" ht="15" hidden="1" outlineLevel="1">
      <c r="C430" s="10"/>
      <c r="D430" s="7"/>
      <c r="E430" s="7"/>
      <c r="F430" s="7"/>
      <c r="G430" s="7"/>
      <c r="H430" s="7"/>
      <c r="I430" s="7"/>
      <c r="J430" s="7"/>
      <c r="K430" s="7"/>
      <c r="L430" s="7"/>
      <c r="M430" s="7"/>
      <c r="N430" s="7"/>
      <c r="O430" s="7"/>
      <c r="P430" s="10"/>
      <c r="Q430" s="12"/>
      <c r="R430" s="6"/>
      <c r="S430" s="6"/>
      <c r="T430" s="6"/>
      <c r="U430" s="8"/>
      <c r="V430" s="8"/>
      <c r="W430" s="8"/>
      <c r="X430" s="8"/>
      <c r="Y430" s="8"/>
      <c r="Z430" s="9"/>
      <c r="AB430" s="28"/>
    </row>
    <row r="431" spans="3:62" ht="18" hidden="1" outlineLevel="1">
      <c r="C431" s="19" t="s">
        <v>1095</v>
      </c>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row>
    <row r="432" spans="3:62" ht="15" hidden="1" outlineLevel="1">
      <c r="C432" s="10"/>
      <c r="D432" s="7"/>
      <c r="E432" s="7"/>
      <c r="F432" s="7"/>
      <c r="G432" s="7"/>
      <c r="H432" s="7"/>
      <c r="I432" s="7"/>
      <c r="J432" s="7"/>
      <c r="K432" s="7"/>
      <c r="L432" s="7"/>
      <c r="M432" s="7"/>
      <c r="N432" s="7"/>
      <c r="O432" s="7"/>
      <c r="P432" s="10"/>
      <c r="Q432" s="12"/>
      <c r="R432" s="6"/>
      <c r="S432" s="6"/>
      <c r="T432" s="6"/>
      <c r="U432" s="8"/>
      <c r="V432" s="8"/>
      <c r="W432" s="8"/>
      <c r="X432" s="8"/>
      <c r="Y432" s="8"/>
      <c r="Z432" s="9"/>
      <c r="AB432" s="28"/>
    </row>
    <row r="433" spans="3:28" ht="15" hidden="1" outlineLevel="1">
      <c r="C433" s="1291" t="str">
        <f>X!C352</f>
        <v>Trocken</v>
      </c>
      <c r="D433" s="1292"/>
      <c r="E433" s="1292"/>
      <c r="F433" s="1292"/>
      <c r="G433" s="1292"/>
      <c r="H433" s="1292"/>
      <c r="I433" s="1292"/>
      <c r="J433" s="1293"/>
      <c r="K433" s="7"/>
      <c r="L433" s="7"/>
      <c r="M433" s="7"/>
      <c r="N433" s="7"/>
      <c r="O433" s="7"/>
      <c r="P433" s="10"/>
      <c r="Q433" s="12"/>
      <c r="R433" s="6"/>
      <c r="S433" s="6"/>
      <c r="T433" s="6"/>
      <c r="U433" s="8"/>
      <c r="V433" s="8"/>
      <c r="W433" s="8"/>
      <c r="X433" s="8"/>
      <c r="Y433" s="8"/>
      <c r="Z433" s="9"/>
      <c r="AB433" s="28"/>
    </row>
    <row r="434" spans="3:28" hidden="1" outlineLevel="1">
      <c r="C434" s="1291" t="str">
        <f>X!C353</f>
        <v>Hybrid</v>
      </c>
      <c r="D434" s="694"/>
      <c r="E434" s="694"/>
      <c r="F434" s="694"/>
      <c r="G434" s="694"/>
      <c r="H434" s="694"/>
      <c r="I434" s="694"/>
      <c r="J434" s="695"/>
    </row>
    <row r="435" spans="3:28" collapsed="1"/>
  </sheetData>
  <sheetProtection algorithmName="SHA-512" hashValue="t3oGZqfZpto8kaldVajFOKzpf2lj4OxOSWNxEkmrgnTrD8gjryopu5tL56wpNxovy3vT5bPyXvprprHX9sVmDQ==" saltValue="1IHGwqhEHkAB+qN8v+9tug==" spinCount="100000" sheet="1" objects="1" scenarios="1" selectLockedCells="1"/>
  <mergeCells count="1028">
    <mergeCell ref="BI285:BK285"/>
    <mergeCell ref="AQ240:AS240"/>
    <mergeCell ref="C422:J422"/>
    <mergeCell ref="C423:J423"/>
    <mergeCell ref="C424:J424"/>
    <mergeCell ref="C425:J425"/>
    <mergeCell ref="C426:J426"/>
    <mergeCell ref="C427:J427"/>
    <mergeCell ref="C428:J428"/>
    <mergeCell ref="W59:AK59"/>
    <mergeCell ref="AU59:BI59"/>
    <mergeCell ref="C413:J413"/>
    <mergeCell ref="C414:J414"/>
    <mergeCell ref="C415:J415"/>
    <mergeCell ref="C416:J416"/>
    <mergeCell ref="C417:J417"/>
    <mergeCell ref="C418:J418"/>
    <mergeCell ref="C419:J419"/>
    <mergeCell ref="C420:J420"/>
    <mergeCell ref="C421:J421"/>
    <mergeCell ref="C406:J406"/>
    <mergeCell ref="C407:J407"/>
    <mergeCell ref="C408:J408"/>
    <mergeCell ref="C409:J409"/>
    <mergeCell ref="C410:J410"/>
    <mergeCell ref="C411:J411"/>
    <mergeCell ref="C412:J412"/>
    <mergeCell ref="U360:W360"/>
    <mergeCell ref="AC280:AE280"/>
    <mergeCell ref="Y280:AA280"/>
    <mergeCell ref="U290:W290"/>
    <mergeCell ref="U311:W311"/>
    <mergeCell ref="AQ202:AS202"/>
    <mergeCell ref="AA201:AC201"/>
    <mergeCell ref="AQ201:AS201"/>
    <mergeCell ref="AQ198:AS198"/>
    <mergeCell ref="AA188:AC188"/>
    <mergeCell ref="AI144:AK144"/>
    <mergeCell ref="AI153:AK153"/>
    <mergeCell ref="AE144:AG144"/>
    <mergeCell ref="AA200:AC200"/>
    <mergeCell ref="AS290:AU290"/>
    <mergeCell ref="AW286:AY286"/>
    <mergeCell ref="AS286:AU286"/>
    <mergeCell ref="AW287:AY287"/>
    <mergeCell ref="BA287:BC287"/>
    <mergeCell ref="AI147:AK147"/>
    <mergeCell ref="BE287:BG287"/>
    <mergeCell ref="BE290:BG290"/>
    <mergeCell ref="BE281:BG281"/>
    <mergeCell ref="BE286:BG286"/>
    <mergeCell ref="AS284:BG284"/>
    <mergeCell ref="BA285:BC285"/>
    <mergeCell ref="AW282:AY282"/>
    <mergeCell ref="AS282:AU282"/>
    <mergeCell ref="AS285:AU285"/>
    <mergeCell ref="BA277:BC277"/>
    <mergeCell ref="BA286:BC286"/>
    <mergeCell ref="AW277:AY277"/>
    <mergeCell ref="BE277:BG277"/>
    <mergeCell ref="Y282:AA282"/>
    <mergeCell ref="AC277:AE277"/>
    <mergeCell ref="AG277:AI277"/>
    <mergeCell ref="Y286:AA286"/>
    <mergeCell ref="C19:N19"/>
    <mergeCell ref="Q19:U19"/>
    <mergeCell ref="W19:AE19"/>
    <mergeCell ref="AG19:AQ19"/>
    <mergeCell ref="U361:W361"/>
    <mergeCell ref="S31:AK31"/>
    <mergeCell ref="S198:U198"/>
    <mergeCell ref="S109:AK109"/>
    <mergeCell ref="S111:AK111"/>
    <mergeCell ref="AQ70:AS70"/>
    <mergeCell ref="S75:U75"/>
    <mergeCell ref="AQ75:AS75"/>
    <mergeCell ref="W94:Y94"/>
    <mergeCell ref="AA94:AC94"/>
    <mergeCell ref="AC302:AE302"/>
    <mergeCell ref="AG302:AI302"/>
    <mergeCell ref="U304:AI304"/>
    <mergeCell ref="U306:W306"/>
    <mergeCell ref="AC296:AE296"/>
    <mergeCell ref="AG296:AI296"/>
    <mergeCell ref="AC297:AE297"/>
    <mergeCell ref="U301:W301"/>
    <mergeCell ref="AS19:BJ19"/>
    <mergeCell ref="BI295:BK295"/>
    <mergeCell ref="AC286:AE286"/>
    <mergeCell ref="AG286:AI286"/>
    <mergeCell ref="AG311:AI311"/>
    <mergeCell ref="AC287:AE287"/>
    <mergeCell ref="BC122:BE122"/>
    <mergeCell ref="AY124:BA124"/>
    <mergeCell ref="BC124:BE124"/>
    <mergeCell ref="BG152:BI152"/>
    <mergeCell ref="BG127:BI127"/>
    <mergeCell ref="BG128:BI128"/>
    <mergeCell ref="BG129:BI129"/>
    <mergeCell ref="BG132:BI132"/>
    <mergeCell ref="BG133:BI133"/>
    <mergeCell ref="BG134:BI134"/>
    <mergeCell ref="BG136:BI136"/>
    <mergeCell ref="AU124:AW124"/>
    <mergeCell ref="AQ109:BI109"/>
    <mergeCell ref="AQ111:BI111"/>
    <mergeCell ref="AQ107:AS107"/>
    <mergeCell ref="AY122:BA122"/>
    <mergeCell ref="AQ101:AS101"/>
    <mergeCell ref="AE122:AG122"/>
    <mergeCell ref="AI122:AK122"/>
    <mergeCell ref="AQ122:AS122"/>
    <mergeCell ref="AA105:AC105"/>
    <mergeCell ref="AE105:AG105"/>
    <mergeCell ref="AI105:AK105"/>
    <mergeCell ref="AQ105:AS105"/>
    <mergeCell ref="AA103:AC103"/>
    <mergeCell ref="AU101:AW101"/>
    <mergeCell ref="AY101:BA101"/>
    <mergeCell ref="BC101:BE101"/>
    <mergeCell ref="BG101:BI101"/>
    <mergeCell ref="AU105:AW105"/>
    <mergeCell ref="AY105:BA105"/>
    <mergeCell ref="BC105:BE105"/>
    <mergeCell ref="BG105:BI105"/>
    <mergeCell ref="BG107:BI107"/>
    <mergeCell ref="AU107:AW107"/>
    <mergeCell ref="AY107:BA107"/>
    <mergeCell ref="AQ92:AS92"/>
    <mergeCell ref="AU92:AW92"/>
    <mergeCell ref="BG124:BI124"/>
    <mergeCell ref="BG122:BI122"/>
    <mergeCell ref="BC92:BE92"/>
    <mergeCell ref="AY92:BA92"/>
    <mergeCell ref="BG92:BI92"/>
    <mergeCell ref="BC94:BE94"/>
    <mergeCell ref="BG94:BI94"/>
    <mergeCell ref="W81:AK81"/>
    <mergeCell ref="AU81:BI81"/>
    <mergeCell ref="AU122:AW122"/>
    <mergeCell ref="W103:Y103"/>
    <mergeCell ref="AU96:AW96"/>
    <mergeCell ref="AY96:BA96"/>
    <mergeCell ref="BC96:BE96"/>
    <mergeCell ref="BG96:BI96"/>
    <mergeCell ref="BG99:BI99"/>
    <mergeCell ref="AU99:AW99"/>
    <mergeCell ref="AY99:BA99"/>
    <mergeCell ref="BC99:BE99"/>
    <mergeCell ref="BC107:BE107"/>
    <mergeCell ref="AU103:AW103"/>
    <mergeCell ref="AY103:BA103"/>
    <mergeCell ref="BC103:BE103"/>
    <mergeCell ref="BG103:BI103"/>
    <mergeCell ref="AQ99:AS99"/>
    <mergeCell ref="AU94:AW94"/>
    <mergeCell ref="AY94:BA94"/>
    <mergeCell ref="S27:U27"/>
    <mergeCell ref="S45:U45"/>
    <mergeCell ref="S48:U48"/>
    <mergeCell ref="S55:U55"/>
    <mergeCell ref="AQ45:AS45"/>
    <mergeCell ref="AQ48:AS48"/>
    <mergeCell ref="S57:U57"/>
    <mergeCell ref="AQ55:AS55"/>
    <mergeCell ref="AQ57:AS57"/>
    <mergeCell ref="S53:U53"/>
    <mergeCell ref="AQ53:AS53"/>
    <mergeCell ref="AQ37:BI37"/>
    <mergeCell ref="S29:U29"/>
    <mergeCell ref="S77:U77"/>
    <mergeCell ref="AQ77:AS77"/>
    <mergeCell ref="AU70:BI70"/>
    <mergeCell ref="AU75:BI75"/>
    <mergeCell ref="AU77:BI77"/>
    <mergeCell ref="W77:AK77"/>
    <mergeCell ref="S70:U70"/>
    <mergeCell ref="S64:U64"/>
    <mergeCell ref="AQ64:AS64"/>
    <mergeCell ref="AU64:BI64"/>
    <mergeCell ref="AU66:BI66"/>
    <mergeCell ref="AU68:BI68"/>
    <mergeCell ref="C39:BI39"/>
    <mergeCell ref="D47:O48"/>
    <mergeCell ref="S66:U66"/>
    <mergeCell ref="AQ66:AS66"/>
    <mergeCell ref="S68:U68"/>
    <mergeCell ref="AQ68:AS68"/>
    <mergeCell ref="W70:AK70"/>
    <mergeCell ref="AG291:AI291"/>
    <mergeCell ref="U282:W282"/>
    <mergeCell ref="U286:W286"/>
    <mergeCell ref="Y287:AA287"/>
    <mergeCell ref="AK297:AN297"/>
    <mergeCell ref="W231:Y231"/>
    <mergeCell ref="AC301:AE301"/>
    <mergeCell ref="U297:W297"/>
    <mergeCell ref="U302:W302"/>
    <mergeCell ref="Y296:AA296"/>
    <mergeCell ref="AG297:AI297"/>
    <mergeCell ref="Y297:AA297"/>
    <mergeCell ref="AI396:AK396"/>
    <mergeCell ref="S392:U392"/>
    <mergeCell ref="W392:Y392"/>
    <mergeCell ref="AA392:AC392"/>
    <mergeCell ref="AE392:AG392"/>
    <mergeCell ref="S393:U393"/>
    <mergeCell ref="W393:Y393"/>
    <mergeCell ref="W396:Y396"/>
    <mergeCell ref="AA396:AC396"/>
    <mergeCell ref="AE396:AG396"/>
    <mergeCell ref="AE395:AG395"/>
    <mergeCell ref="AI392:AK392"/>
    <mergeCell ref="AI393:AK393"/>
    <mergeCell ref="S395:U395"/>
    <mergeCell ref="S396:U396"/>
    <mergeCell ref="W395:Y395"/>
    <mergeCell ref="AA395:AC395"/>
    <mergeCell ref="Y311:AA311"/>
    <mergeCell ref="AC292:AE292"/>
    <mergeCell ref="AK287:AN287"/>
    <mergeCell ref="U291:W291"/>
    <mergeCell ref="BA281:BC281"/>
    <mergeCell ref="AW281:AY281"/>
    <mergeCell ref="AC291:AE291"/>
    <mergeCell ref="AS291:AU291"/>
    <mergeCell ref="Y291:AA291"/>
    <mergeCell ref="AI128:AK128"/>
    <mergeCell ref="AI173:AK173"/>
    <mergeCell ref="AI132:AK132"/>
    <mergeCell ref="AI134:AK134"/>
    <mergeCell ref="AI136:AK136"/>
    <mergeCell ref="AI124:AK124"/>
    <mergeCell ref="AI172:AK172"/>
    <mergeCell ref="AI176:AK176"/>
    <mergeCell ref="AI174:AK174"/>
    <mergeCell ref="AI175:AK175"/>
    <mergeCell ref="AE142:AG142"/>
    <mergeCell ref="AI142:AK142"/>
    <mergeCell ref="AI177:AK177"/>
    <mergeCell ref="AI127:AK127"/>
    <mergeCell ref="AE124:AG124"/>
    <mergeCell ref="AI130:AK130"/>
    <mergeCell ref="AZ161:BG161"/>
    <mergeCell ref="AZ246:BG246"/>
    <mergeCell ref="AW290:AY290"/>
    <mergeCell ref="BA290:BC290"/>
    <mergeCell ref="AI133:AK133"/>
    <mergeCell ref="AI182:AK182"/>
    <mergeCell ref="AG280:AI280"/>
    <mergeCell ref="BG142:BI142"/>
    <mergeCell ref="U277:W277"/>
    <mergeCell ref="Y277:AA277"/>
    <mergeCell ref="Y352:AA352"/>
    <mergeCell ref="AS280:AU280"/>
    <mergeCell ref="AW280:AY280"/>
    <mergeCell ref="AK277:AN277"/>
    <mergeCell ref="AS277:AU277"/>
    <mergeCell ref="AS281:AU281"/>
    <mergeCell ref="AC290:AE290"/>
    <mergeCell ref="AS287:AU287"/>
    <mergeCell ref="U280:W280"/>
    <mergeCell ref="AW295:AY295"/>
    <mergeCell ref="Y327:AA327"/>
    <mergeCell ref="Y326:AA326"/>
    <mergeCell ref="Y373:AA373"/>
    <mergeCell ref="U370:W370"/>
    <mergeCell ref="U366:W366"/>
    <mergeCell ref="Y370:AA370"/>
    <mergeCell ref="U363:W363"/>
    <mergeCell ref="U364:W364"/>
    <mergeCell ref="U365:W365"/>
    <mergeCell ref="Y351:AA351"/>
    <mergeCell ref="AC325:AE325"/>
    <mergeCell ref="U351:W351"/>
    <mergeCell ref="Y361:AA361"/>
    <mergeCell ref="Y363:AA363"/>
    <mergeCell ref="Y325:AA325"/>
    <mergeCell ref="AG326:AI326"/>
    <mergeCell ref="AC330:AE330"/>
    <mergeCell ref="AC327:AE327"/>
    <mergeCell ref="AG301:AI301"/>
    <mergeCell ref="Y300:AA300"/>
    <mergeCell ref="Y305:AA305"/>
    <mergeCell ref="U312:W312"/>
    <mergeCell ref="AG305:AI305"/>
    <mergeCell ref="AG316:AI316"/>
    <mergeCell ref="AG317:AI317"/>
    <mergeCell ref="AG322:AI322"/>
    <mergeCell ref="AC336:AE336"/>
    <mergeCell ref="AC332:AE332"/>
    <mergeCell ref="U322:W322"/>
    <mergeCell ref="U317:W317"/>
    <mergeCell ref="U316:W316"/>
    <mergeCell ref="Y316:AA316"/>
    <mergeCell ref="U331:W331"/>
    <mergeCell ref="Y331:AA331"/>
    <mergeCell ref="U326:W326"/>
    <mergeCell ref="Y330:AA330"/>
    <mergeCell ref="Y312:AA312"/>
    <mergeCell ref="AC312:AE312"/>
    <mergeCell ref="AK330:AN330"/>
    <mergeCell ref="AK332:AN332"/>
    <mergeCell ref="Y381:AA381"/>
    <mergeCell ref="U382:W382"/>
    <mergeCell ref="Y382:AA382"/>
    <mergeCell ref="U374:W374"/>
    <mergeCell ref="Y374:AA374"/>
    <mergeCell ref="U375:W375"/>
    <mergeCell ref="Y375:AA375"/>
    <mergeCell ref="AA390:AC390"/>
    <mergeCell ref="U378:W378"/>
    <mergeCell ref="U379:W379"/>
    <mergeCell ref="U383:W383"/>
    <mergeCell ref="U384:W384"/>
    <mergeCell ref="U354:W354"/>
    <mergeCell ref="Y369:AA369"/>
    <mergeCell ref="U371:W371"/>
    <mergeCell ref="U373:W373"/>
    <mergeCell ref="U381:W381"/>
    <mergeCell ref="Y368:AA368"/>
    <mergeCell ref="U372:W372"/>
    <mergeCell ref="Y371:AA371"/>
    <mergeCell ref="Y380:AA380"/>
    <mergeCell ref="Y359:AA359"/>
    <mergeCell ref="Y362:AA362"/>
    <mergeCell ref="AK296:AN296"/>
    <mergeCell ref="AK295:AN295"/>
    <mergeCell ref="AK316:AN316"/>
    <mergeCell ref="AK315:AN315"/>
    <mergeCell ref="AK306:AN306"/>
    <mergeCell ref="S124:U124"/>
    <mergeCell ref="W124:Y124"/>
    <mergeCell ref="AE390:AG390"/>
    <mergeCell ref="AA391:AC391"/>
    <mergeCell ref="AE391:AG391"/>
    <mergeCell ref="AI390:AK390"/>
    <mergeCell ref="AI391:AK391"/>
    <mergeCell ref="Y378:AA378"/>
    <mergeCell ref="Y377:AA377"/>
    <mergeCell ref="Y379:AA379"/>
    <mergeCell ref="Y383:AA383"/>
    <mergeCell ref="Y384:AA384"/>
    <mergeCell ref="AC331:AE331"/>
    <mergeCell ref="AK342:AN342"/>
    <mergeCell ref="AG341:AI341"/>
    <mergeCell ref="AK341:AN341"/>
    <mergeCell ref="AC335:AE335"/>
    <mergeCell ref="Y342:AA342"/>
    <mergeCell ref="AG336:AI336"/>
    <mergeCell ref="AG335:AI335"/>
    <mergeCell ref="AG332:AI332"/>
    <mergeCell ref="Y372:AA372"/>
    <mergeCell ref="Y341:AA341"/>
    <mergeCell ref="AC341:AE341"/>
    <mergeCell ref="Y340:AA340"/>
    <mergeCell ref="Y335:AA335"/>
    <mergeCell ref="AG342:AI342"/>
    <mergeCell ref="W64:AK64"/>
    <mergeCell ref="W66:AK66"/>
    <mergeCell ref="W68:AK68"/>
    <mergeCell ref="AI101:AK101"/>
    <mergeCell ref="U287:W287"/>
    <mergeCell ref="AK285:AN285"/>
    <mergeCell ref="AG287:AI287"/>
    <mergeCell ref="AK286:AN286"/>
    <mergeCell ref="AE99:AG99"/>
    <mergeCell ref="AA99:AC99"/>
    <mergeCell ref="W99:Y99"/>
    <mergeCell ref="W96:Y96"/>
    <mergeCell ref="AA96:AC96"/>
    <mergeCell ref="AE96:AG96"/>
    <mergeCell ref="AI96:AK96"/>
    <mergeCell ref="AI227:AK227"/>
    <mergeCell ref="AI129:AK129"/>
    <mergeCell ref="W189:Y189"/>
    <mergeCell ref="AI228:AK228"/>
    <mergeCell ref="S122:U122"/>
    <mergeCell ref="W122:Y122"/>
    <mergeCell ref="AA122:AC122"/>
    <mergeCell ref="AC282:AE282"/>
    <mergeCell ref="AG282:AI282"/>
    <mergeCell ref="U284:AI284"/>
    <mergeCell ref="W92:Y92"/>
    <mergeCell ref="AA92:AC92"/>
    <mergeCell ref="AE92:AG92"/>
    <mergeCell ref="AE94:AG94"/>
    <mergeCell ref="AI94:AK94"/>
    <mergeCell ref="AI92:AK92"/>
    <mergeCell ref="AA231:AC231"/>
    <mergeCell ref="BE341:BG341"/>
    <mergeCell ref="BG392:BI392"/>
    <mergeCell ref="BG391:BI391"/>
    <mergeCell ref="AU395:AW395"/>
    <mergeCell ref="AS340:AU340"/>
    <mergeCell ref="AW340:AY340"/>
    <mergeCell ref="BA340:BC340"/>
    <mergeCell ref="BA342:BC342"/>
    <mergeCell ref="BE342:BG342"/>
    <mergeCell ref="BG393:BI393"/>
    <mergeCell ref="BG390:BI390"/>
    <mergeCell ref="AY395:BA395"/>
    <mergeCell ref="S391:U391"/>
    <mergeCell ref="W391:Y391"/>
    <mergeCell ref="U353:W353"/>
    <mergeCell ref="Y364:AA364"/>
    <mergeCell ref="Y365:AA365"/>
    <mergeCell ref="Y366:AA366"/>
    <mergeCell ref="AE393:AG393"/>
    <mergeCell ref="AA393:AC393"/>
    <mergeCell ref="BA341:BC341"/>
    <mergeCell ref="BE340:BG340"/>
    <mergeCell ref="AS341:AU341"/>
    <mergeCell ref="AW341:AY341"/>
    <mergeCell ref="S390:U390"/>
    <mergeCell ref="W390:Y390"/>
    <mergeCell ref="U355:W355"/>
    <mergeCell ref="U356:W356"/>
    <mergeCell ref="U369:W369"/>
    <mergeCell ref="Y360:AA360"/>
    <mergeCell ref="Y353:AA353"/>
    <mergeCell ref="Y354:AA354"/>
    <mergeCell ref="BA282:BC282"/>
    <mergeCell ref="AS337:AU337"/>
    <mergeCell ref="AW337:AY337"/>
    <mergeCell ref="BA337:BC337"/>
    <mergeCell ref="BE337:BG337"/>
    <mergeCell ref="AS336:AU336"/>
    <mergeCell ref="AW336:AY336"/>
    <mergeCell ref="BA335:BC335"/>
    <mergeCell ref="BE335:BG335"/>
    <mergeCell ref="BA336:BC336"/>
    <mergeCell ref="BE336:BG336"/>
    <mergeCell ref="BC392:BE392"/>
    <mergeCell ref="BG396:BI396"/>
    <mergeCell ref="BI340:BK340"/>
    <mergeCell ref="BI341:BK341"/>
    <mergeCell ref="BI342:BK342"/>
    <mergeCell ref="AQ392:AS392"/>
    <mergeCell ref="AU392:AW392"/>
    <mergeCell ref="AY392:BA392"/>
    <mergeCell ref="AS342:AU342"/>
    <mergeCell ref="AW342:AY342"/>
    <mergeCell ref="BC395:BE395"/>
    <mergeCell ref="AQ396:AS396"/>
    <mergeCell ref="AU396:AW396"/>
    <mergeCell ref="AY396:BA396"/>
    <mergeCell ref="BC396:BE396"/>
    <mergeCell ref="AU393:AW393"/>
    <mergeCell ref="AY393:BA393"/>
    <mergeCell ref="BC393:BE393"/>
    <mergeCell ref="AQ390:AS390"/>
    <mergeCell ref="AQ393:AS393"/>
    <mergeCell ref="AQ391:AS391"/>
    <mergeCell ref="BG153:BI153"/>
    <mergeCell ref="AQ142:AS142"/>
    <mergeCell ref="AU142:AW142"/>
    <mergeCell ref="AY142:BA142"/>
    <mergeCell ref="BC142:BE142"/>
    <mergeCell ref="AU144:AW144"/>
    <mergeCell ref="AY144:BA144"/>
    <mergeCell ref="AQ190:AS190"/>
    <mergeCell ref="AQ188:AS188"/>
    <mergeCell ref="AY189:BA189"/>
    <mergeCell ref="AU190:AW190"/>
    <mergeCell ref="AY190:BA190"/>
    <mergeCell ref="AY186:BA186"/>
    <mergeCell ref="AQ144:AS144"/>
    <mergeCell ref="AU186:AW186"/>
    <mergeCell ref="AQ186:AS186"/>
    <mergeCell ref="AY188:BA188"/>
    <mergeCell ref="AU189:AW189"/>
    <mergeCell ref="BG173:BI173"/>
    <mergeCell ref="BG182:BI182"/>
    <mergeCell ref="BG144:BI144"/>
    <mergeCell ref="BC144:BE144"/>
    <mergeCell ref="BI277:BK277"/>
    <mergeCell ref="BG172:BI172"/>
    <mergeCell ref="BG176:BI176"/>
    <mergeCell ref="AU205:AW205"/>
    <mergeCell ref="AU202:AW202"/>
    <mergeCell ref="AU192:AW192"/>
    <mergeCell ref="AU191:AW191"/>
    <mergeCell ref="AU194:AW194"/>
    <mergeCell ref="AY194:BA194"/>
    <mergeCell ref="AS302:AU302"/>
    <mergeCell ref="AW302:AY302"/>
    <mergeCell ref="AK305:AN305"/>
    <mergeCell ref="AK307:AN307"/>
    <mergeCell ref="AW306:AY306"/>
    <mergeCell ref="AY397:BA397"/>
    <mergeCell ref="BC397:BE397"/>
    <mergeCell ref="BE317:BG317"/>
    <mergeCell ref="BI305:BK305"/>
    <mergeCell ref="BI306:BK306"/>
    <mergeCell ref="AS304:BG304"/>
    <mergeCell ref="AS305:AU305"/>
    <mergeCell ref="AW307:AY307"/>
    <mergeCell ref="BA307:BC307"/>
    <mergeCell ref="BE307:BG307"/>
    <mergeCell ref="AW310:AY310"/>
    <mergeCell ref="BE306:BG306"/>
    <mergeCell ref="AS329:BG329"/>
    <mergeCell ref="BE326:BG326"/>
    <mergeCell ref="AS327:AU327"/>
    <mergeCell ref="BA327:BC327"/>
    <mergeCell ref="BE327:BG327"/>
    <mergeCell ref="BA326:BC326"/>
    <mergeCell ref="BG398:BI398"/>
    <mergeCell ref="BG397:BI397"/>
    <mergeCell ref="AW305:AY305"/>
    <mergeCell ref="BA305:BC305"/>
    <mergeCell ref="BE305:BG305"/>
    <mergeCell ref="BA317:BC317"/>
    <mergeCell ref="BA315:BC315"/>
    <mergeCell ref="BE316:BG316"/>
    <mergeCell ref="AW315:AY315"/>
    <mergeCell ref="AS314:BG314"/>
    <mergeCell ref="AW317:AY317"/>
    <mergeCell ref="AS315:AU315"/>
    <mergeCell ref="BI317:BK317"/>
    <mergeCell ref="BI315:BK315"/>
    <mergeCell ref="BI316:BK316"/>
    <mergeCell ref="BI322:BK322"/>
    <mergeCell ref="BC391:BE391"/>
    <mergeCell ref="AW325:AY325"/>
    <mergeCell ref="BA325:BC325"/>
    <mergeCell ref="BE325:BG325"/>
    <mergeCell ref="BI330:BK330"/>
    <mergeCell ref="BI331:BK331"/>
    <mergeCell ref="BA332:BC332"/>
    <mergeCell ref="BA306:BC306"/>
    <mergeCell ref="BA310:BC310"/>
    <mergeCell ref="AS311:AU311"/>
    <mergeCell ref="AW311:AY311"/>
    <mergeCell ref="BA311:BC311"/>
    <mergeCell ref="BE311:BG311"/>
    <mergeCell ref="BE310:BG310"/>
    <mergeCell ref="BE315:BG315"/>
    <mergeCell ref="AS316:AU316"/>
    <mergeCell ref="BI307:BK307"/>
    <mergeCell ref="AS332:AU332"/>
    <mergeCell ref="AW332:AY332"/>
    <mergeCell ref="AS330:AU330"/>
    <mergeCell ref="BI332:BK332"/>
    <mergeCell ref="AU391:AW391"/>
    <mergeCell ref="AY391:BA391"/>
    <mergeCell ref="BI286:BK286"/>
    <mergeCell ref="BI287:BK287"/>
    <mergeCell ref="AS306:AU306"/>
    <mergeCell ref="BI296:BK296"/>
    <mergeCell ref="AS312:AU312"/>
    <mergeCell ref="AW312:AY312"/>
    <mergeCell ref="BA312:BC312"/>
    <mergeCell ref="BE312:BG312"/>
    <mergeCell ref="AS307:AU307"/>
    <mergeCell ref="AS310:AU310"/>
    <mergeCell ref="BA302:BC302"/>
    <mergeCell ref="BE302:BG302"/>
    <mergeCell ref="AS295:AU295"/>
    <mergeCell ref="AS292:AU292"/>
    <mergeCell ref="AS294:BG294"/>
    <mergeCell ref="BA292:BC292"/>
    <mergeCell ref="AS322:AU322"/>
    <mergeCell ref="AW322:AY322"/>
    <mergeCell ref="BA322:BC322"/>
    <mergeCell ref="BE322:BG322"/>
    <mergeCell ref="AW316:AY316"/>
    <mergeCell ref="BA316:BC316"/>
    <mergeCell ref="AS317:AU317"/>
    <mergeCell ref="BA330:BC330"/>
    <mergeCell ref="AW331:AY331"/>
    <mergeCell ref="BI297:BK297"/>
    <mergeCell ref="AS300:AU300"/>
    <mergeCell ref="AW300:AY300"/>
    <mergeCell ref="BA300:BC300"/>
    <mergeCell ref="BE300:BG300"/>
    <mergeCell ref="AS301:AU301"/>
    <mergeCell ref="AW301:AY301"/>
    <mergeCell ref="BA301:BC301"/>
    <mergeCell ref="BE301:BG301"/>
    <mergeCell ref="C205:N205"/>
    <mergeCell ref="S398:U398"/>
    <mergeCell ref="W398:Y398"/>
    <mergeCell ref="AA398:AC398"/>
    <mergeCell ref="AE398:AG398"/>
    <mergeCell ref="AI398:AK398"/>
    <mergeCell ref="AQ398:AS398"/>
    <mergeCell ref="AU398:AW398"/>
    <mergeCell ref="AY398:BA398"/>
    <mergeCell ref="BC398:BE398"/>
    <mergeCell ref="S397:U397"/>
    <mergeCell ref="W397:Y397"/>
    <mergeCell ref="AA397:AC397"/>
    <mergeCell ref="AE397:AG397"/>
    <mergeCell ref="AI397:AK397"/>
    <mergeCell ref="AQ397:AS397"/>
    <mergeCell ref="AU397:AW397"/>
    <mergeCell ref="AY205:BA205"/>
    <mergeCell ref="AU231:AW231"/>
    <mergeCell ref="AY231:BA231"/>
    <mergeCell ref="AQ238:AS238"/>
    <mergeCell ref="AU241:AW241"/>
    <mergeCell ref="AY235:BA235"/>
    <mergeCell ref="AU390:AW390"/>
    <mergeCell ref="AY390:BA390"/>
    <mergeCell ref="BC390:BE390"/>
    <mergeCell ref="AQ395:AS395"/>
    <mergeCell ref="AS335:AU335"/>
    <mergeCell ref="AW335:AY335"/>
    <mergeCell ref="AU240:AW240"/>
    <mergeCell ref="AQ241:AS241"/>
    <mergeCell ref="AU200:AW200"/>
    <mergeCell ref="AY204:BA204"/>
    <mergeCell ref="AU188:AW188"/>
    <mergeCell ref="AY191:BA191"/>
    <mergeCell ref="AQ233:AS233"/>
    <mergeCell ref="AU233:AW233"/>
    <mergeCell ref="AY233:BA233"/>
    <mergeCell ref="AQ231:AS231"/>
    <mergeCell ref="AQ205:AS205"/>
    <mergeCell ref="BE332:BG332"/>
    <mergeCell ref="AW330:AY330"/>
    <mergeCell ref="AS326:AU326"/>
    <mergeCell ref="AW326:AY326"/>
    <mergeCell ref="AW327:AY327"/>
    <mergeCell ref="BE330:BG330"/>
    <mergeCell ref="BA331:BC331"/>
    <mergeCell ref="BE331:BG331"/>
    <mergeCell ref="AS331:AU331"/>
    <mergeCell ref="AY200:BA200"/>
    <mergeCell ref="BE292:BG292"/>
    <mergeCell ref="BA295:BC295"/>
    <mergeCell ref="BE295:BG295"/>
    <mergeCell ref="AW292:AY292"/>
    <mergeCell ref="BE291:BG291"/>
    <mergeCell ref="AI221:AK221"/>
    <mergeCell ref="AQ192:AS192"/>
    <mergeCell ref="AA194:AC194"/>
    <mergeCell ref="AU195:AW195"/>
    <mergeCell ref="AA195:AC195"/>
    <mergeCell ref="AA204:AC204"/>
    <mergeCell ref="AA205:AC205"/>
    <mergeCell ref="AA191:AC191"/>
    <mergeCell ref="AA189:AC189"/>
    <mergeCell ref="AA202:AC202"/>
    <mergeCell ref="AQ189:AS189"/>
    <mergeCell ref="AA198:AC198"/>
    <mergeCell ref="AQ200:AS200"/>
    <mergeCell ref="AA190:AC190"/>
    <mergeCell ref="AY240:BA240"/>
    <mergeCell ref="AS325:AU325"/>
    <mergeCell ref="AS339:BG339"/>
    <mergeCell ref="BA280:BC280"/>
    <mergeCell ref="BE280:BG280"/>
    <mergeCell ref="BE285:BG285"/>
    <mergeCell ref="BE282:BG282"/>
    <mergeCell ref="AW285:AY285"/>
    <mergeCell ref="BA291:BC291"/>
    <mergeCell ref="AW291:AY291"/>
    <mergeCell ref="AS297:AU297"/>
    <mergeCell ref="AW297:AY297"/>
    <mergeCell ref="BA297:BC297"/>
    <mergeCell ref="BE297:BG297"/>
    <mergeCell ref="BA296:BC296"/>
    <mergeCell ref="BE296:BG296"/>
    <mergeCell ref="AS296:AU296"/>
    <mergeCell ref="AW296:AY296"/>
    <mergeCell ref="S188:U188"/>
    <mergeCell ref="W190:Y190"/>
    <mergeCell ref="S201:U201"/>
    <mergeCell ref="W201:Y201"/>
    <mergeCell ref="W198:Y198"/>
    <mergeCell ref="W202:Y202"/>
    <mergeCell ref="C195:N195"/>
    <mergeCell ref="C202:N202"/>
    <mergeCell ref="C204:N204"/>
    <mergeCell ref="S200:U200"/>
    <mergeCell ref="S205:U205"/>
    <mergeCell ref="W200:Y200"/>
    <mergeCell ref="C191:N191"/>
    <mergeCell ref="W191:Y191"/>
    <mergeCell ref="S194:U194"/>
    <mergeCell ref="S191:U191"/>
    <mergeCell ref="S202:U202"/>
    <mergeCell ref="C233:N233"/>
    <mergeCell ref="S231:U231"/>
    <mergeCell ref="C190:N190"/>
    <mergeCell ref="AU238:AW238"/>
    <mergeCell ref="AY238:BA238"/>
    <mergeCell ref="AI181:AK181"/>
    <mergeCell ref="BG174:BI174"/>
    <mergeCell ref="BG175:BI175"/>
    <mergeCell ref="BG181:BI181"/>
    <mergeCell ref="BG217:BI217"/>
    <mergeCell ref="BG227:BI227"/>
    <mergeCell ref="BG221:BI221"/>
    <mergeCell ref="AU201:AW201"/>
    <mergeCell ref="AY201:BA201"/>
    <mergeCell ref="AY202:BA202"/>
    <mergeCell ref="AY195:BA195"/>
    <mergeCell ref="AU198:AW198"/>
    <mergeCell ref="BG219:BI219"/>
    <mergeCell ref="BG220:BI220"/>
    <mergeCell ref="AA186:AC186"/>
    <mergeCell ref="S186:U186"/>
    <mergeCell ref="AI183:AK183"/>
    <mergeCell ref="BG183:BI183"/>
    <mergeCell ref="S195:U195"/>
    <mergeCell ref="AI219:AK219"/>
    <mergeCell ref="AI220:AK220"/>
    <mergeCell ref="S204:U204"/>
    <mergeCell ref="W204:Y204"/>
    <mergeCell ref="AQ195:AS195"/>
    <mergeCell ref="AQ194:AS194"/>
    <mergeCell ref="AU204:AW204"/>
    <mergeCell ref="AQ204:AS204"/>
    <mergeCell ref="Y301:AA301"/>
    <mergeCell ref="AC306:AE306"/>
    <mergeCell ref="Y302:AA302"/>
    <mergeCell ref="U300:W300"/>
    <mergeCell ref="AC315:AE315"/>
    <mergeCell ref="AG312:AI312"/>
    <mergeCell ref="S240:U240"/>
    <mergeCell ref="C189:N189"/>
    <mergeCell ref="C188:N188"/>
    <mergeCell ref="AY241:BA241"/>
    <mergeCell ref="C242:N242"/>
    <mergeCell ref="S242:U242"/>
    <mergeCell ref="W242:Y242"/>
    <mergeCell ref="AA242:AC242"/>
    <mergeCell ref="AQ242:AS242"/>
    <mergeCell ref="AU242:AW242"/>
    <mergeCell ref="AY242:BA242"/>
    <mergeCell ref="C234:N234"/>
    <mergeCell ref="S234:U234"/>
    <mergeCell ref="W234:Y234"/>
    <mergeCell ref="AA234:AC234"/>
    <mergeCell ref="C192:N192"/>
    <mergeCell ref="S192:U192"/>
    <mergeCell ref="W192:Y192"/>
    <mergeCell ref="AA192:AC192"/>
    <mergeCell ref="C194:N194"/>
    <mergeCell ref="W195:Y195"/>
    <mergeCell ref="AA241:AC241"/>
    <mergeCell ref="AI226:AK226"/>
    <mergeCell ref="W194:Y194"/>
    <mergeCell ref="S189:U189"/>
    <mergeCell ref="W205:Y205"/>
    <mergeCell ref="M364:O364"/>
    <mergeCell ref="Y349:AA349"/>
    <mergeCell ref="Q350:S350"/>
    <mergeCell ref="M350:O350"/>
    <mergeCell ref="I350:K350"/>
    <mergeCell ref="C240:N240"/>
    <mergeCell ref="W240:Y240"/>
    <mergeCell ref="AG285:AI285"/>
    <mergeCell ref="U281:W281"/>
    <mergeCell ref="Y281:AA281"/>
    <mergeCell ref="AC281:AE281"/>
    <mergeCell ref="U337:W337"/>
    <mergeCell ref="Y337:AA337"/>
    <mergeCell ref="AC337:AE337"/>
    <mergeCell ref="AG337:AI337"/>
    <mergeCell ref="U332:W332"/>
    <mergeCell ref="Y332:AA332"/>
    <mergeCell ref="Y336:AA336"/>
    <mergeCell ref="U310:W310"/>
    <mergeCell ref="U314:AI314"/>
    <mergeCell ref="U315:W315"/>
    <mergeCell ref="AA240:AC240"/>
    <mergeCell ref="U285:W285"/>
    <mergeCell ref="Y285:AA285"/>
    <mergeCell ref="AC285:AE285"/>
    <mergeCell ref="AC305:AE305"/>
    <mergeCell ref="AC322:AE322"/>
    <mergeCell ref="AG281:AI281"/>
    <mergeCell ref="U295:W295"/>
    <mergeCell ref="Y295:AA295"/>
    <mergeCell ref="AC295:AE295"/>
    <mergeCell ref="U305:W305"/>
    <mergeCell ref="Y355:AA355"/>
    <mergeCell ref="Y356:AA356"/>
    <mergeCell ref="AC326:AE326"/>
    <mergeCell ref="U350:W350"/>
    <mergeCell ref="U342:W342"/>
    <mergeCell ref="U340:W340"/>
    <mergeCell ref="AG330:AI330"/>
    <mergeCell ref="AK322:AN322"/>
    <mergeCell ref="AK317:AN317"/>
    <mergeCell ref="AG331:AI331"/>
    <mergeCell ref="AC317:AE317"/>
    <mergeCell ref="AG327:AI327"/>
    <mergeCell ref="AG325:AI325"/>
    <mergeCell ref="U296:W296"/>
    <mergeCell ref="AG292:AI292"/>
    <mergeCell ref="AG290:AI290"/>
    <mergeCell ref="U292:W292"/>
    <mergeCell ref="U313:W313"/>
    <mergeCell ref="Y313:AA313"/>
    <mergeCell ref="AC316:AE316"/>
    <mergeCell ref="Y290:AA290"/>
    <mergeCell ref="Y292:AA292"/>
    <mergeCell ref="U294:AI294"/>
    <mergeCell ref="U307:W307"/>
    <mergeCell ref="Y307:AA307"/>
    <mergeCell ref="Y310:AA310"/>
    <mergeCell ref="AG310:AI310"/>
    <mergeCell ref="AC310:AE310"/>
    <mergeCell ref="AG295:AI295"/>
    <mergeCell ref="AC300:AE300"/>
    <mergeCell ref="AG300:AI300"/>
    <mergeCell ref="AG307:AI307"/>
    <mergeCell ref="AG306:AI306"/>
    <mergeCell ref="U335:W335"/>
    <mergeCell ref="U330:W330"/>
    <mergeCell ref="U327:W327"/>
    <mergeCell ref="U325:W325"/>
    <mergeCell ref="U339:AI339"/>
    <mergeCell ref="I349:K349"/>
    <mergeCell ref="M349:O349"/>
    <mergeCell ref="Q349:S349"/>
    <mergeCell ref="AC340:AE340"/>
    <mergeCell ref="AG340:AI340"/>
    <mergeCell ref="Y350:AA350"/>
    <mergeCell ref="S347:AK347"/>
    <mergeCell ref="AC342:AE342"/>
    <mergeCell ref="AK340:AN340"/>
    <mergeCell ref="U341:W341"/>
    <mergeCell ref="U329:AI329"/>
    <mergeCell ref="AG315:AI315"/>
    <mergeCell ref="AG313:AI313"/>
    <mergeCell ref="AC311:AE311"/>
    <mergeCell ref="AC313:AE313"/>
    <mergeCell ref="Y315:AA315"/>
    <mergeCell ref="AC307:AE307"/>
    <mergeCell ref="AK331:AN331"/>
    <mergeCell ref="Y322:AA322"/>
    <mergeCell ref="M371:O371"/>
    <mergeCell ref="Q371:S371"/>
    <mergeCell ref="U349:W349"/>
    <mergeCell ref="U359:W359"/>
    <mergeCell ref="U368:W368"/>
    <mergeCell ref="U377:W377"/>
    <mergeCell ref="I351:K351"/>
    <mergeCell ref="M351:O351"/>
    <mergeCell ref="Q351:S351"/>
    <mergeCell ref="I353:K353"/>
    <mergeCell ref="M353:O353"/>
    <mergeCell ref="Q353:S353"/>
    <mergeCell ref="I354:K354"/>
    <mergeCell ref="Q373:S373"/>
    <mergeCell ref="U380:W380"/>
    <mergeCell ref="I352:K352"/>
    <mergeCell ref="M352:O352"/>
    <mergeCell ref="Q352:S352"/>
    <mergeCell ref="U352:W352"/>
    <mergeCell ref="I362:K362"/>
    <mergeCell ref="M359:O359"/>
    <mergeCell ref="Q359:S359"/>
    <mergeCell ref="M354:O354"/>
    <mergeCell ref="Q354:S354"/>
    <mergeCell ref="I373:K373"/>
    <mergeCell ref="M373:O373"/>
    <mergeCell ref="Q368:S368"/>
    <mergeCell ref="Q364:S364"/>
    <mergeCell ref="I365:K365"/>
    <mergeCell ref="M363:O363"/>
    <mergeCell ref="Q363:S363"/>
    <mergeCell ref="I364:K364"/>
    <mergeCell ref="I384:K384"/>
    <mergeCell ref="M384:O384"/>
    <mergeCell ref="Q384:S384"/>
    <mergeCell ref="M374:O374"/>
    <mergeCell ref="Q374:S374"/>
    <mergeCell ref="I378:K378"/>
    <mergeCell ref="M378:O378"/>
    <mergeCell ref="Q378:S378"/>
    <mergeCell ref="I375:K375"/>
    <mergeCell ref="M375:O375"/>
    <mergeCell ref="Q375:S375"/>
    <mergeCell ref="I377:K377"/>
    <mergeCell ref="M377:O377"/>
    <mergeCell ref="Q377:S377"/>
    <mergeCell ref="I382:K382"/>
    <mergeCell ref="M382:O382"/>
    <mergeCell ref="Q382:S382"/>
    <mergeCell ref="I379:K379"/>
    <mergeCell ref="M379:O379"/>
    <mergeCell ref="Q379:S379"/>
    <mergeCell ref="I381:K381"/>
    <mergeCell ref="M381:O381"/>
    <mergeCell ref="Q381:S381"/>
    <mergeCell ref="I374:K374"/>
    <mergeCell ref="I380:K380"/>
    <mergeCell ref="M380:O380"/>
    <mergeCell ref="Q380:S380"/>
    <mergeCell ref="I383:K383"/>
    <mergeCell ref="M383:O383"/>
    <mergeCell ref="Q383:S383"/>
    <mergeCell ref="W235:Y235"/>
    <mergeCell ref="M362:O362"/>
    <mergeCell ref="Q362:S362"/>
    <mergeCell ref="I369:K369"/>
    <mergeCell ref="M369:O369"/>
    <mergeCell ref="Q369:S369"/>
    <mergeCell ref="I370:K370"/>
    <mergeCell ref="M370:O370"/>
    <mergeCell ref="Q370:S370"/>
    <mergeCell ref="I372:K372"/>
    <mergeCell ref="M372:O372"/>
    <mergeCell ref="Q372:S372"/>
    <mergeCell ref="I371:K371"/>
    <mergeCell ref="I355:K355"/>
    <mergeCell ref="M355:O355"/>
    <mergeCell ref="Q355:S355"/>
    <mergeCell ref="I368:K368"/>
    <mergeCell ref="M368:O368"/>
    <mergeCell ref="I359:K359"/>
    <mergeCell ref="Y306:AA306"/>
    <mergeCell ref="Y317:AA317"/>
    <mergeCell ref="Q356:S356"/>
    <mergeCell ref="U336:W336"/>
    <mergeCell ref="I356:K356"/>
    <mergeCell ref="M356:O356"/>
    <mergeCell ref="I360:K360"/>
    <mergeCell ref="M360:O360"/>
    <mergeCell ref="Q360:S360"/>
    <mergeCell ref="I361:K361"/>
    <mergeCell ref="M361:O361"/>
    <mergeCell ref="Q361:S361"/>
    <mergeCell ref="I363:K363"/>
    <mergeCell ref="M365:O365"/>
    <mergeCell ref="Q365:S365"/>
    <mergeCell ref="I366:K366"/>
    <mergeCell ref="M366:O366"/>
    <mergeCell ref="Q366:S366"/>
    <mergeCell ref="U362:W362"/>
    <mergeCell ref="D2:J2"/>
    <mergeCell ref="U2:AB2"/>
    <mergeCell ref="R161:T161"/>
    <mergeCell ref="AI154:AK154"/>
    <mergeCell ref="D15:BJ15"/>
    <mergeCell ref="D269:F269"/>
    <mergeCell ref="H269:J269"/>
    <mergeCell ref="S269:AK269"/>
    <mergeCell ref="AQ269:BI269"/>
    <mergeCell ref="D270:F270"/>
    <mergeCell ref="H270:J270"/>
    <mergeCell ref="S270:AK270"/>
    <mergeCell ref="AQ270:BI270"/>
    <mergeCell ref="AQ234:AS234"/>
    <mergeCell ref="AU234:AW234"/>
    <mergeCell ref="AY234:BA234"/>
    <mergeCell ref="C235:N235"/>
    <mergeCell ref="S235:U235"/>
    <mergeCell ref="AI152:AK152"/>
    <mergeCell ref="D70:N70"/>
    <mergeCell ref="D77:N77"/>
    <mergeCell ref="D75:N75"/>
    <mergeCell ref="S107:U107"/>
    <mergeCell ref="W107:Y107"/>
    <mergeCell ref="BG130:BI130"/>
    <mergeCell ref="W75:AK75"/>
    <mergeCell ref="S92:U92"/>
    <mergeCell ref="AA235:AC235"/>
    <mergeCell ref="AQ235:AS235"/>
    <mergeCell ref="AU235:AW235"/>
    <mergeCell ref="C241:N241"/>
    <mergeCell ref="S241:U241"/>
    <mergeCell ref="W241:Y241"/>
    <mergeCell ref="W238:Y238"/>
    <mergeCell ref="AA238:AC238"/>
    <mergeCell ref="S238:U238"/>
    <mergeCell ref="AE101:AG101"/>
    <mergeCell ref="S105:U105"/>
    <mergeCell ref="W105:Y105"/>
    <mergeCell ref="S142:U142"/>
    <mergeCell ref="W142:Y142"/>
    <mergeCell ref="AA142:AC142"/>
    <mergeCell ref="S146:U146"/>
    <mergeCell ref="AA144:AC144"/>
    <mergeCell ref="AQ103:AS103"/>
    <mergeCell ref="S103:U103"/>
    <mergeCell ref="S101:U101"/>
    <mergeCell ref="AI99:AK99"/>
    <mergeCell ref="S94:U94"/>
    <mergeCell ref="S96:U96"/>
    <mergeCell ref="AQ94:AS94"/>
    <mergeCell ref="AQ96:AS96"/>
    <mergeCell ref="S144:U144"/>
    <mergeCell ref="AA124:AC124"/>
    <mergeCell ref="AQ124:AS124"/>
    <mergeCell ref="W144:Y144"/>
    <mergeCell ref="AE103:AG103"/>
    <mergeCell ref="AI103:AK103"/>
    <mergeCell ref="BG228:BI228"/>
    <mergeCell ref="BG218:BI218"/>
    <mergeCell ref="S233:U233"/>
    <mergeCell ref="BG226:BI226"/>
    <mergeCell ref="AI217:AK217"/>
    <mergeCell ref="AA233:AC233"/>
    <mergeCell ref="S99:U99"/>
    <mergeCell ref="AA107:AC107"/>
    <mergeCell ref="AE107:AG107"/>
    <mergeCell ref="AI107:AK107"/>
    <mergeCell ref="W101:Y101"/>
    <mergeCell ref="AA101:AC101"/>
    <mergeCell ref="BG154:BI154"/>
    <mergeCell ref="AI156:AK156"/>
    <mergeCell ref="BG156:BI156"/>
    <mergeCell ref="BG147:BI147"/>
    <mergeCell ref="AI148:AK148"/>
    <mergeCell ref="BG148:BI148"/>
    <mergeCell ref="AI149:AK149"/>
    <mergeCell ref="BG149:BI149"/>
    <mergeCell ref="AI150:AK150"/>
    <mergeCell ref="BG150:BI150"/>
    <mergeCell ref="S190:U190"/>
    <mergeCell ref="AY192:BA192"/>
    <mergeCell ref="AI218:AK218"/>
    <mergeCell ref="AI222:AK222"/>
    <mergeCell ref="AY198:BA198"/>
    <mergeCell ref="AQ191:AS191"/>
    <mergeCell ref="W233:Y233"/>
    <mergeCell ref="W186:Y186"/>
    <mergeCell ref="W188:Y188"/>
    <mergeCell ref="S126:U126"/>
  </mergeCells>
  <phoneticPr fontId="9" type="noConversion"/>
  <conditionalFormatting sqref="AP107 V107 Z107 AD107 AH107:AL107">
    <cfRule type="cellIs" dxfId="185" priority="62" operator="lessThan">
      <formula>-0.05</formula>
    </cfRule>
  </conditionalFormatting>
  <conditionalFormatting sqref="P70:AL70 AT70:BI70 AP70">
    <cfRule type="expression" dxfId="184" priority="61">
      <formula>IF($D$70="",1,0)</formula>
    </cfRule>
  </conditionalFormatting>
  <conditionalFormatting sqref="P75:AL75 AP75:BI75">
    <cfRule type="expression" dxfId="183" priority="60">
      <formula>IF($D$75="",1,0)</formula>
    </cfRule>
  </conditionalFormatting>
  <conditionalFormatting sqref="P77:AL77 AP77:BI77">
    <cfRule type="expression" dxfId="182" priority="59">
      <formula>IF($D$77="",1,0)</formula>
    </cfRule>
  </conditionalFormatting>
  <conditionalFormatting sqref="AQ70:AS70">
    <cfRule type="expression" dxfId="181" priority="58">
      <formula>IF($D$70="",1,0)</formula>
    </cfRule>
  </conditionalFormatting>
  <conditionalFormatting sqref="S108:BI108 S109 AM109:AP109 AM111:AP111 S111">
    <cfRule type="cellIs" dxfId="180" priority="57" operator="lessThan">
      <formula>-0.05</formula>
    </cfRule>
  </conditionalFormatting>
  <conditionalFormatting sqref="AQ109 AQ111">
    <cfRule type="cellIs" dxfId="179" priority="56" operator="lessThan">
      <formula>-0.05</formula>
    </cfRule>
  </conditionalFormatting>
  <conditionalFormatting sqref="AQ41:BI46 AQ108:BI111 AQ103:BF103 AQ97:BI102 AQ96:BF96 AQ184:BI205 AT183:BF183 AT228:BF228 AQ137:BI141 AQ143:BI146 AQ229:BI242 AT156:BF156 AT127:BI135 AT147:BI155 AT136 AV136:BF136 AT172:BI182 AT217:BI227 AQ147:AS156 AQ49:BI57 AQ172:AS183 AQ217:AS228 AQ123:BI126 AQ61:BI77 AT60:BI60">
    <cfRule type="expression" dxfId="178" priority="55">
      <formula>IF($AQ$37=1,1,0)</formula>
    </cfRule>
  </conditionalFormatting>
  <conditionalFormatting sqref="AQ90:BI95">
    <cfRule type="expression" dxfId="177" priority="54">
      <formula>IF($AQ$37=1,1,0)</formula>
    </cfRule>
  </conditionalFormatting>
  <conditionalFormatting sqref="AQ168:BI171">
    <cfRule type="expression" dxfId="176" priority="53">
      <formula>IF($AQ$37=1,1,0)</formula>
    </cfRule>
  </conditionalFormatting>
  <conditionalFormatting sqref="AQ213:BI216">
    <cfRule type="expression" dxfId="175" priority="52">
      <formula>IF($AQ$37=1,1,0)</formula>
    </cfRule>
  </conditionalFormatting>
  <conditionalFormatting sqref="AQ118:BI121">
    <cfRule type="expression" dxfId="174" priority="51">
      <formula>IF($AQ$37=1,1,0)</formula>
    </cfRule>
  </conditionalFormatting>
  <conditionalFormatting sqref="B164:BJ171 B184:BJ216 B172:R183 B229:BJ245 B217:R228 V172:BJ183 B247:BJ247 B246:AY246 V217:BJ228">
    <cfRule type="expression" dxfId="173" priority="50">
      <formula>IF($R$161="",1,IF($R$161=$C$260,1,0))</formula>
    </cfRule>
  </conditionalFormatting>
  <conditionalFormatting sqref="BG96:BI96">
    <cfRule type="expression" dxfId="172" priority="49">
      <formula>IF($AQ$37=1,1,0)</formula>
    </cfRule>
  </conditionalFormatting>
  <conditionalFormatting sqref="BG103:BI103">
    <cfRule type="expression" dxfId="171" priority="48">
      <formula>IF($AQ$37=1,1,0)</formula>
    </cfRule>
  </conditionalFormatting>
  <conditionalFormatting sqref="BG136:BI136">
    <cfRule type="expression" dxfId="170" priority="47">
      <formula>IF($AQ$37=1,1,0)</formula>
    </cfRule>
  </conditionalFormatting>
  <conditionalFormatting sqref="BG156:BI156">
    <cfRule type="expression" dxfId="169" priority="46">
      <formula>IF($AQ$37=1,1,0)</formula>
    </cfRule>
  </conditionalFormatting>
  <conditionalFormatting sqref="BG183:BI183">
    <cfRule type="expression" dxfId="168" priority="45">
      <formula>IF($AQ$37=1,1,0)</formula>
    </cfRule>
  </conditionalFormatting>
  <conditionalFormatting sqref="BG228:BI228">
    <cfRule type="expression" dxfId="167" priority="44">
      <formula>IF($AQ$37=1,1,0)</formula>
    </cfRule>
  </conditionalFormatting>
  <conditionalFormatting sqref="AQ142:BI142">
    <cfRule type="expression" dxfId="166" priority="41">
      <formula>IF($AQ$37=1,1,0)</formula>
    </cfRule>
  </conditionalFormatting>
  <conditionalFormatting sqref="AQ122:BI122">
    <cfRule type="expression" dxfId="165" priority="42">
      <formula>IF($AQ$37=1,1,0)</formula>
    </cfRule>
  </conditionalFormatting>
  <conditionalFormatting sqref="AM27 AM29 AM31 AM45 AM57 AM70 AM75 AM77 AM103">
    <cfRule type="expression" dxfId="164" priority="40">
      <formula>IF(AM$2=1,0,1)</formula>
    </cfRule>
  </conditionalFormatting>
  <conditionalFormatting sqref="AM107">
    <cfRule type="expression" dxfId="163" priority="38">
      <formula>IF(AM$2=1,0,1)</formula>
    </cfRule>
  </conditionalFormatting>
  <conditionalFormatting sqref="AN27:AO27 AN29:AO29 AN31:AO31 AN45:AO45 AN57:AO57 AN70:AO70 AN75:AO75 AN77:AO77 AN103:AO103">
    <cfRule type="expression" dxfId="162" priority="37">
      <formula>IF(AN$2=1,0,1)</formula>
    </cfRule>
  </conditionalFormatting>
  <conditionalFormatting sqref="AN107:AO107">
    <cfRule type="expression" dxfId="161" priority="36">
      <formula>IF(AN$2=1,0,1)</formula>
    </cfRule>
  </conditionalFormatting>
  <conditionalFormatting sqref="AQ127:AS136">
    <cfRule type="expression" dxfId="160" priority="35">
      <formula>IF($AQ$37=1,1,0)</formula>
    </cfRule>
  </conditionalFormatting>
  <conditionalFormatting sqref="AY246:BH246">
    <cfRule type="expression" dxfId="159" priority="34">
      <formula>IF($R$161=$C$259,0,1)</formula>
    </cfRule>
  </conditionalFormatting>
  <conditionalFormatting sqref="AQ47:BI47">
    <cfRule type="expression" dxfId="158" priority="33">
      <formula>IF($AQ$37=1,1,0)</formula>
    </cfRule>
  </conditionalFormatting>
  <conditionalFormatting sqref="AQ48:BI48">
    <cfRule type="expression" dxfId="157" priority="32">
      <formula>IF($AQ$37=1,1,0)</formula>
    </cfRule>
  </conditionalFormatting>
  <conditionalFormatting sqref="AM48">
    <cfRule type="expression" dxfId="156" priority="31">
      <formula>IF(AM$2=1,0,1)</formula>
    </cfRule>
  </conditionalFormatting>
  <conditionalFormatting sqref="AN48:AO48">
    <cfRule type="expression" dxfId="155" priority="30">
      <formula>IF(AN$2=1,0,1)</formula>
    </cfRule>
  </conditionalFormatting>
  <conditionalFormatting sqref="V105 AP105 Z105 AD105 AH105 AL105">
    <cfRule type="cellIs" dxfId="154" priority="27" operator="lessThan">
      <formula>-0.05</formula>
    </cfRule>
  </conditionalFormatting>
  <conditionalFormatting sqref="AQ104:BI104">
    <cfRule type="expression" dxfId="153" priority="26">
      <formula>IF($AQ$37=1,1,0)</formula>
    </cfRule>
  </conditionalFormatting>
  <conditionalFormatting sqref="AM105">
    <cfRule type="expression" dxfId="152" priority="25">
      <formula>IF(AM$2=1,0,1)</formula>
    </cfRule>
  </conditionalFormatting>
  <conditionalFormatting sqref="AN105:AO105">
    <cfRule type="expression" dxfId="151" priority="24">
      <formula>IF(AN$2=1,0,1)</formula>
    </cfRule>
  </conditionalFormatting>
  <conditionalFormatting sqref="AQ107:BI107">
    <cfRule type="cellIs" dxfId="150" priority="23" operator="lessThan">
      <formula>-0.05</formula>
    </cfRule>
  </conditionalFormatting>
  <conditionalFormatting sqref="AT105 AX105 BB105 BF105">
    <cfRule type="cellIs" dxfId="149" priority="22" operator="lessThan">
      <formula>-0.05</formula>
    </cfRule>
  </conditionalFormatting>
  <conditionalFormatting sqref="S107:U107">
    <cfRule type="cellIs" dxfId="148" priority="21" operator="lessThan">
      <formula>-0.05</formula>
    </cfRule>
  </conditionalFormatting>
  <conditionalFormatting sqref="W107:Y107">
    <cfRule type="cellIs" dxfId="147" priority="20" operator="lessThan">
      <formula>-0.05</formula>
    </cfRule>
  </conditionalFormatting>
  <conditionalFormatting sqref="AA107:AC107">
    <cfRule type="cellIs" dxfId="146" priority="19" operator="lessThan">
      <formula>-0.05</formula>
    </cfRule>
  </conditionalFormatting>
  <conditionalFormatting sqref="AE107:AG107">
    <cfRule type="cellIs" dxfId="145" priority="18" operator="lessThan">
      <formula>-0.05</formula>
    </cfRule>
  </conditionalFormatting>
  <conditionalFormatting sqref="AQ58:BI58">
    <cfRule type="expression" dxfId="144" priority="17">
      <formula>IF($AQ$37=1,1,0)</formula>
    </cfRule>
  </conditionalFormatting>
  <conditionalFormatting sqref="AQ59:BI60">
    <cfRule type="expression" dxfId="143" priority="14">
      <formula>IF($AQ$41="",1,0)</formula>
    </cfRule>
  </conditionalFormatting>
  <conditionalFormatting sqref="AQ105:BI107">
    <cfRule type="expression" dxfId="142" priority="13">
      <formula>IF($AQ$90="",1,0)</formula>
    </cfRule>
  </conditionalFormatting>
  <dataValidations xWindow="1045" yWindow="1009" count="42">
    <dataValidation type="list" allowBlank="1" showInputMessage="1" showErrorMessage="1" sqref="W64:AL64 AU64:BI64" xr:uid="{00000000-0002-0000-0300-000000000000}">
      <formula1>$D$281:$D$282</formula1>
    </dataValidation>
    <dataValidation type="list" allowBlank="1" showInputMessage="1" showErrorMessage="1" sqref="W66:AL66 AU66:BI66" xr:uid="{00000000-0002-0000-0300-000001000000}">
      <formula1>$D$291:$D$292</formula1>
    </dataValidation>
    <dataValidation type="list" allowBlank="1" showInputMessage="1" showErrorMessage="1" sqref="W68:AL68 AU68:BI68" xr:uid="{00000000-0002-0000-0300-000002000000}">
      <formula1>$D$301:$D$302</formula1>
    </dataValidation>
    <dataValidation type="list" allowBlank="1" showInputMessage="1" showErrorMessage="1" sqref="W70:AL70 AU70:BI70" xr:uid="{00000000-0002-0000-0300-000003000000}">
      <formula1>$D$311:$D$312</formula1>
    </dataValidation>
    <dataValidation type="list" allowBlank="1" showInputMessage="1" showErrorMessage="1" sqref="W75:AL75 AU75:BI75" xr:uid="{00000000-0002-0000-0300-000004000000}">
      <formula1>$D$326:$D$327</formula1>
    </dataValidation>
    <dataValidation type="list" allowBlank="1" showInputMessage="1" showErrorMessage="1" sqref="AU77:BI77 W77:AL77" xr:uid="{00000000-0002-0000-0300-000005000000}">
      <formula1>$D$336:$D$337</formula1>
    </dataValidation>
    <dataValidation type="list" allowBlank="1" showInputMessage="1" showErrorMessage="1" sqref="S31:AL31" xr:uid="{00000000-0002-0000-0300-000006000000}">
      <formula1>$C$350:$C$356</formula1>
    </dataValidation>
    <dataValidation type="list" allowBlank="1" showInputMessage="1" showErrorMessage="1" sqref="R161:T161" xr:uid="{00000000-0002-0000-0300-000007000000}">
      <formula1>$C$259:$C$260</formula1>
    </dataValidation>
    <dataValidation allowBlank="1" showInputMessage="1" showErrorMessage="1" prompt="Kaltwassertemperatur = Vorlauftemperatur (Austrittstemperatur des Kaltwassers aus der Kältemschine auf der kalten Seite)_x000d_" sqref="AM45" xr:uid="{00000000-0002-0000-0300-000008000000}"/>
    <dataValidation allowBlank="1" showInputMessage="1" showErrorMessage="1" prompt="Rückkühlmediumstemperatur = Eintrittstemperatur des Rückkühlmediums auf der warmen Seite der Kältemaschine_x000d_" sqref="AM48" xr:uid="{00000000-0002-0000-0300-000009000000}"/>
    <dataValidation allowBlank="1" showInputMessage="1" showErrorMessage="1" prompt="Die Raumlufttemperatur entspricht der Temperatur der Raumluft in der Raummitte und 1 m über Boden." sqref="AM29" xr:uid="{00000000-0002-0000-0300-00000A000000}"/>
    <dataValidation allowBlank="1" showInputMessage="1" showErrorMessage="1" prompt="Qui viene indicata la differenza percentuale tra i «tempi del progettista» e i «tempi standard». _x000d__x000d_" sqref="AO107 AO105" xr:uid="{00000000-0002-0000-0300-00000B000000}"/>
    <dataValidation allowBlank="1" showInputMessage="1" showErrorMessage="1" prompt="Saisie de la puissance (nominale) pour le refroidissement du bâtiment." sqref="AN29 AN27" xr:uid="{00000000-0002-0000-0300-00000C000000}"/>
    <dataValidation allowBlank="1" showInputMessage="1" showErrorMessage="1" prompt="Inserimento della potenza (installazione) per la refrigerazione dell'edificio." sqref="AO29 AO27" xr:uid="{00000000-0002-0000-0300-00000D000000}"/>
    <dataValidation allowBlank="1" showInputMessage="1" showErrorMessage="1" prompt="La température d'eau froide est la température d'avance (température de sortie de l'eau froide de la machine de froid) du côté froid._x000d_" sqref="AN45" xr:uid="{00000000-0002-0000-0300-00000E000000}"/>
    <dataValidation allowBlank="1" showInputMessage="1" showErrorMessage="1" prompt="La temperatura dell'acqua fredda è la temperatura di mandata (temperatura di uscita dell'acqua fredda dalla macchina frigorifera) sulla parte fredda._x000d_" sqref="AO45" xr:uid="{00000000-0002-0000-0300-00000F000000}"/>
    <dataValidation allowBlank="1" showInputMessage="1" showErrorMessage="1" prompt="La température du fluide de retour est la température d'entrée du fluide de retour du côté chaud de la machine de froid." sqref="AN48" xr:uid="{00000000-0002-0000-0300-000010000000}"/>
    <dataValidation allowBlank="1" showInputMessage="1" showErrorMessage="1" prompt="La temperatura media dell'acqua di raffreddamento di ritorno è la temperatura d'ingresso del refrigerante di ritorno nella parte calda della macchina frigorifera._x000d_" sqref="AO48" xr:uid="{00000000-0002-0000-0300-000011000000}"/>
    <dataValidation allowBlank="1" showInputMessage="1" showErrorMessage="1" prompt="L'ESEER (European Seasonal Energy Efficiency Ratio) tient compte de l'efficacité différente de la machine de froid en charge partielle. La valeur ESEER est indiquée dans les caractéristiques techniques de la machine._x000d__x000d_" sqref="AN57" xr:uid="{00000000-0002-0000-0300-000012000000}"/>
    <dataValidation allowBlank="1" showInputMessage="1" showErrorMessage="1" prompt="L'ESEER (European Seasonal Energy Efficiency Ratio) tiene conto della diversa efficienza della macchina di refrigerazione nel funzionamento a carico parziale. Il valore ESEER è indicato nei dati tecnici della macchina." sqref="AO57" xr:uid="{00000000-0002-0000-0300-000013000000}"/>
    <dataValidation allowBlank="1" showInputMessage="1" showErrorMessage="1" prompt="S'il y a des unités auxiliaires supplémentaires du «côté chaud», il faut les saisir ici._x000d__x000d_" sqref="AN70" xr:uid="{00000000-0002-0000-0300-000014000000}"/>
    <dataValidation allowBlank="1" showInputMessage="1" showErrorMessage="1" prompt="In presenza di aggregati ausiliari supplementari nella «parte caldo_x000d_» è possibile inserirli qui._x000d__x000d_" sqref="AO70" xr:uid="{00000000-0002-0000-0300-000015000000}"/>
    <dataValidation allowBlank="1" showInputMessage="1" showErrorMessage="1" prompt="S'il y a des unités auxiliaires supplémentaires du «côté froid» non intégrés dans l'ESEER, il faut les saisir ici._x000d__x000d_" sqref="AN75 AN77" xr:uid="{00000000-0002-0000-0300-000016000000}"/>
    <dataValidation allowBlank="1" showInputMessage="1" showErrorMessage="1" prompt="In presenza di aggregati ausiliari supplementari nella «parte freddo» non ancora calcolati nell'ESEER, è possibile inserirli qui._x000d__x000d_" sqref="AO75 AO77" xr:uid="{00000000-0002-0000-0300-000017000000}"/>
    <dataValidation allowBlank="1" showInputMessage="1" showErrorMessage="1" prompt="Saisie du temps de marche de la machine calculé par le projeteur. (possibilité d'intégrer l'expérience ou la situation effective)." sqref="AN103" xr:uid="{00000000-0002-0000-0300-000018000000}"/>
    <dataValidation allowBlank="1" showInputMessage="1" showErrorMessage="1" prompt="Inserimento del tempo d'esercizio della macchina calcolato dal progettista. (Si possono far confluire le esperienze o la situazione effettiva)._x000d__x000d_" sqref="AO103" xr:uid="{00000000-0002-0000-0300-000019000000}"/>
    <dataValidation allowBlank="1" showInputMessage="1" showErrorMessage="1" prompt="L'écart en % des «durées de marche du projeteur» des «durées de marche standard» est affiché à cet endroit. _x000d__x000d_" sqref="AN107 AN105" xr:uid="{00000000-0002-0000-0300-00001A000000}"/>
    <dataValidation allowBlank="1" showInputMessage="1" showErrorMessage="1" prompt="Hier wird die prozentuale Abweichung der «Laufzeiten des Planers» von den «Standard-Laufzeiten» angezeigt. " sqref="AM107 AM105" xr:uid="{00000000-0002-0000-0300-00001B000000}"/>
    <dataValidation allowBlank="1" showInputMessage="1" showErrorMessage="1" prompt="Eingabe der vom Planer berechneten Betriebszeit der Maschine. (Möglichkeit die Erfahrungen oder situative Situation einfliessen zu lassen)." sqref="AM103" xr:uid="{00000000-0002-0000-0300-00001C000000}"/>
    <dataValidation allowBlank="1" showInputMessage="1" showErrorMessage="1" prompt="Falls es zusätzliche Hilfsbetriebe auf der «kalten Seite» gibt, die im ESEER noch nicht eingerechnet sind, können diese hier eingetragen werden." sqref="AM75 AM77" xr:uid="{00000000-0002-0000-0300-00001D000000}"/>
    <dataValidation allowBlank="1" showInputMessage="1" showErrorMessage="1" prompt="Falls es zusätzliche Hilfsbetriebe auf der «warmen Seite» gibt, können diese hier eingetragen werden." sqref="AM70" xr:uid="{00000000-0002-0000-0300-00001E000000}"/>
    <dataValidation allowBlank="1" showInputMessage="1" showErrorMessage="1" prompt="Der ESEER (European Seasonal Energy Efficiency Ratio) berücksichtigt die unterschiedliche effizienz der Kältemaschine im Teillastbetrieb. Der ESEER-Wert wird in den technischen Angaben zur Maschine ausgewiesen." sqref="AM57" xr:uid="{00000000-0002-0000-0300-00001F000000}"/>
    <dataValidation allowBlank="1" showInputMessage="1" showErrorMessage="1" prompt="Eingabe der Leistung (Auslegung) für die Kühlung des Gebäudes." sqref="AM27" xr:uid="{00000000-0002-0000-0300-000020000000}"/>
    <dataValidation allowBlank="1" showInputMessage="1" showErrorMessage="1" prompt="Der Standort hilft bei der Bestimmung der Betriebsdaten (Aussentemperatur)." sqref="AM31" xr:uid="{00000000-0002-0000-0300-000021000000}"/>
    <dataValidation allowBlank="1" showInputMessage="1" showErrorMessage="1" prompt="Le lieu aide à déterminer les données d'exploitation (température extérieure)." sqref="AN31" xr:uid="{00000000-0002-0000-0300-000022000000}"/>
    <dataValidation allowBlank="1" showInputMessage="1" showErrorMessage="1" prompt="La sede contribuisce alla determinazione dei dati d'esercizio (temperatura esterna)." sqref="AO31" xr:uid="{00000000-0002-0000-0300-000023000000}"/>
    <dataValidation type="list" allowBlank="1" showInputMessage="1" showErrorMessage="1" sqref="W59:AK59 AU59:BI59" xr:uid="{7400105E-EC79-C841-9CFC-45B9C131CF2D}">
      <formula1>$C$406:$C$428</formula1>
    </dataValidation>
    <dataValidation type="list" allowBlank="1" showInputMessage="1" showErrorMessage="1" sqref="AU82:BI82" xr:uid="{2C2CFE6B-8AD1-F846-9C34-9270170FFFB1}">
      <formula1>$S$448:$S$449</formula1>
    </dataValidation>
    <dataValidation allowBlank="1" showInputMessage="1" showErrorMessage="1" sqref="AN82:AO82" xr:uid="{B5729A76-63E1-7140-8C4E-FDDC9D0BB22C}"/>
    <dataValidation type="list" allowBlank="1" showInputMessage="1" showErrorMessage="1" sqref="W82:AL82" xr:uid="{0FF4D99F-DE4D-3541-A265-260C0E950815}">
      <formula1>$D$536:$D$537</formula1>
    </dataValidation>
    <dataValidation type="list" allowBlank="1" showInputMessage="1" showErrorMessage="1" sqref="W81:AK81" xr:uid="{BDF30949-B50A-EE4D-910C-4CB25A10008F}">
      <formula1>C433:C434</formula1>
    </dataValidation>
    <dataValidation type="list" allowBlank="1" showInputMessage="1" showErrorMessage="1" sqref="AU81:BI81" xr:uid="{09796C2D-BF8E-D94D-BB6A-99D048BF4278}">
      <formula1>C433:C434</formula1>
    </dataValidation>
  </dataValidations>
  <hyperlinks>
    <hyperlink ref="D2" location="'1 System specification'!A1" display="'1 System specification'!A1" xr:uid="{00000000-0004-0000-0300-000000000000}"/>
    <hyperlink ref="U2" location="'3 TEWI'!A1" display="zur TEWI-Berechnung" xr:uid="{00000000-0004-0000-0300-000001000000}"/>
    <hyperlink ref="AZ161" location="s20" display="s20" xr:uid="{00000000-0004-0000-0300-000002000000}"/>
    <hyperlink ref="BA161" location="s20" display="s20" xr:uid="{00000000-0004-0000-0300-000003000000}"/>
    <hyperlink ref="BB161" location="s20" display="s20" xr:uid="{00000000-0004-0000-0300-000004000000}"/>
    <hyperlink ref="BC161" location="s20" display="s20" xr:uid="{00000000-0004-0000-0300-000005000000}"/>
    <hyperlink ref="BD161" location="s20" display="s20" xr:uid="{00000000-0004-0000-0300-000006000000}"/>
    <hyperlink ref="BE161" location="s20" display="s20" xr:uid="{00000000-0004-0000-0300-000007000000}"/>
    <hyperlink ref="BF161" location="s20" display="s20" xr:uid="{00000000-0004-0000-0300-000008000000}"/>
    <hyperlink ref="BG161" location="s20" display="s20" xr:uid="{00000000-0004-0000-0300-000009000000}"/>
    <hyperlink ref="AZ246" location="s20" display="s20" xr:uid="{00000000-0004-0000-0300-00000A000000}"/>
    <hyperlink ref="BA246" location="s20" display="s20" xr:uid="{00000000-0004-0000-0300-00000B000000}"/>
    <hyperlink ref="BB246" location="s20" display="s20" xr:uid="{00000000-0004-0000-0300-00000C000000}"/>
    <hyperlink ref="BC246" location="s20" display="s20" xr:uid="{00000000-0004-0000-0300-00000D000000}"/>
    <hyperlink ref="BD246" location="s20" display="s20" xr:uid="{00000000-0004-0000-0300-00000E000000}"/>
    <hyperlink ref="BE246" location="s20" display="s20" xr:uid="{00000000-0004-0000-0300-00000F000000}"/>
    <hyperlink ref="BF246" location="s20" display="s20" xr:uid="{00000000-0004-0000-0300-000010000000}"/>
    <hyperlink ref="BG246" location="s20" display="s20" xr:uid="{00000000-0004-0000-0300-000011000000}"/>
    <hyperlink ref="E2" location="'1 System specification'!A1" display="'1 System specification'!A1" xr:uid="{00000000-0004-0000-0300-000012000000}"/>
    <hyperlink ref="F2" location="'1 System specification'!A1" display="'1 System specification'!A1" xr:uid="{00000000-0004-0000-0300-000013000000}"/>
    <hyperlink ref="G2" location="'1 System specification'!A1" display="'1 System specification'!A1" xr:uid="{00000000-0004-0000-0300-000014000000}"/>
    <hyperlink ref="H2" location="'1 System specification'!A1" display="'1 System specification'!A1" xr:uid="{00000000-0004-0000-0300-000015000000}"/>
    <hyperlink ref="I2" location="'1 System specification'!A1" display="'1 System specification'!A1" xr:uid="{00000000-0004-0000-0300-000016000000}"/>
    <hyperlink ref="J2" location="'1 System specification'!A1" display="'1 System specification'!A1" xr:uid="{00000000-0004-0000-0300-000017000000}"/>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&amp;C&amp;K000000&amp;G&amp;R&amp;K000000Sheet 2B - &amp;P</oddFooter>
  </headerFooter>
  <rowBreaks count="1" manualBreakCount="1">
    <brk id="113" max="16383" man="1"/>
  </rowBreaks>
  <colBreaks count="1" manualBreakCount="1">
    <brk id="62" max="1048575" man="1"/>
  </colBreaks>
  <drawing r:id="rId1"/>
  <legacyDrawingHF r:id="rId2"/>
  <extLst>
    <ext xmlns:x14="http://schemas.microsoft.com/office/spreadsheetml/2009/9/main" uri="{78C0D931-6437-407d-A8EE-F0AAD7539E65}">
      <x14:conditionalFormattings>
        <x14:conditionalFormatting xmlns:xm="http://schemas.microsoft.com/office/excel/2006/main">
          <x14:cfRule type="expression" priority="28" id="{EBAB2969-3520-B044-88EC-F55789A93333}">
            <xm:f>IF(X!$C$458=X!$G$459,1,0)</xm:f>
            <x14:dxf>
              <font>
                <b/>
                <i val="0"/>
                <color rgb="FFFF0000"/>
              </font>
              <fill>
                <patternFill patternType="none">
                  <fgColor indexed="64"/>
                  <bgColor auto="1"/>
                </patternFill>
              </fill>
              <border>
                <left/>
                <right/>
                <top/>
                <bottom/>
              </border>
            </x14:dxf>
          </x14:cfRule>
          <xm:sqref>AS19:BJ19</xm:sqref>
        </x14:conditionalFormatting>
        <x14:conditionalFormatting xmlns:xm="http://schemas.microsoft.com/office/excel/2006/main">
          <x14:cfRule type="expression" priority="12" id="{CA119BDA-7475-8B47-8471-8608E0772D88}">
            <xm:f>IF('2A Electricity regular'!$AQ$36=1,1,0)</xm:f>
            <x14:dxf>
              <font>
                <color theme="0"/>
              </font>
              <fill>
                <patternFill patternType="solid">
                  <fgColor indexed="64"/>
                  <bgColor theme="0"/>
                </patternFill>
              </fill>
              <border>
                <left/>
                <right/>
                <top/>
                <bottom/>
              </border>
            </x14:dxf>
          </x14:cfRule>
          <xm:sqref>AQ78:BI78 AQ80:BI80</xm:sqref>
        </x14:conditionalFormatting>
        <x14:conditionalFormatting xmlns:xm="http://schemas.microsoft.com/office/excel/2006/main">
          <x14:cfRule type="expression" priority="11" id="{910480B0-0382-2443-983D-5F919A3B5E5C}">
            <xm:f>IF('2A Electricity regular'!$AM$2=1,0,1)</xm:f>
            <x14:dxf>
              <font>
                <color theme="0"/>
              </font>
              <fill>
                <patternFill patternType="none">
                  <fgColor indexed="64"/>
                  <bgColor auto="1"/>
                </patternFill>
              </fill>
              <border>
                <left/>
                <right/>
                <top/>
                <bottom/>
              </border>
            </x14:dxf>
          </x14:cfRule>
          <xm:sqref>AM78 AM80</xm:sqref>
        </x14:conditionalFormatting>
        <x14:conditionalFormatting xmlns:xm="http://schemas.microsoft.com/office/excel/2006/main">
          <x14:cfRule type="expression" priority="10" id="{7B6962A5-48F8-1F4C-8F1E-FFF45FF02C04}">
            <xm:f>IF('2A Electricity regular'!$AN$2=1,0,1)</xm:f>
            <x14:dxf>
              <font>
                <color theme="0"/>
              </font>
              <fill>
                <patternFill patternType="none">
                  <fgColor indexed="64"/>
                  <bgColor auto="1"/>
                </patternFill>
              </fill>
              <border>
                <left/>
                <right/>
                <top/>
                <bottom/>
              </border>
            </x14:dxf>
          </x14:cfRule>
          <xm:sqref>AN78 AN80</xm:sqref>
        </x14:conditionalFormatting>
        <x14:conditionalFormatting xmlns:xm="http://schemas.microsoft.com/office/excel/2006/main">
          <x14:cfRule type="expression" priority="9" id="{05F31ECE-3C84-AB4A-9DD3-236B71B973DB}">
            <xm:f>IF('2A Electricity regular'!$AO$2=1,0,1)</xm:f>
            <x14:dxf>
              <font>
                <color theme="0"/>
              </font>
              <fill>
                <patternFill patternType="none">
                  <fgColor indexed="64"/>
                  <bgColor auto="1"/>
                </patternFill>
              </fill>
              <border>
                <left/>
                <right/>
                <top/>
                <bottom/>
              </border>
            </x14:dxf>
          </x14:cfRule>
          <xm:sqref>AO78 AO80</xm:sqref>
        </x14:conditionalFormatting>
        <x14:conditionalFormatting xmlns:xm="http://schemas.microsoft.com/office/excel/2006/main">
          <x14:cfRule type="expression" priority="8" id="{3D4F3144-6571-2645-B2A9-04FA6680BA76}">
            <xm:f>IF('2A Electricity regular'!$AQ$36=1,1,0)</xm:f>
            <x14:dxf>
              <font>
                <color theme="0"/>
              </font>
              <fill>
                <patternFill patternType="solid">
                  <fgColor indexed="64"/>
                  <bgColor theme="0"/>
                </patternFill>
              </fill>
              <border>
                <left/>
                <right/>
                <top/>
                <bottom/>
              </border>
            </x14:dxf>
          </x14:cfRule>
          <xm:sqref>AT81:BI81</xm:sqref>
        </x14:conditionalFormatting>
        <x14:conditionalFormatting xmlns:xm="http://schemas.microsoft.com/office/excel/2006/main">
          <x14:cfRule type="expression" priority="7" id="{29030A2D-9247-DB41-894C-D22DD494BBFA}">
            <xm:f>IF('2A Electricity regular'!$AM$2=1,0,1)</xm:f>
            <x14:dxf>
              <font>
                <color theme="0"/>
              </font>
              <fill>
                <patternFill patternType="none">
                  <fgColor indexed="64"/>
                  <bgColor auto="1"/>
                </patternFill>
              </fill>
              <border>
                <left/>
                <right/>
                <top/>
                <bottom/>
              </border>
            </x14:dxf>
          </x14:cfRule>
          <xm:sqref>AM81</xm:sqref>
        </x14:conditionalFormatting>
        <x14:conditionalFormatting xmlns:xm="http://schemas.microsoft.com/office/excel/2006/main">
          <x14:cfRule type="expression" priority="6" id="{928BF631-6A6D-AF45-BD5A-64B0B263C19B}">
            <xm:f>IF('2A Electricity regular'!$AN$2=1,0,1)</xm:f>
            <x14:dxf>
              <font>
                <color theme="0"/>
              </font>
              <fill>
                <patternFill patternType="none">
                  <fgColor indexed="64"/>
                  <bgColor auto="1"/>
                </patternFill>
              </fill>
              <border>
                <left/>
                <right/>
                <top/>
                <bottom/>
              </border>
            </x14:dxf>
          </x14:cfRule>
          <xm:sqref>AN81</xm:sqref>
        </x14:conditionalFormatting>
        <x14:conditionalFormatting xmlns:xm="http://schemas.microsoft.com/office/excel/2006/main">
          <x14:cfRule type="expression" priority="5" id="{40B8DF9B-4BD4-4F47-B694-0F06E3F96171}">
            <xm:f>IF('2A Electricity regular'!$AO$2=1,0,1)</xm:f>
            <x14:dxf>
              <font>
                <color theme="0"/>
              </font>
              <fill>
                <patternFill patternType="none">
                  <fgColor indexed="64"/>
                  <bgColor auto="1"/>
                </patternFill>
              </fill>
              <border>
                <left/>
                <right/>
                <top/>
                <bottom/>
              </border>
            </x14:dxf>
          </x14:cfRule>
          <xm:sqref>AO81</xm:sqref>
        </x14:conditionalFormatting>
        <x14:conditionalFormatting xmlns:xm="http://schemas.microsoft.com/office/excel/2006/main">
          <x14:cfRule type="expression" priority="4" id="{000A642F-330E-1E4D-9039-09E20B33FA62}">
            <xm:f>IF('2A Electricity regular'!$AQ$36=1,1,0)</xm:f>
            <x14:dxf>
              <font>
                <color theme="0"/>
              </font>
              <fill>
                <patternFill patternType="solid">
                  <fgColor indexed="64"/>
                  <bgColor theme="0"/>
                </patternFill>
              </fill>
              <border>
                <left/>
                <right/>
                <top/>
                <bottom/>
              </border>
            </x14:dxf>
          </x14:cfRule>
          <xm:sqref>AQ82:BI82</xm:sqref>
        </x14:conditionalFormatting>
        <x14:conditionalFormatting xmlns:xm="http://schemas.microsoft.com/office/excel/2006/main">
          <x14:cfRule type="expression" priority="3" id="{1F04BBED-381A-C043-9D1D-A4483F254080}">
            <xm:f>IF('2A Electricity regular'!$AM$2=1,0,1)</xm:f>
            <x14:dxf>
              <font>
                <color theme="0"/>
              </font>
              <fill>
                <patternFill patternType="none">
                  <fgColor indexed="64"/>
                  <bgColor auto="1"/>
                </patternFill>
              </fill>
              <border>
                <left/>
                <right/>
                <top/>
                <bottom/>
              </border>
            </x14:dxf>
          </x14:cfRule>
          <xm:sqref>AM82</xm:sqref>
        </x14:conditionalFormatting>
        <x14:conditionalFormatting xmlns:xm="http://schemas.microsoft.com/office/excel/2006/main">
          <x14:cfRule type="expression" priority="2" id="{E95A0DF4-BC8F-AE4F-A89A-577A0C68AF6D}">
            <xm:f>IF('2A Electricity regular'!$AN$2=1,0,1)</xm:f>
            <x14:dxf>
              <font>
                <color theme="0"/>
              </font>
              <fill>
                <patternFill patternType="none">
                  <fgColor indexed="64"/>
                  <bgColor auto="1"/>
                </patternFill>
              </fill>
              <border>
                <left/>
                <right/>
                <top/>
                <bottom/>
              </border>
            </x14:dxf>
          </x14:cfRule>
          <xm:sqref>AN82</xm:sqref>
        </x14:conditionalFormatting>
        <x14:conditionalFormatting xmlns:xm="http://schemas.microsoft.com/office/excel/2006/main">
          <x14:cfRule type="expression" priority="1" id="{E8280978-0725-AB4D-A472-8A4E62A6D3E1}">
            <xm:f>IF('2A Electricity regular'!$AO$2=1,0,1)</xm:f>
            <x14:dxf>
              <font>
                <color theme="0"/>
              </font>
              <fill>
                <patternFill patternType="none">
                  <fgColor indexed="64"/>
                  <bgColor auto="1"/>
                </patternFill>
              </fill>
              <border>
                <left/>
                <right/>
                <top/>
                <bottom/>
              </border>
            </x14:dxf>
          </x14:cfRule>
          <xm:sqref>AO82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L421"/>
  <sheetViews>
    <sheetView showGridLines="0" showRowColHeaders="0" zoomScale="120" zoomScaleNormal="120" workbookViewId="0">
      <pane xSplit="61" ySplit="19" topLeftCell="BJ20" activePane="bottomRight" state="frozenSplit"/>
      <selection pane="topRight" activeCell="BJ1" sqref="BJ1"/>
      <selection pane="bottomLeft" activeCell="A20" sqref="A20"/>
      <selection pane="bottomRight" activeCell="Y35" sqref="Y35:AI35"/>
    </sheetView>
  </sheetViews>
  <sheetFormatPr baseColWidth="10" defaultColWidth="2.85546875" defaultRowHeight="12.75" outlineLevelRow="2" outlineLevelCol="1"/>
  <cols>
    <col min="1" max="1" width="2.85546875" style="31"/>
    <col min="2" max="2" width="4" style="31" bestFit="1" customWidth="1"/>
    <col min="3" max="3" width="4" style="302" customWidth="1"/>
    <col min="4" max="9" width="2.85546875" style="31"/>
    <col min="10" max="10" width="7.42578125" style="31" bestFit="1" customWidth="1"/>
    <col min="11" max="24" width="2.85546875" style="31"/>
    <col min="25" max="26" width="3.140625" style="31" customWidth="1"/>
    <col min="27" max="33" width="2.85546875" style="31"/>
    <col min="34" max="34" width="2.85546875" style="31" customWidth="1"/>
    <col min="35" max="35" width="2.85546875" style="273" customWidth="1"/>
    <col min="36" max="36" width="2.85546875" style="31" customWidth="1"/>
    <col min="37" max="38" width="2.85546875" style="329" customWidth="1"/>
    <col min="39" max="41" width="2.85546875" style="31" customWidth="1"/>
    <col min="42" max="43" width="2.85546875" style="31"/>
    <col min="44" max="45" width="3.140625" style="31" customWidth="1"/>
    <col min="46" max="52" width="2.85546875" style="31"/>
    <col min="53" max="53" width="3.42578125" style="31" bestFit="1" customWidth="1"/>
    <col min="54" max="54" width="2.85546875" style="273"/>
    <col min="55" max="55" width="1.28515625" style="31" customWidth="1"/>
    <col min="56" max="56" width="2.85546875" style="329"/>
    <col min="57" max="63" width="2.85546875" style="31"/>
    <col min="64" max="99" width="0" style="31" hidden="1" customWidth="1" outlineLevel="1"/>
    <col min="100" max="100" width="2.85546875" style="31" collapsed="1"/>
    <col min="101" max="16384" width="2.85546875" style="31"/>
  </cols>
  <sheetData>
    <row r="1" spans="2:69">
      <c r="P1" s="28"/>
      <c r="AI1" s="31"/>
      <c r="AK1" s="31"/>
      <c r="AL1" s="31"/>
      <c r="BB1" s="31"/>
      <c r="BD1" s="31"/>
    </row>
    <row r="2" spans="2:69">
      <c r="C2" s="1206" t="s">
        <v>0</v>
      </c>
      <c r="D2" s="1701" t="str">
        <f>X!$C$285</f>
        <v>zurück zur Übersicht (1)</v>
      </c>
      <c r="E2" s="1701"/>
      <c r="F2" s="1701"/>
      <c r="G2" s="1701"/>
      <c r="H2" s="1701"/>
      <c r="I2" s="1701"/>
      <c r="J2" s="1701"/>
      <c r="K2" s="1701"/>
      <c r="L2" s="1701"/>
      <c r="M2" s="1701"/>
      <c r="N2" s="1701"/>
      <c r="O2" s="1701"/>
      <c r="P2" s="1175"/>
      <c r="Q2" s="1175"/>
      <c r="R2" s="1175"/>
      <c r="S2" s="1212"/>
      <c r="T2" s="1176" t="s">
        <v>13</v>
      </c>
      <c r="U2" s="1701" t="str">
        <f>X!$C$286</f>
        <v>zur Wirtschaftlichkeitsberechnung (4)</v>
      </c>
      <c r="V2" s="1701"/>
      <c r="W2" s="1701"/>
      <c r="X2" s="1701"/>
      <c r="Y2" s="1701"/>
      <c r="Z2" s="1701"/>
      <c r="AA2" s="1701"/>
      <c r="AB2" s="1701"/>
      <c r="AC2" s="1701"/>
      <c r="AD2" s="1701"/>
      <c r="AE2" s="1701"/>
      <c r="AF2" s="1701"/>
      <c r="AG2" s="1701"/>
      <c r="AH2" s="1701"/>
      <c r="AI2" s="31"/>
      <c r="AK2" s="605">
        <f>X!E8</f>
        <v>1</v>
      </c>
      <c r="AL2" s="605">
        <f>X!F8</f>
        <v>0</v>
      </c>
      <c r="AM2" s="605">
        <f>X!G8</f>
        <v>0</v>
      </c>
      <c r="BB2" s="31"/>
      <c r="BD2" s="31"/>
      <c r="BQ2" s="31" t="s">
        <v>642</v>
      </c>
    </row>
    <row r="3" spans="2:69">
      <c r="P3" s="28"/>
      <c r="AI3" s="31"/>
      <c r="AK3" s="31"/>
      <c r="AL3" s="31"/>
      <c r="BB3" s="31"/>
      <c r="BD3" s="31"/>
    </row>
    <row r="4" spans="2:69">
      <c r="P4" s="28"/>
      <c r="AI4" s="31"/>
      <c r="AK4" s="31"/>
      <c r="AL4" s="31"/>
      <c r="BB4" s="31"/>
      <c r="BD4" s="31"/>
    </row>
    <row r="5" spans="2:69">
      <c r="P5" s="28"/>
      <c r="AI5" s="31"/>
      <c r="AK5" s="31"/>
      <c r="AL5" s="31"/>
      <c r="BB5" s="31"/>
      <c r="BD5" s="31"/>
    </row>
    <row r="6" spans="2:69" ht="13.5" thickBot="1">
      <c r="B6" s="1177"/>
      <c r="C6" s="1177"/>
      <c r="D6" s="1177"/>
      <c r="E6" s="1177"/>
      <c r="F6" s="1177"/>
      <c r="G6" s="1177"/>
      <c r="H6" s="1177"/>
      <c r="I6" s="1177"/>
      <c r="J6" s="1177"/>
      <c r="K6" s="1177"/>
      <c r="L6" s="1177"/>
      <c r="M6" s="1177"/>
      <c r="N6" s="1177"/>
      <c r="O6" s="1177"/>
      <c r="P6" s="1177"/>
      <c r="Q6" s="1177"/>
      <c r="R6" s="1177"/>
      <c r="S6" s="1177"/>
      <c r="T6" s="1177"/>
      <c r="U6" s="1177"/>
      <c r="V6" s="1177"/>
      <c r="W6" s="1177"/>
      <c r="X6" s="1177"/>
      <c r="Y6" s="1177"/>
      <c r="Z6" s="1177"/>
      <c r="AA6" s="1177"/>
      <c r="AB6" s="1177"/>
      <c r="AC6" s="1177"/>
      <c r="AD6" s="1177"/>
      <c r="AE6" s="1177"/>
      <c r="AF6" s="1177"/>
      <c r="AG6" s="1177"/>
      <c r="AH6" s="1177"/>
      <c r="AI6" s="1177"/>
      <c r="AJ6" s="1177"/>
      <c r="AK6" s="1177"/>
      <c r="AL6" s="1177"/>
      <c r="AM6" s="1177"/>
      <c r="AN6" s="1177"/>
      <c r="AO6" s="1177"/>
      <c r="AP6" s="1177"/>
      <c r="AQ6" s="1177"/>
      <c r="AR6" s="1177"/>
      <c r="AS6" s="1177"/>
      <c r="AT6" s="1177"/>
      <c r="AU6" s="1177"/>
      <c r="AV6" s="1177"/>
      <c r="AW6" s="1177"/>
      <c r="AX6" s="1177"/>
      <c r="AY6" s="1177"/>
      <c r="AZ6" s="1177"/>
      <c r="BA6" s="1177"/>
      <c r="BB6" s="1177"/>
      <c r="BC6" s="1177"/>
      <c r="BD6" s="1177"/>
      <c r="BE6" s="1177"/>
      <c r="BF6" s="1177"/>
      <c r="BG6" s="1177"/>
      <c r="BH6" s="1177"/>
    </row>
    <row r="7" spans="2:69" ht="12" customHeight="1" thickTop="1">
      <c r="B7" s="1200"/>
      <c r="C7" s="1201"/>
      <c r="D7" s="1200"/>
      <c r="E7" s="1200"/>
      <c r="F7" s="1200"/>
      <c r="G7" s="1200"/>
      <c r="H7" s="1200"/>
      <c r="I7" s="1200"/>
      <c r="J7" s="1200"/>
      <c r="K7" s="1200"/>
      <c r="L7" s="1200"/>
      <c r="M7" s="1200"/>
      <c r="N7" s="1200"/>
      <c r="O7" s="1200"/>
      <c r="P7" s="1202"/>
      <c r="Q7" s="1200"/>
      <c r="R7" s="1200"/>
      <c r="S7" s="1200"/>
      <c r="T7" s="1200"/>
      <c r="U7" s="1200"/>
      <c r="V7" s="1200"/>
      <c r="W7" s="1200"/>
      <c r="X7" s="1200"/>
      <c r="Y7" s="1200"/>
      <c r="Z7" s="1200"/>
      <c r="AA7" s="1200"/>
      <c r="AB7" s="1200"/>
      <c r="AC7" s="1200"/>
      <c r="AD7" s="1200"/>
      <c r="AE7" s="1200"/>
      <c r="AF7" s="1200"/>
      <c r="AG7" s="1200"/>
      <c r="AH7" s="1200"/>
      <c r="AI7" s="1200"/>
      <c r="AJ7" s="1200"/>
      <c r="AK7" s="1200"/>
      <c r="AL7" s="1200"/>
      <c r="AM7" s="1200"/>
      <c r="AN7" s="1200"/>
      <c r="AO7" s="1200"/>
      <c r="AP7" s="1200"/>
      <c r="AQ7" s="1200"/>
      <c r="AR7" s="1200"/>
      <c r="AS7" s="1200"/>
      <c r="AT7" s="1200"/>
      <c r="AU7" s="1200"/>
      <c r="AV7" s="1200"/>
      <c r="AW7" s="1200"/>
      <c r="AX7" s="1200"/>
      <c r="AY7" s="1200"/>
      <c r="AZ7" s="1200"/>
      <c r="BA7" s="1200"/>
      <c r="BB7" s="1200"/>
      <c r="BC7" s="1200"/>
      <c r="BD7" s="1200"/>
      <c r="BE7" s="1200"/>
      <c r="BF7" s="1200"/>
      <c r="BG7" s="1200"/>
      <c r="BH7" s="1200"/>
    </row>
    <row r="8" spans="2:69" ht="12" customHeight="1">
      <c r="P8" s="28"/>
      <c r="AI8" s="31"/>
      <c r="AK8" s="31"/>
      <c r="AL8" s="31"/>
      <c r="BB8" s="31"/>
      <c r="BD8" s="31"/>
    </row>
    <row r="9" spans="2:69">
      <c r="B9" s="556" t="str">
        <f>X!$C$148</f>
        <v>Effiziente Kälte</v>
      </c>
      <c r="D9" s="30"/>
      <c r="E9" s="30"/>
      <c r="F9" s="30"/>
      <c r="G9" s="30"/>
      <c r="H9" s="30"/>
      <c r="I9" s="30"/>
      <c r="J9" s="30"/>
      <c r="K9" s="30"/>
      <c r="L9" s="30"/>
      <c r="M9" s="30"/>
      <c r="N9" s="30"/>
      <c r="O9" s="30"/>
      <c r="P9" s="30"/>
      <c r="Q9" s="30"/>
      <c r="R9" s="30"/>
      <c r="S9" s="30"/>
      <c r="AI9" s="31"/>
      <c r="AK9" s="31"/>
      <c r="AL9" s="31"/>
      <c r="BB9" s="31"/>
      <c r="BD9" s="31"/>
    </row>
    <row r="10" spans="2:69" s="32" customFormat="1" ht="18" customHeight="1">
      <c r="B10" s="557" t="str">
        <f>X!$C$21</f>
        <v>Kälte-Tool für die Abschätzung des Stromverbrauchs, der Umweltauswirkungen und der Lebenszykluskosten von Kälte- und Klimakälteanlagen</v>
      </c>
      <c r="C10" s="482"/>
      <c r="Q10" s="33"/>
    </row>
    <row r="11" spans="2:69" s="32" customFormat="1" ht="12" customHeight="1">
      <c r="B11" s="557"/>
      <c r="C11" s="482"/>
      <c r="Q11" s="33"/>
    </row>
    <row r="12" spans="2:69" s="32" customFormat="1" ht="12" customHeight="1">
      <c r="B12" s="557"/>
      <c r="C12" s="482"/>
      <c r="Q12" s="33"/>
    </row>
    <row r="13" spans="2:69" s="1208" customFormat="1" ht="30">
      <c r="B13" s="1208">
        <v>3</v>
      </c>
      <c r="C13" s="1209" t="str">
        <f>X!$C$230</f>
        <v>TEWI (Total Equivalent Warming Impact = Treibhauseffekt)</v>
      </c>
      <c r="Q13" s="1211"/>
      <c r="BQ13" s="1208" t="s">
        <v>641</v>
      </c>
    </row>
    <row r="14" spans="2:69" s="32" customFormat="1" ht="12" customHeight="1">
      <c r="B14" s="100"/>
      <c r="C14" s="558"/>
      <c r="Q14" s="33"/>
    </row>
    <row r="15" spans="2:69" ht="12" customHeight="1">
      <c r="B15" s="35"/>
      <c r="C15" s="483"/>
      <c r="D15" s="35"/>
      <c r="E15" s="35"/>
      <c r="F15" s="35"/>
      <c r="G15" s="35"/>
      <c r="H15" s="35"/>
      <c r="I15" s="35"/>
      <c r="J15" s="35"/>
      <c r="K15" s="35"/>
      <c r="L15" s="35"/>
      <c r="M15" s="35"/>
      <c r="N15" s="35"/>
      <c r="O15" s="35"/>
      <c r="P15" s="35"/>
      <c r="Q15" s="35"/>
      <c r="R15" s="35"/>
      <c r="S15" s="35"/>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row>
    <row r="16" spans="2:69" ht="5.0999999999999996" customHeight="1">
      <c r="B16" s="52"/>
      <c r="C16" s="484"/>
      <c r="D16" s="30"/>
      <c r="E16" s="30"/>
      <c r="F16" s="30"/>
      <c r="G16" s="30"/>
      <c r="H16" s="30"/>
      <c r="I16" s="30"/>
      <c r="J16" s="30"/>
      <c r="K16" s="30"/>
      <c r="L16" s="30"/>
      <c r="M16" s="30"/>
      <c r="N16" s="30"/>
      <c r="O16" s="30"/>
      <c r="P16" s="30"/>
      <c r="Q16" s="30"/>
      <c r="R16" s="30"/>
      <c r="S16" s="30"/>
      <c r="AI16" s="31"/>
      <c r="AK16" s="31"/>
      <c r="AL16" s="31"/>
      <c r="BB16" s="31"/>
      <c r="BD16" s="31"/>
    </row>
    <row r="17" spans="1:76" s="37" customFormat="1" ht="12" customHeight="1">
      <c r="B17" s="101"/>
      <c r="C17" s="1431">
        <f>'1 System specification'!I28</f>
        <v>0</v>
      </c>
      <c r="D17" s="1431"/>
      <c r="E17" s="1431"/>
      <c r="F17" s="1431"/>
      <c r="G17" s="1431"/>
      <c r="H17" s="1431"/>
      <c r="I17" s="1431"/>
      <c r="J17" s="1431"/>
      <c r="K17" s="1431"/>
      <c r="L17" s="1431"/>
      <c r="M17" s="1431"/>
      <c r="N17" s="1431"/>
      <c r="O17" s="38"/>
      <c r="P17" s="38"/>
      <c r="Q17" s="1435">
        <f ca="1">IF('1 System specification'!AH28="",TODAY(),'1 System specification'!AH28)</f>
        <v>44257</v>
      </c>
      <c r="R17" s="1435"/>
      <c r="S17" s="1435"/>
      <c r="T17" s="1435"/>
      <c r="U17" s="1435"/>
      <c r="V17" s="39"/>
      <c r="W17" s="1431">
        <f>'1 System specification'!AH35</f>
        <v>0</v>
      </c>
      <c r="X17" s="1431"/>
      <c r="Y17" s="1431"/>
      <c r="Z17" s="1431"/>
      <c r="AA17" s="1431"/>
      <c r="AB17" s="1431"/>
      <c r="AC17" s="1431"/>
      <c r="AD17" s="1431"/>
      <c r="AE17" s="1431"/>
      <c r="AF17" s="39"/>
      <c r="AG17" s="1431">
        <f>'1 System specification'!I35</f>
        <v>0</v>
      </c>
      <c r="AH17" s="1431"/>
      <c r="AI17" s="1431"/>
      <c r="AJ17" s="1431"/>
      <c r="AK17" s="1431"/>
      <c r="AL17" s="1431"/>
      <c r="AM17" s="1431"/>
      <c r="AN17" s="1431"/>
      <c r="AO17" s="1431"/>
      <c r="AR17" s="1677" t="str">
        <f>'1 System specification'!AG21</f>
        <v>Version 5.6 (2021): gültig bis 15. August 2021</v>
      </c>
      <c r="AS17" s="1677"/>
      <c r="AT17" s="1677"/>
      <c r="AU17" s="1677"/>
      <c r="AV17" s="1677"/>
      <c r="AW17" s="1677"/>
      <c r="AX17" s="1677"/>
      <c r="AY17" s="1677"/>
      <c r="AZ17" s="1677"/>
      <c r="BA17" s="1677"/>
      <c r="BB17" s="1677"/>
      <c r="BC17" s="1677"/>
      <c r="BD17" s="1677"/>
      <c r="BE17" s="1677"/>
      <c r="BF17" s="1677"/>
      <c r="BG17" s="1677"/>
      <c r="BH17" s="1677"/>
    </row>
    <row r="18" spans="1:76" s="37" customFormat="1" ht="3.95" customHeight="1">
      <c r="B18" s="41"/>
      <c r="C18" s="41"/>
      <c r="D18" s="41"/>
      <c r="E18" s="41"/>
      <c r="F18" s="41"/>
      <c r="G18" s="41"/>
      <c r="H18" s="41"/>
      <c r="I18" s="41"/>
      <c r="J18" s="41"/>
      <c r="K18" s="41"/>
      <c r="L18" s="41"/>
      <c r="M18" s="41"/>
      <c r="N18" s="41"/>
      <c r="O18" s="40"/>
      <c r="P18" s="40"/>
      <c r="Q18" s="42"/>
      <c r="R18" s="41"/>
      <c r="S18" s="41"/>
      <c r="T18" s="41"/>
      <c r="U18" s="41"/>
      <c r="V18" s="41"/>
      <c r="W18" s="41"/>
      <c r="X18" s="40"/>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row>
    <row r="19" spans="1:76">
      <c r="B19" s="52"/>
      <c r="C19" s="484"/>
      <c r="D19" s="30"/>
      <c r="E19" s="30"/>
      <c r="F19" s="30"/>
      <c r="G19" s="30"/>
      <c r="H19" s="30"/>
      <c r="I19" s="30"/>
      <c r="J19" s="30"/>
      <c r="K19" s="30"/>
      <c r="L19" s="30"/>
      <c r="M19" s="30"/>
      <c r="N19" s="30"/>
      <c r="O19" s="30"/>
      <c r="P19" s="102"/>
      <c r="Q19" s="30"/>
      <c r="R19" s="30"/>
      <c r="S19" s="30"/>
      <c r="AI19" s="31"/>
      <c r="AK19" s="31"/>
      <c r="AL19" s="31"/>
      <c r="BB19" s="31"/>
      <c r="BD19" s="31"/>
    </row>
    <row r="20" spans="1:76">
      <c r="P20" s="28"/>
      <c r="AI20" s="31"/>
      <c r="AK20" s="31"/>
      <c r="AL20" s="31"/>
      <c r="BB20" s="31"/>
      <c r="BD20" s="31"/>
    </row>
    <row r="21" spans="1:76">
      <c r="B21" s="306"/>
      <c r="C21" s="485"/>
      <c r="D21" s="307"/>
      <c r="E21" s="307"/>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8"/>
      <c r="AJ21" s="307"/>
      <c r="AK21" s="309"/>
      <c r="AL21" s="309"/>
      <c r="AM21" s="307"/>
      <c r="AN21" s="307"/>
      <c r="AO21" s="307"/>
      <c r="AP21" s="307"/>
      <c r="AQ21" s="307"/>
      <c r="AR21" s="307"/>
      <c r="AS21" s="307"/>
      <c r="AT21" s="307"/>
      <c r="AU21" s="307"/>
      <c r="AV21" s="307"/>
      <c r="AW21" s="307"/>
      <c r="AX21" s="307"/>
      <c r="AY21" s="307"/>
      <c r="AZ21" s="307"/>
      <c r="BA21" s="307"/>
      <c r="BB21" s="308"/>
      <c r="BC21" s="307"/>
      <c r="BD21" s="309"/>
      <c r="BE21" s="307"/>
      <c r="BF21" s="307"/>
      <c r="BG21" s="307"/>
      <c r="BH21" s="310"/>
    </row>
    <row r="22" spans="1:76" s="116" customFormat="1" ht="21" customHeight="1">
      <c r="A22" s="31"/>
      <c r="B22" s="311"/>
      <c r="C22" s="486">
        <v>1</v>
      </c>
      <c r="D22" s="546" t="str">
        <f>X!$C$88</f>
        <v>Eingaben</v>
      </c>
      <c r="E22" s="109"/>
      <c r="F22" s="109"/>
      <c r="G22" s="110"/>
      <c r="H22" s="110"/>
      <c r="I22" s="111"/>
      <c r="J22" s="111"/>
      <c r="K22" s="111"/>
      <c r="L22" s="111"/>
      <c r="M22" s="111"/>
      <c r="N22" s="111"/>
      <c r="O22" s="111"/>
      <c r="P22" s="111"/>
      <c r="Q22" s="111"/>
      <c r="R22" s="111"/>
      <c r="S22" s="109"/>
      <c r="T22" s="109"/>
      <c r="U22" s="110"/>
      <c r="V22" s="110"/>
      <c r="W22" s="110"/>
      <c r="X22" s="110"/>
      <c r="Y22" s="635"/>
      <c r="Z22" s="110"/>
      <c r="AA22" s="110"/>
      <c r="AB22" s="110"/>
      <c r="AC22" s="110"/>
      <c r="AD22" s="110"/>
      <c r="AE22" s="110"/>
      <c r="AF22" s="110"/>
      <c r="AG22" s="110"/>
      <c r="AH22" s="110"/>
      <c r="AI22" s="110"/>
      <c r="AJ22" s="110"/>
      <c r="AK22" s="110"/>
      <c r="AL22" s="110"/>
      <c r="AM22" s="111"/>
      <c r="AN22" s="111"/>
      <c r="AO22" s="111"/>
      <c r="AP22" s="111"/>
      <c r="AQ22" s="111"/>
      <c r="AR22" s="1738">
        <f>'1 System specification'!O135</f>
        <v>1</v>
      </c>
      <c r="AS22" s="1738"/>
      <c r="AT22" s="1738"/>
      <c r="AU22" s="1738"/>
      <c r="AV22" s="1738"/>
      <c r="AW22" s="1738"/>
      <c r="AX22" s="1738"/>
      <c r="AY22" s="1738"/>
      <c r="AZ22" s="1738"/>
      <c r="BA22" s="1738"/>
      <c r="BB22" s="1738"/>
      <c r="BC22" s="1738"/>
      <c r="BD22" s="1738"/>
      <c r="BE22" s="1738"/>
      <c r="BF22" s="1738"/>
      <c r="BG22" s="1738"/>
      <c r="BH22" s="312"/>
      <c r="BI22" s="31"/>
      <c r="BJ22" s="31"/>
    </row>
    <row r="23" spans="1:76" s="116" customFormat="1" ht="21" customHeight="1">
      <c r="A23" s="31"/>
      <c r="B23" s="311"/>
      <c r="C23" s="487"/>
      <c r="D23" s="113"/>
      <c r="E23" s="113"/>
      <c r="F23" s="113"/>
      <c r="G23" s="114"/>
      <c r="H23" s="114"/>
      <c r="I23" s="112"/>
      <c r="J23" s="112"/>
      <c r="K23" s="112"/>
      <c r="L23" s="112"/>
      <c r="M23" s="112"/>
      <c r="N23" s="112"/>
      <c r="O23" s="112"/>
      <c r="P23" s="112"/>
      <c r="Q23" s="112"/>
      <c r="R23" s="112"/>
      <c r="S23" s="113"/>
      <c r="T23" s="113"/>
      <c r="U23" s="114"/>
      <c r="V23" s="114"/>
      <c r="W23" s="114"/>
      <c r="X23" s="114"/>
      <c r="Y23" s="114"/>
      <c r="Z23" s="114"/>
      <c r="AA23" s="114"/>
      <c r="AB23" s="114"/>
      <c r="AC23" s="114"/>
      <c r="AD23" s="114"/>
      <c r="AE23" s="114"/>
      <c r="AF23" s="114"/>
      <c r="AG23" s="114"/>
      <c r="AH23" s="114"/>
      <c r="AI23" s="114"/>
      <c r="AJ23" s="114"/>
      <c r="AK23" s="114"/>
      <c r="AL23" s="114"/>
      <c r="AM23" s="112"/>
      <c r="AN23" s="112"/>
      <c r="AO23" s="112"/>
      <c r="AP23" s="112"/>
      <c r="AQ23" s="113"/>
      <c r="AR23" s="113"/>
      <c r="AS23" s="114"/>
      <c r="AT23" s="114"/>
      <c r="AU23" s="114"/>
      <c r="AV23" s="114"/>
      <c r="AW23" s="114"/>
      <c r="AX23" s="114"/>
      <c r="AY23" s="114"/>
      <c r="AZ23" s="114"/>
      <c r="BA23" s="114"/>
      <c r="BB23" s="114"/>
      <c r="BC23" s="114"/>
      <c r="BD23" s="114"/>
      <c r="BE23" s="114"/>
      <c r="BF23" s="114"/>
      <c r="BG23" s="114"/>
      <c r="BH23" s="312"/>
      <c r="BI23" s="31"/>
      <c r="BJ23" s="31"/>
      <c r="BQ23" s="116">
        <v>250</v>
      </c>
      <c r="BV23" s="116" t="str">
        <f>X!E12</f>
        <v>Deutsch</v>
      </c>
      <c r="BW23" s="116" t="str">
        <f>X!F12</f>
        <v>Française</v>
      </c>
      <c r="BX23" s="116" t="str">
        <f>X!G12</f>
        <v>Italiano</v>
      </c>
    </row>
    <row r="24" spans="1:76" ht="21" customHeight="1">
      <c r="B24" s="311"/>
      <c r="C24" s="488"/>
      <c r="D24" s="313"/>
      <c r="E24" s="313"/>
      <c r="F24" s="313"/>
      <c r="G24" s="313"/>
      <c r="H24" s="313"/>
      <c r="I24" s="313"/>
      <c r="J24" s="313"/>
      <c r="K24" s="313"/>
      <c r="L24" s="313"/>
      <c r="M24" s="313"/>
      <c r="N24" s="313"/>
      <c r="O24" s="313"/>
      <c r="P24" s="313"/>
      <c r="Q24" s="313"/>
      <c r="R24" s="313"/>
      <c r="S24" s="313"/>
      <c r="T24" s="313"/>
      <c r="U24" s="313"/>
      <c r="V24" s="313"/>
      <c r="W24" s="313"/>
      <c r="X24" s="313"/>
      <c r="Y24" s="314" t="str">
        <f>'1 System specification'!O132</f>
        <v>Variante A</v>
      </c>
      <c r="Z24" s="49"/>
      <c r="AA24" s="49"/>
      <c r="AB24" s="49"/>
      <c r="AC24" s="49"/>
      <c r="AD24" s="49"/>
      <c r="AE24" s="49"/>
      <c r="AF24" s="49"/>
      <c r="AG24" s="49"/>
      <c r="AH24" s="49"/>
      <c r="AI24" s="49"/>
      <c r="AJ24" s="49"/>
      <c r="AK24" s="49"/>
      <c r="AL24" s="49"/>
      <c r="AM24" s="49"/>
      <c r="AN24" s="49"/>
      <c r="AO24" s="313"/>
      <c r="AP24" s="313"/>
      <c r="AQ24" s="313"/>
      <c r="AR24" s="314" t="str">
        <f>'1 System specification'!O133</f>
        <v/>
      </c>
      <c r="AS24" s="49"/>
      <c r="AT24" s="49"/>
      <c r="AU24" s="49"/>
      <c r="AV24" s="49"/>
      <c r="AW24" s="49"/>
      <c r="AX24" s="49"/>
      <c r="AY24" s="49"/>
      <c r="AZ24" s="49"/>
      <c r="BA24" s="49"/>
      <c r="BB24" s="49"/>
      <c r="BC24" s="59"/>
      <c r="BD24" s="315"/>
      <c r="BE24" s="59"/>
      <c r="BF24" s="59"/>
      <c r="BG24" s="59"/>
      <c r="BH24" s="312"/>
      <c r="BI24" s="52"/>
      <c r="BJ24" s="52"/>
      <c r="BK24" s="52"/>
      <c r="BL24" s="52"/>
      <c r="BM24" s="1205">
        <f>IF('1 System specification'!O126=1,1,0)</f>
        <v>0</v>
      </c>
      <c r="BN24" s="28"/>
      <c r="BO24" s="28" t="s">
        <v>1053</v>
      </c>
    </row>
    <row r="25" spans="1:76" ht="21" customHeight="1">
      <c r="B25" s="311"/>
      <c r="C25" s="488"/>
      <c r="D25" s="313"/>
      <c r="E25" s="313"/>
      <c r="F25" s="313"/>
      <c r="G25" s="313"/>
      <c r="H25" s="313"/>
      <c r="I25" s="313"/>
      <c r="J25" s="313"/>
      <c r="K25" s="313"/>
      <c r="L25" s="313"/>
      <c r="M25" s="313"/>
      <c r="N25" s="313"/>
      <c r="O25" s="313"/>
      <c r="P25" s="313"/>
      <c r="Q25" s="313"/>
      <c r="R25" s="313"/>
      <c r="S25" s="313"/>
      <c r="T25" s="313"/>
      <c r="U25" s="313"/>
      <c r="V25" s="313"/>
      <c r="W25" s="313"/>
      <c r="X25" s="313"/>
      <c r="Y25" s="1137" t="str">
        <f>'1 System specification'!S200</f>
        <v/>
      </c>
      <c r="Z25" s="313"/>
      <c r="AA25" s="313"/>
      <c r="AB25" s="313"/>
      <c r="AC25" s="313"/>
      <c r="AD25" s="313"/>
      <c r="AE25" s="313"/>
      <c r="AF25" s="313"/>
      <c r="AG25" s="313"/>
      <c r="AH25" s="313"/>
      <c r="AI25" s="313"/>
      <c r="AJ25" s="313"/>
      <c r="AK25" s="313"/>
      <c r="AL25" s="313"/>
      <c r="AM25" s="313"/>
      <c r="AN25" s="313"/>
      <c r="AO25" s="313"/>
      <c r="AP25" s="313"/>
      <c r="AQ25" s="313"/>
      <c r="AR25" s="1137" t="str">
        <f>'1 System specification'!BJ200</f>
        <v/>
      </c>
      <c r="AS25" s="313"/>
      <c r="AT25" s="313"/>
      <c r="AU25" s="313"/>
      <c r="AV25" s="313"/>
      <c r="AW25" s="313"/>
      <c r="AX25" s="313"/>
      <c r="AY25" s="313"/>
      <c r="AZ25" s="313"/>
      <c r="BA25" s="313"/>
      <c r="BB25" s="313"/>
      <c r="BC25" s="52"/>
      <c r="BD25" s="93"/>
      <c r="BE25" s="52"/>
      <c r="BF25" s="52"/>
      <c r="BG25" s="52"/>
      <c r="BH25" s="312"/>
    </row>
    <row r="26" spans="1:76" s="28" customFormat="1" ht="17.100000000000001" customHeight="1">
      <c r="B26" s="311"/>
      <c r="C26" s="796"/>
      <c r="D26" s="98"/>
      <c r="E26" s="98"/>
      <c r="F26" s="98"/>
      <c r="G26" s="98"/>
      <c r="H26" s="98"/>
      <c r="I26" s="98"/>
      <c r="J26" s="98"/>
      <c r="K26" s="98"/>
      <c r="L26" s="98"/>
      <c r="M26" s="98"/>
      <c r="N26" s="98"/>
      <c r="O26" s="98"/>
      <c r="P26" s="122"/>
      <c r="Q26" s="98"/>
      <c r="R26" s="98"/>
      <c r="S26" s="781"/>
      <c r="T26" s="781"/>
      <c r="U26" s="781"/>
      <c r="V26" s="98"/>
      <c r="W26" s="136"/>
      <c r="X26" s="136"/>
      <c r="Y26" s="136"/>
      <c r="Z26" s="136"/>
      <c r="AA26" s="136"/>
      <c r="AB26" s="136"/>
      <c r="AC26" s="136"/>
      <c r="AD26" s="136"/>
      <c r="AE26" s="136"/>
      <c r="AF26" s="98"/>
      <c r="AG26" s="98"/>
      <c r="AH26" s="98"/>
      <c r="AI26" s="98"/>
      <c r="AJ26" s="98"/>
      <c r="AK26" s="98"/>
      <c r="AL26" s="98"/>
      <c r="AM26" s="98"/>
      <c r="AN26" s="98"/>
      <c r="AO26" s="98"/>
      <c r="AP26" s="98"/>
      <c r="AQ26" s="781"/>
      <c r="AR26" s="781"/>
      <c r="AS26" s="781"/>
      <c r="AT26" s="98"/>
      <c r="AU26" s="136"/>
      <c r="AV26" s="136"/>
      <c r="AW26" s="136"/>
      <c r="AX26" s="136"/>
      <c r="AY26" s="136"/>
      <c r="AZ26" s="136"/>
      <c r="BA26" s="136"/>
      <c r="BB26" s="136"/>
      <c r="BC26" s="136"/>
      <c r="BD26" s="640"/>
      <c r="BE26" s="640"/>
      <c r="BF26" s="640"/>
      <c r="BG26" s="640"/>
      <c r="BH26" s="312"/>
      <c r="BI26" s="31"/>
      <c r="BJ26" s="31"/>
    </row>
    <row r="27" spans="1:76" s="1143" customFormat="1" ht="17.100000000000001" hidden="1" customHeight="1" outlineLevel="1">
      <c r="B27" s="1144"/>
      <c r="C27" s="1145"/>
      <c r="D27" s="1146" t="s">
        <v>1020</v>
      </c>
      <c r="E27" s="1146"/>
      <c r="F27" s="1146"/>
      <c r="G27" s="1146"/>
      <c r="H27" s="1146"/>
      <c r="I27" s="1146"/>
      <c r="J27" s="1146"/>
      <c r="K27" s="1146"/>
      <c r="L27" s="1146"/>
      <c r="M27" s="1146"/>
      <c r="N27" s="1146"/>
      <c r="O27" s="1146"/>
      <c r="P27" s="1147"/>
      <c r="Q27" s="1146"/>
      <c r="R27" s="1146"/>
      <c r="S27" s="1148"/>
      <c r="T27" s="1148"/>
      <c r="U27" s="1721">
        <f>'1 System specification'!W142</f>
        <v>0</v>
      </c>
      <c r="V27" s="1721"/>
      <c r="W27" s="1721"/>
      <c r="X27" s="1149"/>
      <c r="Y27" s="1149" t="s">
        <v>1014</v>
      </c>
      <c r="Z27" s="1149"/>
      <c r="AA27" s="1149"/>
      <c r="AB27" s="1149"/>
      <c r="AC27" s="1149"/>
      <c r="AD27" s="1149"/>
      <c r="AE27" s="1149"/>
      <c r="AF27" s="1146"/>
      <c r="AG27" s="1146"/>
      <c r="AH27" s="1146"/>
      <c r="AI27" s="1146"/>
      <c r="AJ27" s="1146"/>
      <c r="AK27" s="1146"/>
      <c r="AL27" s="1146"/>
      <c r="AM27" s="1146"/>
      <c r="AN27" s="1146"/>
      <c r="AO27" s="1146"/>
      <c r="AP27" s="1146"/>
      <c r="AQ27" s="1148"/>
      <c r="AR27" s="1148"/>
      <c r="AS27" s="1148"/>
      <c r="AT27" s="1146"/>
      <c r="AU27" s="1149"/>
      <c r="AV27" s="1149"/>
      <c r="AW27" s="1149"/>
      <c r="AX27" s="1149"/>
      <c r="AY27" s="1149"/>
      <c r="AZ27" s="1149"/>
      <c r="BA27" s="1149"/>
      <c r="BB27" s="1149"/>
      <c r="BC27" s="1149"/>
      <c r="BD27" s="1147"/>
      <c r="BE27" s="1147"/>
      <c r="BF27" s="1147"/>
      <c r="BG27" s="1147"/>
      <c r="BH27" s="1150"/>
      <c r="BI27" s="1151"/>
      <c r="BJ27" s="1151"/>
    </row>
    <row r="28" spans="1:76" s="1143" customFormat="1" ht="17.100000000000001" hidden="1" customHeight="1" outlineLevel="1">
      <c r="B28" s="1144"/>
      <c r="C28" s="1145"/>
      <c r="D28" s="1146" t="s">
        <v>901</v>
      </c>
      <c r="E28" s="1146"/>
      <c r="F28" s="1146"/>
      <c r="G28" s="1146"/>
      <c r="H28" s="1146"/>
      <c r="I28" s="1146"/>
      <c r="J28" s="1146"/>
      <c r="K28" s="1146"/>
      <c r="L28" s="1146"/>
      <c r="M28" s="1146"/>
      <c r="N28" s="1146"/>
      <c r="O28" s="1146"/>
      <c r="P28" s="1147"/>
      <c r="Q28" s="1146"/>
      <c r="R28" s="1146"/>
      <c r="S28" s="1148"/>
      <c r="T28" s="1148"/>
      <c r="U28" s="1721">
        <f>IF(U27=1,'2A Electricity regular'!S101,0)</f>
        <v>0</v>
      </c>
      <c r="V28" s="1721"/>
      <c r="W28" s="1721"/>
      <c r="X28" s="1149"/>
      <c r="Y28" s="1149" t="s">
        <v>1014</v>
      </c>
      <c r="Z28" s="1149"/>
      <c r="AA28" s="1149"/>
      <c r="AB28" s="1149"/>
      <c r="AC28" s="1149"/>
      <c r="AD28" s="1149"/>
      <c r="AE28" s="1149"/>
      <c r="AF28" s="1146"/>
      <c r="AG28" s="1146"/>
      <c r="AH28" s="1146"/>
      <c r="AI28" s="1146"/>
      <c r="AJ28" s="1146"/>
      <c r="AK28" s="1146"/>
      <c r="AL28" s="1146"/>
      <c r="AM28" s="1146"/>
      <c r="AN28" s="1146"/>
      <c r="AO28" s="1146"/>
      <c r="AP28" s="1146"/>
      <c r="AQ28" s="1148"/>
      <c r="AR28" s="1148"/>
      <c r="AS28" s="1148"/>
      <c r="AT28" s="1146"/>
      <c r="AU28" s="1149"/>
      <c r="AV28" s="1149"/>
      <c r="AW28" s="1149"/>
      <c r="AX28" s="1149"/>
      <c r="AY28" s="1149"/>
      <c r="AZ28" s="1149"/>
      <c r="BA28" s="1149"/>
      <c r="BB28" s="1149"/>
      <c r="BC28" s="1149"/>
      <c r="BD28" s="1147"/>
      <c r="BE28" s="1147"/>
      <c r="BF28" s="1147"/>
      <c r="BG28" s="1147"/>
      <c r="BH28" s="1150"/>
      <c r="BI28" s="1151"/>
      <c r="BJ28" s="1151"/>
    </row>
    <row r="29" spans="1:76" s="1143" customFormat="1" ht="17.100000000000001" hidden="1" customHeight="1" outlineLevel="1">
      <c r="B29" s="1144"/>
      <c r="C29" s="1145"/>
      <c r="D29" s="1146" t="s">
        <v>1019</v>
      </c>
      <c r="E29" s="1146"/>
      <c r="F29" s="1146"/>
      <c r="G29" s="1146"/>
      <c r="H29" s="1146"/>
      <c r="I29" s="1146"/>
      <c r="J29" s="1146"/>
      <c r="K29" s="1146"/>
      <c r="L29" s="1146"/>
      <c r="M29" s="1146"/>
      <c r="N29" s="1146"/>
      <c r="O29" s="1146"/>
      <c r="P29" s="1147"/>
      <c r="Q29" s="1146"/>
      <c r="R29" s="1146"/>
      <c r="S29" s="1148"/>
      <c r="T29" s="1148"/>
      <c r="U29" s="1721">
        <f>IF('1 System specification'!AH48='1 System specification'!D119,1,0)</f>
        <v>0</v>
      </c>
      <c r="V29" s="1721"/>
      <c r="W29" s="1721"/>
      <c r="X29" s="1149"/>
      <c r="Y29" s="1149" t="s">
        <v>1014</v>
      </c>
      <c r="Z29" s="1149"/>
      <c r="AA29" s="1149"/>
      <c r="AB29" s="1149"/>
      <c r="AC29" s="1149"/>
      <c r="AD29" s="1149"/>
      <c r="AE29" s="1149"/>
      <c r="AF29" s="1146"/>
      <c r="AG29" s="1146"/>
      <c r="AH29" s="1146"/>
      <c r="AI29" s="1146"/>
      <c r="AJ29" s="1146"/>
      <c r="AK29" s="1146"/>
      <c r="AL29" s="1146"/>
      <c r="AM29" s="1146"/>
      <c r="AN29" s="1146"/>
      <c r="AO29" s="1146"/>
      <c r="AP29" s="1146"/>
      <c r="AQ29" s="1148"/>
      <c r="AR29" s="1148"/>
      <c r="AS29" s="1148"/>
      <c r="AT29" s="1146"/>
      <c r="AU29" s="1149"/>
      <c r="AV29" s="1149"/>
      <c r="AW29" s="1149"/>
      <c r="AX29" s="1149"/>
      <c r="AY29" s="1149"/>
      <c r="AZ29" s="1149"/>
      <c r="BA29" s="1149"/>
      <c r="BB29" s="1149"/>
      <c r="BC29" s="1149"/>
      <c r="BD29" s="1147"/>
      <c r="BE29" s="1147"/>
      <c r="BF29" s="1147"/>
      <c r="BG29" s="1147"/>
      <c r="BH29" s="1150"/>
      <c r="BI29" s="1151"/>
      <c r="BJ29" s="1151"/>
    </row>
    <row r="30" spans="1:76" s="28" customFormat="1" ht="17.100000000000001" hidden="1" customHeight="1" outlineLevel="1">
      <c r="B30" s="311"/>
      <c r="C30" s="796"/>
      <c r="D30" s="98"/>
      <c r="E30" s="98"/>
      <c r="F30" s="98"/>
      <c r="G30" s="98"/>
      <c r="H30" s="98"/>
      <c r="I30" s="98"/>
      <c r="J30" s="98"/>
      <c r="K30" s="98"/>
      <c r="L30" s="98"/>
      <c r="M30" s="98"/>
      <c r="N30" s="98"/>
      <c r="O30" s="98"/>
      <c r="P30" s="122"/>
      <c r="Q30" s="98"/>
      <c r="R30" s="98"/>
      <c r="S30" s="781"/>
      <c r="T30" s="781"/>
      <c r="U30" s="781"/>
      <c r="V30" s="98"/>
      <c r="W30" s="136"/>
      <c r="X30" s="136"/>
      <c r="Y30" s="136"/>
      <c r="Z30" s="136"/>
      <c r="AA30" s="136"/>
      <c r="AB30" s="136"/>
      <c r="AC30" s="136"/>
      <c r="AD30" s="136"/>
      <c r="AE30" s="136"/>
      <c r="AF30" s="98"/>
      <c r="AG30" s="98"/>
      <c r="AH30" s="98"/>
      <c r="AI30" s="98"/>
      <c r="AJ30" s="98"/>
      <c r="AK30" s="98"/>
      <c r="AL30" s="98"/>
      <c r="AM30" s="98"/>
      <c r="AN30" s="98"/>
      <c r="AO30" s="98"/>
      <c r="AP30" s="98"/>
      <c r="AQ30" s="781"/>
      <c r="AR30" s="781"/>
      <c r="AS30" s="781"/>
      <c r="AT30" s="98"/>
      <c r="AU30" s="136"/>
      <c r="AV30" s="136"/>
      <c r="AW30" s="136"/>
      <c r="AX30" s="136"/>
      <c r="AY30" s="136"/>
      <c r="AZ30" s="136"/>
      <c r="BA30" s="136"/>
      <c r="BB30" s="136"/>
      <c r="BC30" s="136"/>
      <c r="BD30" s="640"/>
      <c r="BE30" s="640"/>
      <c r="BF30" s="640"/>
      <c r="BG30" s="640"/>
      <c r="BH30" s="312"/>
      <c r="BI30" s="31"/>
      <c r="BJ30" s="31"/>
    </row>
    <row r="31" spans="1:76" s="28" customFormat="1" ht="17.100000000000001" customHeight="1" collapsed="1">
      <c r="B31" s="311"/>
      <c r="C31" s="816" t="str">
        <f>X!$C$145</f>
        <v>Kältemittel</v>
      </c>
      <c r="D31" s="98"/>
      <c r="E31" s="98"/>
      <c r="F31" s="98"/>
      <c r="G31" s="98"/>
      <c r="H31" s="98"/>
      <c r="I31" s="98"/>
      <c r="J31" s="98"/>
      <c r="K31" s="98"/>
      <c r="L31" s="98"/>
      <c r="M31" s="98"/>
      <c r="N31" s="98"/>
      <c r="O31" s="98"/>
      <c r="P31" s="122"/>
      <c r="Q31" s="98"/>
      <c r="R31" s="640" t="s">
        <v>16</v>
      </c>
      <c r="S31" s="135"/>
      <c r="T31" s="135"/>
      <c r="U31" s="135"/>
      <c r="V31" s="98"/>
      <c r="W31" s="136"/>
      <c r="X31" s="136"/>
      <c r="Y31" s="1719"/>
      <c r="Z31" s="1719"/>
      <c r="AA31" s="1719"/>
      <c r="AB31" s="1719"/>
      <c r="AC31" s="1719"/>
      <c r="AD31" s="1719"/>
      <c r="AE31" s="1719"/>
      <c r="AF31" s="1719"/>
      <c r="AG31" s="1719"/>
      <c r="AH31" s="1719"/>
      <c r="AI31" s="1720"/>
      <c r="AJ31" s="98"/>
      <c r="AK31" s="98"/>
      <c r="AL31" s="98"/>
      <c r="AM31" s="98"/>
      <c r="AN31" s="98"/>
      <c r="AO31" s="98"/>
      <c r="AP31" s="98"/>
      <c r="AQ31" s="135"/>
      <c r="AR31" s="1719"/>
      <c r="AS31" s="1719"/>
      <c r="AT31" s="1719"/>
      <c r="AU31" s="1719"/>
      <c r="AV31" s="1719"/>
      <c r="AW31" s="1719"/>
      <c r="AX31" s="1719"/>
      <c r="AY31" s="1719"/>
      <c r="AZ31" s="1719"/>
      <c r="BA31" s="1719"/>
      <c r="BB31" s="1720"/>
      <c r="BC31" s="136"/>
      <c r="BD31" s="55"/>
      <c r="BE31" s="55"/>
      <c r="BF31" s="55"/>
      <c r="BG31" s="55"/>
      <c r="BH31" s="312"/>
      <c r="BI31" s="31"/>
      <c r="BJ31" s="31"/>
      <c r="BQ31" s="28">
        <f>'1 System specification'!W148</f>
        <v>1</v>
      </c>
      <c r="BS31" s="28" t="s">
        <v>1028</v>
      </c>
    </row>
    <row r="32" spans="1:76" s="28" customFormat="1" ht="6" customHeight="1">
      <c r="B32" s="316"/>
      <c r="C32" s="817"/>
      <c r="D32" s="640"/>
      <c r="E32" s="640"/>
      <c r="F32" s="640"/>
      <c r="G32" s="640"/>
      <c r="H32" s="640"/>
      <c r="I32" s="640"/>
      <c r="J32" s="640"/>
      <c r="K32" s="640"/>
      <c r="L32" s="640"/>
      <c r="M32" s="640"/>
      <c r="N32" s="640"/>
      <c r="O32" s="640"/>
      <c r="P32" s="640"/>
      <c r="Q32" s="640"/>
      <c r="R32" s="640"/>
      <c r="S32" s="640"/>
      <c r="T32" s="640"/>
      <c r="U32" s="640"/>
      <c r="V32" s="640"/>
      <c r="W32" s="313"/>
      <c r="X32" s="313"/>
      <c r="Y32" s="640"/>
      <c r="Z32" s="640"/>
      <c r="AA32" s="640"/>
      <c r="AB32" s="640"/>
      <c r="AC32" s="640"/>
      <c r="AD32" s="640"/>
      <c r="AE32" s="640"/>
      <c r="AF32" s="640"/>
      <c r="AG32" s="640"/>
      <c r="AH32" s="640"/>
      <c r="AI32" s="640"/>
      <c r="AJ32" s="640"/>
      <c r="AK32" s="120"/>
      <c r="AL32" s="120"/>
      <c r="AM32" s="640"/>
      <c r="AN32" s="640"/>
      <c r="AO32" s="640"/>
      <c r="AP32" s="640"/>
      <c r="AQ32" s="640"/>
      <c r="AR32" s="640"/>
      <c r="AS32" s="640"/>
      <c r="AT32" s="640"/>
      <c r="AU32" s="640"/>
      <c r="AV32" s="640"/>
      <c r="AW32" s="640"/>
      <c r="AX32" s="640"/>
      <c r="AY32" s="640"/>
      <c r="AZ32" s="640"/>
      <c r="BA32" s="640"/>
      <c r="BB32" s="640"/>
      <c r="BC32" s="640"/>
      <c r="BD32" s="120"/>
      <c r="BE32" s="640"/>
      <c r="BF32" s="640"/>
      <c r="BG32" s="640"/>
      <c r="BH32" s="317"/>
    </row>
    <row r="33" spans="2:76" s="28" customFormat="1" ht="17.100000000000001" customHeight="1">
      <c r="B33" s="316"/>
      <c r="C33" s="816" t="str">
        <f>X!$C$145</f>
        <v>Kältemittel</v>
      </c>
      <c r="D33" s="55"/>
      <c r="E33" s="55"/>
      <c r="F33" s="55"/>
      <c r="G33" s="55"/>
      <c r="H33" s="55"/>
      <c r="I33" s="55"/>
      <c r="J33" s="55"/>
      <c r="K33" s="55"/>
      <c r="L33" s="55"/>
      <c r="M33" s="55"/>
      <c r="N33" s="55"/>
      <c r="O33" s="55"/>
      <c r="P33" s="55"/>
      <c r="Q33" s="55"/>
      <c r="R33" s="55" t="s">
        <v>16</v>
      </c>
      <c r="S33" s="55"/>
      <c r="T33" s="55"/>
      <c r="U33" s="55"/>
      <c r="V33" s="55"/>
      <c r="W33" s="313"/>
      <c r="X33" s="313"/>
      <c r="Y33" s="1728">
        <f>'1 System specification'!S186</f>
        <v>0</v>
      </c>
      <c r="Z33" s="1729"/>
      <c r="AA33" s="1729"/>
      <c r="AB33" s="1729"/>
      <c r="AC33" s="1729"/>
      <c r="AD33" s="1729"/>
      <c r="AE33" s="1729"/>
      <c r="AF33" s="1729"/>
      <c r="AG33" s="1729"/>
      <c r="AH33" s="1729"/>
      <c r="AI33" s="1729"/>
      <c r="AJ33" s="55"/>
      <c r="AK33" s="120"/>
      <c r="AL33" s="120"/>
      <c r="AM33" s="55"/>
      <c r="AN33" s="55"/>
      <c r="AO33" s="55"/>
      <c r="AP33" s="55"/>
      <c r="AQ33" s="55"/>
      <c r="AR33" s="1728">
        <f>'1 System specification'!BJ186</f>
        <v>0</v>
      </c>
      <c r="AS33" s="1729"/>
      <c r="AT33" s="1729"/>
      <c r="AU33" s="1729"/>
      <c r="AV33" s="1729"/>
      <c r="AW33" s="1729"/>
      <c r="AX33" s="1729"/>
      <c r="AY33" s="1729"/>
      <c r="AZ33" s="1729"/>
      <c r="BA33" s="1729"/>
      <c r="BB33" s="1729"/>
      <c r="BC33" s="55"/>
      <c r="BD33" s="120"/>
      <c r="BE33" s="55"/>
      <c r="BF33" s="55"/>
      <c r="BG33" s="55"/>
      <c r="BH33" s="317"/>
      <c r="BQ33" s="28">
        <f>IF(BQ31=0,1,0)</f>
        <v>0</v>
      </c>
      <c r="BS33" s="28" t="s">
        <v>1029</v>
      </c>
    </row>
    <row r="34" spans="2:76" s="28" customFormat="1" ht="6" customHeight="1">
      <c r="B34" s="316"/>
      <c r="C34" s="817"/>
      <c r="D34" s="55"/>
      <c r="E34" s="55"/>
      <c r="F34" s="55"/>
      <c r="G34" s="55"/>
      <c r="H34" s="55"/>
      <c r="I34" s="55"/>
      <c r="J34" s="55"/>
      <c r="K34" s="55"/>
      <c r="L34" s="55"/>
      <c r="M34" s="55"/>
      <c r="N34" s="55"/>
      <c r="O34" s="55"/>
      <c r="P34" s="55"/>
      <c r="Q34" s="55"/>
      <c r="R34" s="55"/>
      <c r="S34" s="55"/>
      <c r="T34" s="55"/>
      <c r="U34" s="55"/>
      <c r="V34" s="55"/>
      <c r="W34" s="313"/>
      <c r="X34" s="313"/>
      <c r="Y34" s="55"/>
      <c r="Z34" s="55"/>
      <c r="AA34" s="55"/>
      <c r="AB34" s="55"/>
      <c r="AC34" s="55"/>
      <c r="AD34" s="55"/>
      <c r="AE34" s="55"/>
      <c r="AF34" s="55"/>
      <c r="AG34" s="55"/>
      <c r="AH34" s="55"/>
      <c r="AI34" s="55"/>
      <c r="AJ34" s="55"/>
      <c r="AK34" s="120"/>
      <c r="AL34" s="120"/>
      <c r="AM34" s="55"/>
      <c r="AN34" s="55"/>
      <c r="AO34" s="55"/>
      <c r="AP34" s="55"/>
      <c r="AQ34" s="55"/>
      <c r="AR34" s="55"/>
      <c r="AS34" s="55"/>
      <c r="AT34" s="55"/>
      <c r="AU34" s="55"/>
      <c r="AV34" s="55"/>
      <c r="AW34" s="55"/>
      <c r="AX34" s="55"/>
      <c r="AY34" s="55"/>
      <c r="AZ34" s="55"/>
      <c r="BA34" s="55"/>
      <c r="BB34" s="55"/>
      <c r="BC34" s="55"/>
      <c r="BD34" s="120"/>
      <c r="BE34" s="55"/>
      <c r="BF34" s="55"/>
      <c r="BG34" s="55"/>
      <c r="BH34" s="317"/>
    </row>
    <row r="35" spans="2:76" s="28" customFormat="1" ht="17.100000000000001" customHeight="1">
      <c r="B35" s="316"/>
      <c r="C35" s="816" t="str">
        <f>X!$C$23</f>
        <v>Anlagefüllgewicht</v>
      </c>
      <c r="D35" s="55"/>
      <c r="E35" s="55"/>
      <c r="F35" s="55"/>
      <c r="G35" s="55"/>
      <c r="H35" s="55"/>
      <c r="I35" s="55"/>
      <c r="J35" s="55"/>
      <c r="K35" s="55"/>
      <c r="L35" s="55"/>
      <c r="M35" s="55"/>
      <c r="N35" s="55"/>
      <c r="O35" s="55"/>
      <c r="P35" s="55"/>
      <c r="Q35" s="55"/>
      <c r="R35" s="55" t="s">
        <v>21</v>
      </c>
      <c r="S35" s="55"/>
      <c r="T35" s="55"/>
      <c r="U35" s="55"/>
      <c r="V35" s="55"/>
      <c r="W35" s="313"/>
      <c r="X35" s="313"/>
      <c r="Y35" s="1719"/>
      <c r="Z35" s="1719"/>
      <c r="AA35" s="1719"/>
      <c r="AB35" s="1719"/>
      <c r="AC35" s="1719"/>
      <c r="AD35" s="1719"/>
      <c r="AE35" s="1719"/>
      <c r="AF35" s="1719"/>
      <c r="AG35" s="1719"/>
      <c r="AH35" s="1719"/>
      <c r="AI35" s="1720"/>
      <c r="AJ35" s="55"/>
      <c r="AK35" s="120"/>
      <c r="AL35" s="120"/>
      <c r="AM35" s="55"/>
      <c r="AN35" s="55"/>
      <c r="AO35" s="55"/>
      <c r="AP35" s="55"/>
      <c r="AQ35" s="55"/>
      <c r="AR35" s="1719"/>
      <c r="AS35" s="1719"/>
      <c r="AT35" s="1719"/>
      <c r="AU35" s="1719"/>
      <c r="AV35" s="1719"/>
      <c r="AW35" s="1719"/>
      <c r="AX35" s="1719"/>
      <c r="AY35" s="1719"/>
      <c r="AZ35" s="1719"/>
      <c r="BA35" s="1719"/>
      <c r="BB35" s="1720"/>
      <c r="BC35" s="55"/>
      <c r="BD35" s="120"/>
      <c r="BE35" s="55"/>
      <c r="BF35" s="55"/>
      <c r="BG35" s="55"/>
      <c r="BH35" s="317"/>
    </row>
    <row r="36" spans="2:76" s="28" customFormat="1" ht="6" customHeight="1">
      <c r="B36" s="316"/>
      <c r="C36" s="817"/>
      <c r="D36" s="55"/>
      <c r="E36" s="55"/>
      <c r="F36" s="55"/>
      <c r="G36" s="55"/>
      <c r="H36" s="55"/>
      <c r="I36" s="55"/>
      <c r="J36" s="55"/>
      <c r="K36" s="55"/>
      <c r="L36" s="55"/>
      <c r="M36" s="55"/>
      <c r="N36" s="55"/>
      <c r="O36" s="55"/>
      <c r="P36" s="55"/>
      <c r="Q36" s="55"/>
      <c r="R36" s="55"/>
      <c r="S36" s="55"/>
      <c r="T36" s="55"/>
      <c r="U36" s="55"/>
      <c r="V36" s="55"/>
      <c r="W36" s="313"/>
      <c r="X36" s="313"/>
      <c r="Y36" s="55"/>
      <c r="Z36" s="55"/>
      <c r="AA36" s="55"/>
      <c r="AB36" s="55"/>
      <c r="AC36" s="55"/>
      <c r="AD36" s="55"/>
      <c r="AE36" s="55"/>
      <c r="AF36" s="55"/>
      <c r="AG36" s="55"/>
      <c r="AH36" s="55"/>
      <c r="AI36" s="55"/>
      <c r="AJ36" s="55"/>
      <c r="AK36" s="120"/>
      <c r="AL36" s="120"/>
      <c r="AM36" s="55"/>
      <c r="AN36" s="55"/>
      <c r="AO36" s="55"/>
      <c r="AP36" s="55"/>
      <c r="AQ36" s="55"/>
      <c r="AR36" s="55"/>
      <c r="AS36" s="55"/>
      <c r="AT36" s="55"/>
      <c r="AU36" s="55"/>
      <c r="AV36" s="55"/>
      <c r="AW36" s="55"/>
      <c r="AX36" s="55"/>
      <c r="AY36" s="55"/>
      <c r="AZ36" s="55"/>
      <c r="BA36" s="55"/>
      <c r="BB36" s="55"/>
      <c r="BC36" s="55"/>
      <c r="BD36" s="120"/>
      <c r="BE36" s="55"/>
      <c r="BF36" s="55"/>
      <c r="BG36" s="55"/>
      <c r="BH36" s="317"/>
    </row>
    <row r="37" spans="2:76" s="28" customFormat="1" ht="6" customHeight="1">
      <c r="B37" s="316"/>
      <c r="C37" s="817"/>
      <c r="D37" s="55"/>
      <c r="E37" s="55"/>
      <c r="F37" s="55"/>
      <c r="G37" s="55"/>
      <c r="H37" s="55"/>
      <c r="I37" s="55"/>
      <c r="J37" s="55"/>
      <c r="K37" s="55"/>
      <c r="L37" s="55"/>
      <c r="M37" s="55"/>
      <c r="N37" s="55"/>
      <c r="O37" s="55"/>
      <c r="P37" s="55"/>
      <c r="Q37" s="55"/>
      <c r="R37" s="55"/>
      <c r="S37" s="55"/>
      <c r="T37" s="55"/>
      <c r="U37" s="55"/>
      <c r="V37" s="55"/>
      <c r="W37" s="313"/>
      <c r="X37" s="313"/>
      <c r="Y37" s="55"/>
      <c r="Z37" s="55"/>
      <c r="AA37" s="55"/>
      <c r="AB37" s="55"/>
      <c r="AC37" s="55"/>
      <c r="AD37" s="55"/>
      <c r="AE37" s="55"/>
      <c r="AF37" s="55"/>
      <c r="AG37" s="55"/>
      <c r="AH37" s="55"/>
      <c r="AI37" s="55"/>
      <c r="AJ37" s="55"/>
      <c r="AK37" s="120"/>
      <c r="AL37" s="120"/>
      <c r="AM37" s="55"/>
      <c r="AN37" s="55"/>
      <c r="AO37" s="55"/>
      <c r="AP37" s="55"/>
      <c r="AQ37" s="55"/>
      <c r="AR37" s="55"/>
      <c r="AS37" s="55"/>
      <c r="AT37" s="55"/>
      <c r="AU37" s="55"/>
      <c r="AV37" s="55"/>
      <c r="AW37" s="55"/>
      <c r="AX37" s="55"/>
      <c r="AY37" s="55"/>
      <c r="AZ37" s="55"/>
      <c r="BA37" s="55"/>
      <c r="BB37" s="55"/>
      <c r="BC37" s="55"/>
      <c r="BD37" s="120"/>
      <c r="BE37" s="55"/>
      <c r="BF37" s="55"/>
      <c r="BG37" s="55"/>
      <c r="BH37" s="317"/>
    </row>
    <row r="38" spans="2:76" s="28" customFormat="1" ht="17.100000000000001" customHeight="1">
      <c r="B38" s="316"/>
      <c r="C38" s="816" t="str">
        <f>X!$C$218</f>
        <v>Strom-Mix</v>
      </c>
      <c r="D38" s="55"/>
      <c r="E38" s="55"/>
      <c r="F38" s="55"/>
      <c r="G38" s="55"/>
      <c r="H38" s="55"/>
      <c r="I38" s="55"/>
      <c r="J38" s="55"/>
      <c r="K38" s="55"/>
      <c r="L38" s="55"/>
      <c r="M38" s="55"/>
      <c r="N38" s="55"/>
      <c r="O38" s="55"/>
      <c r="P38" s="55"/>
      <c r="Q38" s="55"/>
      <c r="R38" s="55" t="s">
        <v>85</v>
      </c>
      <c r="S38" s="55"/>
      <c r="T38" s="55"/>
      <c r="U38" s="55"/>
      <c r="V38" s="55"/>
      <c r="W38" s="313"/>
      <c r="X38" s="313"/>
      <c r="Y38" s="1719"/>
      <c r="Z38" s="1719"/>
      <c r="AA38" s="1719"/>
      <c r="AB38" s="1719"/>
      <c r="AC38" s="1719"/>
      <c r="AD38" s="1719"/>
      <c r="AE38" s="1719"/>
      <c r="AF38" s="1719"/>
      <c r="AG38" s="1719"/>
      <c r="AH38" s="1719"/>
      <c r="AI38" s="1720"/>
      <c r="AJ38" s="55"/>
      <c r="AK38" s="591" t="s">
        <v>292</v>
      </c>
      <c r="AL38" s="591" t="s">
        <v>292</v>
      </c>
      <c r="AM38" s="591" t="s">
        <v>292</v>
      </c>
      <c r="AN38" s="55"/>
      <c r="AO38" s="55"/>
      <c r="AP38" s="55" t="s">
        <v>25</v>
      </c>
      <c r="AQ38" s="55"/>
      <c r="AR38" s="1719"/>
      <c r="AS38" s="1719"/>
      <c r="AT38" s="1719"/>
      <c r="AU38" s="1719"/>
      <c r="AV38" s="1719"/>
      <c r="AW38" s="1719"/>
      <c r="AX38" s="1719"/>
      <c r="AY38" s="1719"/>
      <c r="AZ38" s="1719"/>
      <c r="BA38" s="1719"/>
      <c r="BB38" s="1720"/>
      <c r="BC38" s="55"/>
      <c r="BD38" s="120"/>
      <c r="BE38" s="55"/>
      <c r="BF38" s="55"/>
      <c r="BG38" s="55"/>
      <c r="BH38" s="317"/>
      <c r="BQ38" s="28">
        <f>LEN(BV38)</f>
        <v>193</v>
      </c>
      <c r="BR38" s="28">
        <f>LEN(BW38)</f>
        <v>249</v>
      </c>
      <c r="BS38" s="28">
        <f>LEN(BX38)</f>
        <v>213</v>
      </c>
      <c r="BU38" s="28" t="s">
        <v>438</v>
      </c>
      <c r="BV38" s="28" t="str">
        <f>X!E439</f>
        <v>Wählen Sie den Strom-Mix, mit dem die Kälteanlage künftig betrieben wird. Im Zweifelsfalle wählen Sie den Schweizer Verbrauchsmix. Für den Vollzug der ChemRRV gilt der Schweizer Produktionsmix.</v>
      </c>
      <c r="BW38" s="28" t="str">
        <f>X!F439</f>
        <v>Sélectionnez le bouquet électrique avec lequel l'installation frigorifique sera alimentée. En cas de doute, sélectionnez le bouquet de consommation suisse. Pour la mise en œuvre de l’ORRChim c’est le bouquet de la production Suisse qui est appliqué.</v>
      </c>
      <c r="BX38" s="28" t="str">
        <f>X!G439</f>
        <v>Scegliere il mix di elettricità con cui sarà operato in futuro l'impianto di refrigerazione. In caso di dubbi selezionare il mix elettrico svizzero. Per l’applicazione dell‘ORRPChim vale il mix elettrico svizzero.</v>
      </c>
    </row>
    <row r="39" spans="2:76" s="28" customFormat="1" ht="17.100000000000001" customHeight="1">
      <c r="B39" s="316"/>
      <c r="C39" s="816"/>
      <c r="D39" s="640"/>
      <c r="E39" s="640"/>
      <c r="F39" s="640"/>
      <c r="G39" s="640"/>
      <c r="H39" s="640"/>
      <c r="I39" s="640"/>
      <c r="J39" s="640"/>
      <c r="K39" s="640"/>
      <c r="L39" s="640"/>
      <c r="M39" s="640"/>
      <c r="N39" s="640"/>
      <c r="O39" s="640"/>
      <c r="P39" s="640"/>
      <c r="Q39" s="640"/>
      <c r="R39" s="640"/>
      <c r="S39" s="640"/>
      <c r="T39" s="640"/>
      <c r="U39" s="640"/>
      <c r="V39" s="640"/>
      <c r="W39" s="313"/>
      <c r="X39" s="313"/>
      <c r="Y39" s="682"/>
      <c r="Z39" s="682"/>
      <c r="AA39" s="682"/>
      <c r="AB39" s="682"/>
      <c r="AC39" s="682"/>
      <c r="AD39" s="682"/>
      <c r="AE39" s="682"/>
      <c r="AF39" s="682"/>
      <c r="AG39" s="682"/>
      <c r="AH39" s="682"/>
      <c r="AI39" s="682"/>
      <c r="AJ39" s="640"/>
      <c r="AK39" s="640"/>
      <c r="AL39" s="640"/>
      <c r="AM39" s="640"/>
      <c r="AN39" s="640"/>
      <c r="AO39" s="640"/>
      <c r="AP39" s="640"/>
      <c r="AQ39" s="640"/>
      <c r="AR39" s="682"/>
      <c r="AS39" s="682"/>
      <c r="AT39" s="682"/>
      <c r="AU39" s="682"/>
      <c r="AV39" s="682"/>
      <c r="AW39" s="682"/>
      <c r="AX39" s="682"/>
      <c r="AY39" s="682"/>
      <c r="AZ39" s="682"/>
      <c r="BA39" s="682"/>
      <c r="BB39" s="682"/>
      <c r="BC39" s="640"/>
      <c r="BD39" s="120"/>
      <c r="BE39" s="640"/>
      <c r="BF39" s="640"/>
      <c r="BG39" s="640"/>
      <c r="BH39" s="317"/>
    </row>
    <row r="40" spans="2:76" s="28" customFormat="1" ht="29.1" customHeight="1">
      <c r="B40" s="316"/>
      <c r="C40" s="819" t="str">
        <f>X!C301</f>
        <v>Art der CO2-Kompensation</v>
      </c>
      <c r="D40" s="640"/>
      <c r="E40" s="640"/>
      <c r="F40" s="640"/>
      <c r="G40" s="640"/>
      <c r="H40" s="640"/>
      <c r="I40" s="640"/>
      <c r="J40" s="640"/>
      <c r="K40" s="640"/>
      <c r="L40" s="640"/>
      <c r="M40" s="640"/>
      <c r="N40" s="640"/>
      <c r="O40" s="640"/>
      <c r="P40" s="640"/>
      <c r="Q40" s="640"/>
      <c r="R40" s="640"/>
      <c r="S40" s="640"/>
      <c r="T40" s="640"/>
      <c r="U40" s="640"/>
      <c r="V40" s="640"/>
      <c r="W40" s="313"/>
      <c r="X40" s="313"/>
      <c r="Y40" s="1726"/>
      <c r="Z40" s="1726"/>
      <c r="AA40" s="1726"/>
      <c r="AB40" s="1726"/>
      <c r="AC40" s="1726"/>
      <c r="AD40" s="1726"/>
      <c r="AE40" s="1726"/>
      <c r="AF40" s="1726"/>
      <c r="AG40" s="1726"/>
      <c r="AH40" s="1726"/>
      <c r="AI40" s="1727"/>
      <c r="AJ40" s="320"/>
      <c r="AK40" s="683" t="s">
        <v>292</v>
      </c>
      <c r="AL40" s="683" t="s">
        <v>292</v>
      </c>
      <c r="AM40" s="683" t="s">
        <v>292</v>
      </c>
      <c r="AN40" s="320"/>
      <c r="AO40" s="320"/>
      <c r="AP40" s="320" t="s">
        <v>25</v>
      </c>
      <c r="AQ40" s="320"/>
      <c r="AR40" s="1726"/>
      <c r="AS40" s="1726"/>
      <c r="AT40" s="1726"/>
      <c r="AU40" s="1726"/>
      <c r="AV40" s="1726"/>
      <c r="AW40" s="1726"/>
      <c r="AX40" s="1726"/>
      <c r="AY40" s="1726"/>
      <c r="AZ40" s="1726"/>
      <c r="BA40" s="1726"/>
      <c r="BB40" s="1727"/>
      <c r="BC40" s="640"/>
      <c r="BD40" s="120"/>
      <c r="BE40" s="640"/>
      <c r="BF40" s="640"/>
      <c r="BG40" s="640"/>
      <c r="BH40" s="317"/>
    </row>
    <row r="41" spans="2:76" ht="12.95" customHeight="1">
      <c r="B41" s="311"/>
      <c r="C41" s="820"/>
      <c r="D41" s="52"/>
      <c r="E41" s="52"/>
      <c r="F41" s="52"/>
      <c r="G41" s="52"/>
      <c r="H41" s="52"/>
      <c r="I41" s="52"/>
      <c r="J41" s="52"/>
      <c r="K41" s="52"/>
      <c r="L41" s="52"/>
      <c r="M41" s="52"/>
      <c r="N41" s="52"/>
      <c r="O41" s="52"/>
      <c r="P41" s="52"/>
      <c r="Q41" s="52"/>
      <c r="R41" s="52"/>
      <c r="S41" s="52"/>
      <c r="T41" s="52"/>
      <c r="U41" s="52"/>
      <c r="V41" s="52"/>
      <c r="W41" s="313"/>
      <c r="X41" s="313"/>
      <c r="Y41" s="52"/>
      <c r="Z41" s="52"/>
      <c r="AA41" s="52"/>
      <c r="AB41" s="52"/>
      <c r="AC41" s="52"/>
      <c r="AD41" s="52"/>
      <c r="AE41" s="52"/>
      <c r="AF41" s="52"/>
      <c r="AG41" s="52"/>
      <c r="AH41" s="52"/>
      <c r="AI41" s="92"/>
      <c r="AJ41" s="52"/>
      <c r="AK41" s="93"/>
      <c r="AL41" s="93"/>
      <c r="AM41" s="52"/>
      <c r="AN41" s="52"/>
      <c r="AO41" s="52"/>
      <c r="AP41" s="52"/>
      <c r="AQ41" s="52"/>
      <c r="AR41" s="52"/>
      <c r="AS41" s="52"/>
      <c r="AT41" s="52"/>
      <c r="AU41" s="52"/>
      <c r="AV41" s="52"/>
      <c r="AW41" s="52"/>
      <c r="AX41" s="52"/>
      <c r="AY41" s="52"/>
      <c r="AZ41" s="52"/>
      <c r="BA41" s="52"/>
      <c r="BB41" s="92"/>
      <c r="BC41" s="52"/>
      <c r="BD41" s="93"/>
      <c r="BE41" s="52"/>
      <c r="BF41" s="52"/>
      <c r="BG41" s="52"/>
      <c r="BH41" s="312"/>
    </row>
    <row r="42" spans="2:76" s="209" customFormat="1" ht="29.1" customHeight="1">
      <c r="B42" s="319"/>
      <c r="C42" s="819" t="str">
        <f>X!$C$26</f>
        <v>Anlagetyp</v>
      </c>
      <c r="D42" s="320"/>
      <c r="E42" s="320"/>
      <c r="F42" s="320"/>
      <c r="G42" s="320"/>
      <c r="H42" s="320"/>
      <c r="I42" s="320"/>
      <c r="J42" s="320"/>
      <c r="K42" s="320"/>
      <c r="L42" s="320"/>
      <c r="M42" s="320"/>
      <c r="N42" s="320"/>
      <c r="O42" s="320"/>
      <c r="P42" s="320"/>
      <c r="Q42" s="320"/>
      <c r="R42" s="320"/>
      <c r="S42" s="320"/>
      <c r="T42" s="320"/>
      <c r="U42" s="320"/>
      <c r="V42" s="320"/>
      <c r="W42" s="321"/>
      <c r="X42" s="321"/>
      <c r="Y42" s="1732" t="str">
        <f>IF(Z90=0,"",Z90)</f>
        <v/>
      </c>
      <c r="Z42" s="1732"/>
      <c r="AA42" s="1732"/>
      <c r="AB42" s="1732"/>
      <c r="AC42" s="1732"/>
      <c r="AD42" s="1732"/>
      <c r="AE42" s="1732"/>
      <c r="AF42" s="1732"/>
      <c r="AG42" s="1732"/>
      <c r="AH42" s="1732"/>
      <c r="AI42" s="1732"/>
      <c r="AJ42" s="320"/>
      <c r="AK42" s="320"/>
      <c r="AL42" s="320"/>
      <c r="AM42" s="320"/>
      <c r="AN42" s="320"/>
      <c r="AO42" s="320"/>
      <c r="AP42" s="320"/>
      <c r="AQ42" s="320"/>
      <c r="AR42" s="1732" t="str">
        <f>Y42</f>
        <v/>
      </c>
      <c r="AS42" s="1732"/>
      <c r="AT42" s="1732"/>
      <c r="AU42" s="1732"/>
      <c r="AV42" s="1732"/>
      <c r="AW42" s="1732"/>
      <c r="AX42" s="1732"/>
      <c r="AY42" s="1732"/>
      <c r="AZ42" s="1732"/>
      <c r="BA42" s="1732"/>
      <c r="BB42" s="1732"/>
      <c r="BC42" s="320"/>
      <c r="BD42" s="320"/>
      <c r="BE42" s="320"/>
      <c r="BF42" s="320"/>
      <c r="BG42" s="320"/>
      <c r="BH42" s="322"/>
    </row>
    <row r="43" spans="2:76" s="28" customFormat="1" ht="6" customHeight="1" outlineLevel="1">
      <c r="B43" s="316"/>
      <c r="C43" s="817"/>
      <c r="D43" s="55"/>
      <c r="E43" s="55"/>
      <c r="F43" s="55"/>
      <c r="G43" s="55"/>
      <c r="H43" s="55"/>
      <c r="I43" s="55"/>
      <c r="J43" s="55"/>
      <c r="K43" s="55"/>
      <c r="L43" s="55"/>
      <c r="M43" s="55"/>
      <c r="N43" s="55"/>
      <c r="O43" s="55"/>
      <c r="P43" s="55"/>
      <c r="Q43" s="55"/>
      <c r="R43" s="55"/>
      <c r="S43" s="55"/>
      <c r="T43" s="55"/>
      <c r="U43" s="55"/>
      <c r="V43" s="55"/>
      <c r="W43" s="313"/>
      <c r="X43" s="313"/>
      <c r="Y43" s="55"/>
      <c r="Z43" s="55"/>
      <c r="AA43" s="55"/>
      <c r="AB43" s="55"/>
      <c r="AC43" s="55"/>
      <c r="AD43" s="55"/>
      <c r="AE43" s="55"/>
      <c r="AF43" s="55"/>
      <c r="AG43" s="55"/>
      <c r="AH43" s="55"/>
      <c r="AI43" s="55"/>
      <c r="AJ43" s="55"/>
      <c r="AK43" s="120"/>
      <c r="AL43" s="120"/>
      <c r="AM43" s="55"/>
      <c r="AN43" s="55"/>
      <c r="AO43" s="55"/>
      <c r="AP43" s="55"/>
      <c r="AQ43" s="55"/>
      <c r="AR43" s="55"/>
      <c r="AS43" s="55"/>
      <c r="AT43" s="55"/>
      <c r="AU43" s="55"/>
      <c r="AV43" s="55"/>
      <c r="AW43" s="55"/>
      <c r="AX43" s="55"/>
      <c r="AY43" s="55"/>
      <c r="AZ43" s="55"/>
      <c r="BA43" s="55"/>
      <c r="BB43" s="55"/>
      <c r="BC43" s="55"/>
      <c r="BD43" s="120"/>
      <c r="BE43" s="55"/>
      <c r="BF43" s="55"/>
      <c r="BG43" s="55"/>
      <c r="BH43" s="317"/>
    </row>
    <row r="44" spans="2:76" s="28" customFormat="1" ht="17.100000000000001" customHeight="1" outlineLevel="1">
      <c r="B44" s="316"/>
      <c r="C44" s="821" t="str">
        <f>X!$C$39</f>
        <v>Bauweise</v>
      </c>
      <c r="D44" s="55"/>
      <c r="E44" s="55"/>
      <c r="F44" s="55"/>
      <c r="G44" s="55"/>
      <c r="H44" s="55"/>
      <c r="I44" s="55"/>
      <c r="J44" s="55"/>
      <c r="K44" s="55"/>
      <c r="L44" s="55"/>
      <c r="M44" s="55"/>
      <c r="N44" s="55"/>
      <c r="O44" s="55"/>
      <c r="P44" s="55"/>
      <c r="Q44" s="55"/>
      <c r="R44" s="55"/>
      <c r="S44" s="55"/>
      <c r="T44" s="55"/>
      <c r="U44" s="55"/>
      <c r="V44" s="55"/>
      <c r="W44" s="313"/>
      <c r="X44" s="313"/>
      <c r="Y44" s="1763"/>
      <c r="Z44" s="1763"/>
      <c r="AA44" s="1763"/>
      <c r="AB44" s="1763"/>
      <c r="AC44" s="1763"/>
      <c r="AD44" s="1763"/>
      <c r="AE44" s="1763"/>
      <c r="AF44" s="1763"/>
      <c r="AG44" s="1763"/>
      <c r="AH44" s="1763"/>
      <c r="AI44" s="1764"/>
      <c r="AJ44" s="55"/>
      <c r="AK44" s="683" t="s">
        <v>292</v>
      </c>
      <c r="AL44" s="683" t="s">
        <v>292</v>
      </c>
      <c r="AM44" s="683" t="s">
        <v>292</v>
      </c>
      <c r="AN44" s="55"/>
      <c r="AO44" s="55"/>
      <c r="AP44" s="55"/>
      <c r="AQ44" s="55"/>
      <c r="AR44" s="1762"/>
      <c r="AS44" s="1763"/>
      <c r="AT44" s="1763"/>
      <c r="AU44" s="1763"/>
      <c r="AV44" s="1763"/>
      <c r="AW44" s="1763"/>
      <c r="AX44" s="1763"/>
      <c r="AY44" s="1763"/>
      <c r="AZ44" s="1763"/>
      <c r="BA44" s="1763"/>
      <c r="BB44" s="1764"/>
      <c r="BC44" s="55"/>
      <c r="BD44" s="120"/>
      <c r="BE44" s="55"/>
      <c r="BF44" s="55"/>
      <c r="BG44" s="55"/>
      <c r="BH44" s="317"/>
      <c r="BQ44" s="760" t="s">
        <v>862</v>
      </c>
    </row>
    <row r="45" spans="2:76" s="28" customFormat="1" ht="6.95" customHeight="1">
      <c r="B45" s="316"/>
      <c r="C45" s="820"/>
      <c r="D45" s="55"/>
      <c r="E45" s="55"/>
      <c r="F45" s="55"/>
      <c r="G45" s="55"/>
      <c r="H45" s="55"/>
      <c r="I45" s="55"/>
      <c r="J45" s="55"/>
      <c r="K45" s="55"/>
      <c r="L45" s="55"/>
      <c r="M45" s="55"/>
      <c r="N45" s="55"/>
      <c r="O45" s="55"/>
      <c r="P45" s="55"/>
      <c r="Q45" s="55"/>
      <c r="R45" s="55"/>
      <c r="S45" s="55"/>
      <c r="T45" s="55"/>
      <c r="U45" s="55"/>
      <c r="V45" s="55"/>
      <c r="W45" s="313"/>
      <c r="X45" s="313"/>
      <c r="Y45" s="323"/>
      <c r="Z45" s="323"/>
      <c r="AA45" s="323"/>
      <c r="AB45" s="323"/>
      <c r="AC45" s="323"/>
      <c r="AD45" s="323"/>
      <c r="AE45" s="323"/>
      <c r="AF45" s="323"/>
      <c r="AG45" s="323"/>
      <c r="AH45" s="323"/>
      <c r="AI45" s="323"/>
      <c r="AJ45" s="55"/>
      <c r="AK45" s="120"/>
      <c r="AL45" s="120"/>
      <c r="AM45" s="55"/>
      <c r="AN45" s="55"/>
      <c r="AO45" s="55"/>
      <c r="AP45" s="55"/>
      <c r="AQ45" s="55"/>
      <c r="AR45" s="323"/>
      <c r="AS45" s="323"/>
      <c r="AT45" s="323"/>
      <c r="AU45" s="323"/>
      <c r="AV45" s="323"/>
      <c r="AW45" s="323"/>
      <c r="AX45" s="323"/>
      <c r="AY45" s="323"/>
      <c r="AZ45" s="323"/>
      <c r="BA45" s="323"/>
      <c r="BB45" s="323"/>
      <c r="BC45" s="55"/>
      <c r="BD45" s="120"/>
      <c r="BE45" s="55"/>
      <c r="BF45" s="55"/>
      <c r="BG45" s="55"/>
      <c r="BH45" s="317"/>
    </row>
    <row r="46" spans="2:76" s="28" customFormat="1" ht="17.100000000000001" customHeight="1">
      <c r="B46" s="316"/>
      <c r="C46" s="816" t="str">
        <f>X!$C$94</f>
        <v>Elektrizitätsverbrauch Kälteanlage</v>
      </c>
      <c r="D46" s="55"/>
      <c r="E46" s="55"/>
      <c r="F46" s="55"/>
      <c r="G46" s="55"/>
      <c r="H46" s="55"/>
      <c r="I46" s="55"/>
      <c r="J46" s="55"/>
      <c r="K46" s="55"/>
      <c r="L46" s="55"/>
      <c r="M46" s="55"/>
      <c r="N46" s="55"/>
      <c r="O46" s="55"/>
      <c r="P46" s="55"/>
      <c r="Q46" s="55"/>
      <c r="R46" s="55" t="s">
        <v>22</v>
      </c>
      <c r="S46" s="55"/>
      <c r="T46" s="55"/>
      <c r="U46" s="55"/>
      <c r="V46" s="55"/>
      <c r="W46" s="313"/>
      <c r="X46" s="313"/>
      <c r="Y46" s="55"/>
      <c r="Z46" s="1742">
        <f>'1 System specification'!S158</f>
        <v>0</v>
      </c>
      <c r="AA46" s="1742"/>
      <c r="AB46" s="1742"/>
      <c r="AC46" s="1742"/>
      <c r="AD46" s="1742"/>
      <c r="AE46" s="1742"/>
      <c r="AF46" s="1742"/>
      <c r="AG46" s="1742"/>
      <c r="AH46" s="1742"/>
      <c r="AI46" s="1742"/>
      <c r="AJ46" s="55"/>
      <c r="AK46" s="55"/>
      <c r="AL46" s="55"/>
      <c r="AM46" s="55"/>
      <c r="AN46" s="55"/>
      <c r="AO46" s="55"/>
      <c r="AP46" s="55"/>
      <c r="AQ46" s="55"/>
      <c r="AR46" s="55"/>
      <c r="AS46" s="1742">
        <f>'1 System specification'!BJ158</f>
        <v>0</v>
      </c>
      <c r="AT46" s="1742"/>
      <c r="AU46" s="1742"/>
      <c r="AV46" s="1742"/>
      <c r="AW46" s="1742"/>
      <c r="AX46" s="1742"/>
      <c r="AY46" s="1742"/>
      <c r="AZ46" s="1742"/>
      <c r="BA46" s="1742"/>
      <c r="BB46" s="1742"/>
      <c r="BC46" s="55"/>
      <c r="BD46" s="120"/>
      <c r="BE46" s="55"/>
      <c r="BF46" s="55"/>
      <c r="BG46" s="55"/>
      <c r="BH46" s="317"/>
    </row>
    <row r="47" spans="2:76" s="28" customFormat="1" ht="17.100000000000001" customHeight="1">
      <c r="B47" s="316"/>
      <c r="C47" s="817"/>
      <c r="D47" s="566" t="str">
        <f>X!$C$49</f>
        <v>Berechnungsbasis</v>
      </c>
      <c r="E47" s="55"/>
      <c r="F47" s="55"/>
      <c r="G47" s="55"/>
      <c r="H47" s="55"/>
      <c r="I47" s="55"/>
      <c r="J47" s="55"/>
      <c r="K47" s="55"/>
      <c r="L47" s="55"/>
      <c r="M47" s="55"/>
      <c r="N47" s="55"/>
      <c r="O47" s="55"/>
      <c r="P47" s="55"/>
      <c r="Q47" s="55"/>
      <c r="R47" s="55"/>
      <c r="S47" s="55"/>
      <c r="T47" s="55"/>
      <c r="U47" s="55"/>
      <c r="V47" s="55"/>
      <c r="W47" s="313"/>
      <c r="X47" s="313"/>
      <c r="Y47" s="55"/>
      <c r="Z47" s="1742" t="str">
        <f>'1 System specification'!Y158</f>
        <v>manuelle Eingabe</v>
      </c>
      <c r="AA47" s="1742"/>
      <c r="AB47" s="1742"/>
      <c r="AC47" s="1742"/>
      <c r="AD47" s="1742"/>
      <c r="AE47" s="1742"/>
      <c r="AF47" s="1742"/>
      <c r="AG47" s="1742"/>
      <c r="AH47" s="1742"/>
      <c r="AI47" s="1742"/>
      <c r="AJ47" s="55"/>
      <c r="AK47" s="55"/>
      <c r="AL47" s="55"/>
      <c r="AM47" s="55"/>
      <c r="AN47" s="55"/>
      <c r="AO47" s="55"/>
      <c r="AP47" s="55"/>
      <c r="AQ47" s="55"/>
      <c r="AR47" s="55"/>
      <c r="AS47" s="1742" t="str">
        <f>'1 System specification'!BP158</f>
        <v>manuelle Eingabe</v>
      </c>
      <c r="AT47" s="1742"/>
      <c r="AU47" s="1742"/>
      <c r="AV47" s="1742"/>
      <c r="AW47" s="1742"/>
      <c r="AX47" s="1742"/>
      <c r="AY47" s="1742"/>
      <c r="AZ47" s="1742"/>
      <c r="BA47" s="1742"/>
      <c r="BB47" s="1742"/>
      <c r="BC47" s="55"/>
      <c r="BD47" s="120"/>
      <c r="BE47" s="55"/>
      <c r="BF47" s="55"/>
      <c r="BG47" s="55"/>
      <c r="BH47" s="317"/>
    </row>
    <row r="48" spans="2:76" ht="12" customHeight="1">
      <c r="B48" s="311"/>
      <c r="C48" s="820"/>
      <c r="D48" s="52"/>
      <c r="E48" s="52"/>
      <c r="F48" s="52"/>
      <c r="G48" s="52"/>
      <c r="H48" s="52"/>
      <c r="I48" s="52"/>
      <c r="J48" s="52"/>
      <c r="K48" s="52"/>
      <c r="L48" s="52"/>
      <c r="M48" s="52"/>
      <c r="N48" s="52"/>
      <c r="O48" s="52"/>
      <c r="P48" s="52"/>
      <c r="Q48" s="52"/>
      <c r="R48" s="52"/>
      <c r="S48" s="52"/>
      <c r="T48" s="52"/>
      <c r="U48" s="52"/>
      <c r="V48" s="52"/>
      <c r="W48" s="313"/>
      <c r="X48" s="313"/>
      <c r="Y48" s="52"/>
      <c r="Z48" s="52"/>
      <c r="AA48" s="52"/>
      <c r="AB48" s="52"/>
      <c r="AC48" s="52"/>
      <c r="AD48" s="52"/>
      <c r="AE48" s="52"/>
      <c r="AF48" s="52"/>
      <c r="AG48" s="52"/>
      <c r="AH48" s="52"/>
      <c r="AI48" s="765"/>
      <c r="AJ48" s="52"/>
      <c r="AK48" s="93"/>
      <c r="AL48" s="93"/>
      <c r="AM48" s="52"/>
      <c r="AN48" s="52"/>
      <c r="AO48" s="52"/>
      <c r="AP48" s="52"/>
      <c r="AQ48" s="52"/>
      <c r="AR48" s="52"/>
      <c r="AS48" s="52"/>
      <c r="AT48" s="52"/>
      <c r="AU48" s="52"/>
      <c r="AV48" s="52"/>
      <c r="AW48" s="52"/>
      <c r="AX48" s="52"/>
      <c r="AY48" s="52"/>
      <c r="AZ48" s="52"/>
      <c r="BA48" s="52"/>
      <c r="BB48" s="765"/>
      <c r="BC48" s="52"/>
      <c r="BD48" s="93"/>
      <c r="BE48" s="52"/>
      <c r="BF48" s="52"/>
      <c r="BG48" s="52"/>
      <c r="BH48" s="312"/>
    </row>
    <row r="49" spans="2:69" s="156" customFormat="1" ht="17.100000000000001" customHeight="1">
      <c r="B49" s="330"/>
      <c r="C49" s="1061" t="str">
        <f>X!C359</f>
        <v>Die Wärme der Kältemaschine ersetzt Wärme aus einer...</v>
      </c>
      <c r="Y49" s="331"/>
      <c r="Z49" s="313"/>
      <c r="AA49" s="313"/>
      <c r="AB49" s="313"/>
      <c r="AC49" s="313"/>
      <c r="AD49" s="313"/>
      <c r="AE49" s="313"/>
      <c r="AF49" s="313"/>
      <c r="AG49" s="313"/>
      <c r="AH49" s="313"/>
      <c r="AI49" s="313"/>
      <c r="AJ49" s="313"/>
      <c r="AK49" s="313"/>
      <c r="AL49" s="313"/>
      <c r="AM49" s="313"/>
      <c r="AN49" s="313"/>
      <c r="AO49" s="313"/>
      <c r="AP49" s="313"/>
      <c r="AQ49" s="313"/>
      <c r="AR49" s="313"/>
      <c r="AS49" s="313"/>
      <c r="AT49" s="313"/>
      <c r="AU49" s="313"/>
      <c r="AV49" s="313"/>
      <c r="AW49" s="313"/>
      <c r="AX49" s="313"/>
      <c r="AY49" s="313"/>
      <c r="AZ49" s="313"/>
      <c r="BA49" s="313"/>
      <c r="BB49" s="313"/>
      <c r="BC49" s="313"/>
      <c r="BD49" s="313"/>
      <c r="BE49" s="313"/>
      <c r="BF49" s="313"/>
      <c r="BG49" s="313"/>
      <c r="BH49" s="332"/>
    </row>
    <row r="50" spans="2:69" s="28" customFormat="1" ht="6.95" customHeight="1">
      <c r="B50" s="316"/>
      <c r="C50" s="790"/>
      <c r="D50" s="640"/>
      <c r="E50" s="640"/>
      <c r="F50" s="640"/>
      <c r="G50" s="640"/>
      <c r="H50" s="640"/>
      <c r="I50" s="640"/>
      <c r="J50" s="640"/>
      <c r="K50" s="640"/>
      <c r="L50" s="640"/>
      <c r="M50" s="640"/>
      <c r="N50" s="640"/>
      <c r="O50" s="640"/>
      <c r="P50" s="640"/>
      <c r="Q50" s="640"/>
      <c r="R50" s="640"/>
      <c r="S50" s="640"/>
      <c r="T50" s="640"/>
      <c r="U50" s="640"/>
      <c r="V50" s="640"/>
      <c r="W50" s="313"/>
      <c r="X50" s="313"/>
      <c r="Y50" s="812"/>
      <c r="Z50" s="812"/>
      <c r="AA50" s="812"/>
      <c r="AB50" s="812"/>
      <c r="AC50" s="812"/>
      <c r="AD50" s="812"/>
      <c r="AE50" s="812"/>
      <c r="AF50" s="812"/>
      <c r="AG50" s="812"/>
      <c r="AH50" s="812"/>
      <c r="AI50" s="812"/>
      <c r="AJ50" s="640"/>
      <c r="AK50" s="120"/>
      <c r="AL50" s="12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317"/>
    </row>
    <row r="51" spans="2:69" s="209" customFormat="1" ht="18" customHeight="1">
      <c r="B51" s="319"/>
      <c r="C51" s="813"/>
      <c r="D51" s="1765"/>
      <c r="E51" s="1765"/>
      <c r="F51" s="1765"/>
      <c r="G51" s="1765"/>
      <c r="H51" s="1765"/>
      <c r="I51" s="1765"/>
      <c r="J51" s="1765"/>
      <c r="K51" s="1765"/>
      <c r="L51" s="1765"/>
      <c r="M51" s="1765"/>
      <c r="N51" s="1765"/>
      <c r="O51" s="1765"/>
      <c r="P51" s="1765"/>
      <c r="Q51" s="1765"/>
      <c r="R51" s="1765"/>
      <c r="S51" s="1765"/>
      <c r="T51" s="1765"/>
      <c r="U51" s="1765"/>
      <c r="V51" s="1765"/>
      <c r="W51" s="1766"/>
      <c r="X51" s="814"/>
      <c r="Y51" s="812"/>
      <c r="Z51" s="812"/>
      <c r="AA51" s="812"/>
      <c r="AB51" s="812"/>
      <c r="AC51" s="812"/>
      <c r="AD51" s="812"/>
      <c r="AE51" s="812"/>
      <c r="AF51" s="812"/>
      <c r="AG51" s="812"/>
      <c r="AH51" s="812"/>
      <c r="AI51" s="812"/>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2"/>
      <c r="BQ51" s="772"/>
    </row>
    <row r="52" spans="2:69" ht="17.100000000000001" customHeight="1">
      <c r="B52" s="815"/>
      <c r="C52" s="490"/>
      <c r="D52" s="325"/>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325"/>
      <c r="AG52" s="325"/>
      <c r="AH52" s="325"/>
      <c r="AI52" s="326"/>
      <c r="AJ52" s="325"/>
      <c r="AK52" s="327"/>
      <c r="AL52" s="327"/>
      <c r="AM52" s="325"/>
      <c r="AN52" s="325"/>
      <c r="AO52" s="325"/>
      <c r="AP52" s="325"/>
      <c r="AQ52" s="325"/>
      <c r="AR52" s="325"/>
      <c r="AS52" s="325"/>
      <c r="AT52" s="325"/>
      <c r="AU52" s="325"/>
      <c r="AV52" s="325"/>
      <c r="AW52" s="325"/>
      <c r="AX52" s="325"/>
      <c r="AY52" s="325"/>
      <c r="AZ52" s="325"/>
      <c r="BA52" s="325"/>
      <c r="BB52" s="326"/>
      <c r="BC52" s="325"/>
      <c r="BD52" s="327"/>
      <c r="BE52" s="325"/>
      <c r="BF52" s="325"/>
      <c r="BG52" s="325"/>
      <c r="BH52" s="328"/>
    </row>
    <row r="53" spans="2:69" ht="17.100000000000001" customHeight="1">
      <c r="B53" s="52"/>
      <c r="C53" s="790"/>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785"/>
      <c r="AJ53" s="52"/>
      <c r="AK53" s="93"/>
      <c r="AL53" s="93"/>
      <c r="AM53" s="52"/>
      <c r="AN53" s="52"/>
      <c r="AO53" s="52"/>
      <c r="AP53" s="52"/>
      <c r="AQ53" s="52"/>
      <c r="AR53" s="52"/>
      <c r="AS53" s="52"/>
      <c r="AT53" s="52"/>
      <c r="AU53" s="52"/>
      <c r="AV53" s="52"/>
      <c r="AW53" s="52"/>
      <c r="AX53" s="52"/>
      <c r="AY53" s="52"/>
      <c r="AZ53" s="52"/>
      <c r="BA53" s="52"/>
      <c r="BB53" s="785"/>
      <c r="BC53" s="52"/>
      <c r="BD53" s="93"/>
      <c r="BE53" s="52"/>
      <c r="BF53" s="52"/>
      <c r="BG53" s="52"/>
      <c r="BH53" s="52"/>
    </row>
    <row r="54" spans="2:69" ht="17.100000000000001" customHeight="1">
      <c r="AP54" s="52"/>
      <c r="AQ54" s="52"/>
    </row>
    <row r="55" spans="2:69" ht="17.100000000000001" customHeight="1">
      <c r="B55" s="306"/>
      <c r="C55" s="485"/>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8"/>
      <c r="AJ55" s="307"/>
      <c r="AK55" s="309"/>
      <c r="AL55" s="309"/>
      <c r="AM55" s="307"/>
      <c r="AN55" s="307"/>
      <c r="AO55" s="307"/>
      <c r="AP55" s="307"/>
      <c r="AQ55" s="307"/>
      <c r="AR55" s="307"/>
      <c r="AS55" s="307"/>
      <c r="AT55" s="307"/>
      <c r="AU55" s="307"/>
      <c r="AV55" s="307"/>
      <c r="AW55" s="307"/>
      <c r="AX55" s="307"/>
      <c r="AY55" s="307"/>
      <c r="AZ55" s="307"/>
      <c r="BA55" s="307"/>
      <c r="BB55" s="308"/>
      <c r="BC55" s="307"/>
      <c r="BD55" s="309"/>
      <c r="BE55" s="307"/>
      <c r="BF55" s="307"/>
      <c r="BG55" s="307"/>
      <c r="BH55" s="310"/>
    </row>
    <row r="56" spans="2:69" s="116" customFormat="1" ht="21" customHeight="1">
      <c r="B56" s="107"/>
      <c r="C56" s="486">
        <v>2</v>
      </c>
      <c r="D56" s="546" t="str">
        <f>X!$C$106</f>
        <v xml:space="preserve">Ergebnisse TEWI-Berechnung </v>
      </c>
      <c r="E56" s="109"/>
      <c r="F56" s="109"/>
      <c r="G56" s="110"/>
      <c r="H56" s="110"/>
      <c r="I56" s="111"/>
      <c r="J56" s="111"/>
      <c r="K56" s="111"/>
      <c r="L56" s="111"/>
      <c r="M56" s="111"/>
      <c r="N56" s="111"/>
      <c r="O56" s="111"/>
      <c r="P56" s="111"/>
      <c r="Q56" s="111"/>
      <c r="R56" s="111"/>
      <c r="S56" s="109"/>
      <c r="T56" s="109"/>
      <c r="U56" s="110"/>
      <c r="V56" s="110"/>
      <c r="W56" s="110"/>
      <c r="X56" s="110"/>
      <c r="Y56" s="373"/>
      <c r="Z56" s="110"/>
      <c r="AA56" s="110"/>
      <c r="AB56" s="110"/>
      <c r="AC56" s="110"/>
      <c r="AD56" s="110"/>
      <c r="AE56" s="110"/>
      <c r="AF56" s="110"/>
      <c r="AG56" s="110"/>
      <c r="AH56" s="110"/>
      <c r="AI56" s="110"/>
      <c r="AJ56" s="110"/>
      <c r="AK56" s="110"/>
      <c r="AL56" s="110"/>
      <c r="AM56" s="111"/>
      <c r="AN56" s="1767" t="str">
        <f>X!$C$15</f>
        <v>(alle kg CO2 Werte sind kg CO2 äquivalent)</v>
      </c>
      <c r="AO56" s="1767"/>
      <c r="AP56" s="1767"/>
      <c r="AQ56" s="1767"/>
      <c r="AR56" s="1767"/>
      <c r="AS56" s="1767"/>
      <c r="AT56" s="1767"/>
      <c r="AU56" s="1767"/>
      <c r="AV56" s="1767"/>
      <c r="AW56" s="1767"/>
      <c r="AX56" s="1767"/>
      <c r="AY56" s="1767"/>
      <c r="AZ56" s="1767"/>
      <c r="BA56" s="1767"/>
      <c r="BB56" s="1767"/>
      <c r="BC56" s="1767"/>
      <c r="BD56" s="1767"/>
      <c r="BE56" s="1767"/>
      <c r="BF56" s="1767"/>
      <c r="BG56" s="1767"/>
      <c r="BH56" s="312"/>
      <c r="BI56" s="31"/>
      <c r="BJ56" s="31"/>
    </row>
    <row r="57" spans="2:69" ht="17.100000000000001" customHeight="1">
      <c r="B57" s="311"/>
      <c r="C57" s="477"/>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92"/>
      <c r="AJ57" s="52"/>
      <c r="AK57" s="93"/>
      <c r="AL57" s="93"/>
      <c r="AM57" s="52"/>
      <c r="AN57" s="52"/>
      <c r="AO57" s="52"/>
      <c r="AP57" s="52"/>
      <c r="AQ57" s="52"/>
      <c r="AR57" s="52"/>
      <c r="AS57" s="52"/>
      <c r="AT57" s="52"/>
      <c r="AU57" s="52"/>
      <c r="AV57" s="52"/>
      <c r="AW57" s="52"/>
      <c r="AX57" s="52"/>
      <c r="AY57" s="52"/>
      <c r="AZ57" s="52"/>
      <c r="BA57" s="52"/>
      <c r="BB57" s="92"/>
      <c r="BC57" s="52"/>
      <c r="BD57" s="93"/>
      <c r="BE57" s="52"/>
      <c r="BF57" s="52"/>
      <c r="BG57" s="52"/>
      <c r="BH57" s="312"/>
    </row>
    <row r="58" spans="2:69" ht="21" customHeight="1">
      <c r="B58" s="311"/>
      <c r="C58" s="488"/>
      <c r="D58" s="313"/>
      <c r="E58" s="313"/>
      <c r="F58" s="313"/>
      <c r="G58" s="313"/>
      <c r="H58" s="313"/>
      <c r="I58" s="313"/>
      <c r="J58" s="313"/>
      <c r="K58" s="313"/>
      <c r="L58" s="313"/>
      <c r="M58" s="313"/>
      <c r="N58" s="313"/>
      <c r="O58" s="313"/>
      <c r="P58" s="313"/>
      <c r="Q58" s="313"/>
      <c r="R58" s="313"/>
      <c r="S58" s="313"/>
      <c r="T58" s="313"/>
      <c r="U58" s="313"/>
      <c r="V58" s="313"/>
      <c r="W58" s="313"/>
      <c r="X58" s="313"/>
      <c r="Y58" s="314" t="str">
        <f>Y24</f>
        <v>Variante A</v>
      </c>
      <c r="Z58" s="49"/>
      <c r="AA58" s="49"/>
      <c r="AB58" s="49"/>
      <c r="AC58" s="49"/>
      <c r="AD58" s="49"/>
      <c r="AE58" s="49"/>
      <c r="AF58" s="49"/>
      <c r="AG58" s="49"/>
      <c r="AH58" s="49"/>
      <c r="AI58" s="49"/>
      <c r="AJ58" s="49"/>
      <c r="AK58" s="49"/>
      <c r="AL58" s="49"/>
      <c r="AM58" s="49"/>
      <c r="AN58" s="49"/>
      <c r="AO58" s="313"/>
      <c r="AP58" s="313"/>
      <c r="AQ58" s="313"/>
      <c r="AR58" s="314" t="str">
        <f>AR24</f>
        <v/>
      </c>
      <c r="AS58" s="49"/>
      <c r="AT58" s="49"/>
      <c r="AU58" s="49"/>
      <c r="AV58" s="49"/>
      <c r="AW58" s="49"/>
      <c r="AX58" s="49"/>
      <c r="AY58" s="49"/>
      <c r="AZ58" s="49"/>
      <c r="BA58" s="49"/>
      <c r="BB58" s="49"/>
      <c r="BC58" s="59"/>
      <c r="BD58" s="315"/>
      <c r="BE58" s="59"/>
      <c r="BF58" s="59"/>
      <c r="BG58" s="59"/>
      <c r="BH58" s="312"/>
    </row>
    <row r="59" spans="2:69" ht="21" customHeight="1">
      <c r="B59" s="311"/>
      <c r="C59" s="488"/>
      <c r="D59" s="313"/>
      <c r="E59" s="313"/>
      <c r="F59" s="313"/>
      <c r="G59" s="313"/>
      <c r="H59" s="313"/>
      <c r="I59" s="313"/>
      <c r="J59" s="313"/>
      <c r="K59" s="313"/>
      <c r="L59" s="313"/>
      <c r="M59" s="313"/>
      <c r="N59" s="313"/>
      <c r="O59" s="313"/>
      <c r="P59" s="313"/>
      <c r="Q59" s="313"/>
      <c r="R59" s="313"/>
      <c r="S59" s="313"/>
      <c r="T59" s="313"/>
      <c r="U59" s="313"/>
      <c r="V59" s="313"/>
      <c r="W59" s="313"/>
      <c r="X59" s="313"/>
      <c r="Y59" s="1138" t="str">
        <f>Y25</f>
        <v/>
      </c>
      <c r="Z59" s="313"/>
      <c r="AA59" s="313"/>
      <c r="AB59" s="313"/>
      <c r="AC59" s="313"/>
      <c r="AD59" s="313"/>
      <c r="AE59" s="313"/>
      <c r="AF59" s="313"/>
      <c r="AG59" s="313"/>
      <c r="AH59" s="313"/>
      <c r="AI59" s="313"/>
      <c r="AJ59" s="313"/>
      <c r="AK59" s="313"/>
      <c r="AL59" s="313"/>
      <c r="AM59" s="313"/>
      <c r="AN59" s="313"/>
      <c r="AO59" s="313"/>
      <c r="AP59" s="313"/>
      <c r="AQ59" s="313"/>
      <c r="AR59" s="1138" t="str">
        <f>AR25</f>
        <v/>
      </c>
      <c r="AS59" s="313"/>
      <c r="AT59" s="313"/>
      <c r="AU59" s="313"/>
      <c r="AV59" s="313"/>
      <c r="AW59" s="313"/>
      <c r="AX59" s="313"/>
      <c r="AY59" s="313"/>
      <c r="AZ59" s="313"/>
      <c r="BA59" s="313"/>
      <c r="BB59" s="313"/>
      <c r="BC59" s="52"/>
      <c r="BD59" s="93"/>
      <c r="BE59" s="52"/>
      <c r="BF59" s="52"/>
      <c r="BG59" s="52"/>
      <c r="BH59" s="312"/>
    </row>
    <row r="60" spans="2:69" s="156" customFormat="1" ht="17.100000000000001" customHeight="1">
      <c r="B60" s="330"/>
      <c r="C60" s="481">
        <v>2.1</v>
      </c>
      <c r="D60" s="567" t="str">
        <f>X!$C$72</f>
        <v>CO2-Emissionen während der Lebensdauer</v>
      </c>
      <c r="Y60" s="331"/>
      <c r="Z60" s="313"/>
      <c r="AA60" s="313"/>
      <c r="AB60" s="313"/>
      <c r="AC60" s="313"/>
      <c r="AD60" s="313"/>
      <c r="AE60" s="313"/>
      <c r="AF60" s="313"/>
      <c r="AG60" s="313"/>
      <c r="AH60" s="313"/>
      <c r="AI60" s="313"/>
      <c r="AJ60" s="313"/>
      <c r="AK60" s="313"/>
      <c r="AL60" s="313"/>
      <c r="AM60" s="313"/>
      <c r="AN60" s="313"/>
      <c r="AO60" s="313"/>
      <c r="AP60" s="313"/>
      <c r="AQ60" s="313"/>
      <c r="AR60" s="331"/>
      <c r="AS60" s="313"/>
      <c r="AT60" s="313"/>
      <c r="AU60" s="313"/>
      <c r="AV60" s="313"/>
      <c r="AW60" s="313"/>
      <c r="AX60" s="313"/>
      <c r="AY60" s="313"/>
      <c r="AZ60" s="313"/>
      <c r="BA60" s="313"/>
      <c r="BB60" s="313"/>
      <c r="BC60" s="313"/>
      <c r="BD60" s="313"/>
      <c r="BE60" s="313"/>
      <c r="BF60" s="313"/>
      <c r="BG60" s="313"/>
      <c r="BH60" s="332"/>
    </row>
    <row r="61" spans="2:69" s="28" customFormat="1" ht="6" customHeight="1">
      <c r="B61" s="316"/>
      <c r="C61" s="363"/>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120"/>
      <c r="AL61" s="120"/>
      <c r="AM61" s="55"/>
      <c r="AN61" s="55"/>
      <c r="AO61" s="55"/>
      <c r="AP61" s="156"/>
      <c r="AQ61" s="156"/>
      <c r="AR61" s="156"/>
      <c r="AS61" s="55"/>
      <c r="AT61" s="55"/>
      <c r="AU61" s="55"/>
      <c r="AV61" s="55"/>
      <c r="AW61" s="55"/>
      <c r="AX61" s="55"/>
      <c r="AY61" s="55"/>
      <c r="AZ61" s="55"/>
      <c r="BA61" s="55"/>
      <c r="BB61" s="55"/>
      <c r="BC61" s="55"/>
      <c r="BD61" s="120"/>
      <c r="BE61" s="55"/>
      <c r="BF61" s="55"/>
      <c r="BG61" s="55"/>
      <c r="BH61" s="317"/>
    </row>
    <row r="62" spans="2:69" s="28" customFormat="1" ht="17.100000000000001" customHeight="1">
      <c r="B62" s="316"/>
      <c r="C62" s="489"/>
      <c r="D62" s="231" t="str">
        <f>C103</f>
        <v>CO2 Emissionen durch Kältemittel-Verluste</v>
      </c>
      <c r="E62" s="231"/>
      <c r="F62" s="231"/>
      <c r="G62" s="231"/>
      <c r="H62" s="231"/>
      <c r="I62" s="231"/>
      <c r="J62" s="231"/>
      <c r="K62" s="231"/>
      <c r="L62" s="231"/>
      <c r="M62" s="231"/>
      <c r="N62" s="231"/>
      <c r="O62" s="231"/>
      <c r="P62" s="231"/>
      <c r="Q62" s="231"/>
      <c r="R62" s="231" t="s">
        <v>265</v>
      </c>
      <c r="S62" s="231"/>
      <c r="T62" s="231"/>
      <c r="U62" s="231"/>
      <c r="V62" s="231"/>
      <c r="W62" s="231"/>
      <c r="X62" s="55"/>
      <c r="Y62" s="231"/>
      <c r="Z62" s="1724">
        <f>Z103</f>
        <v>0</v>
      </c>
      <c r="AA62" s="1724"/>
      <c r="AB62" s="1724"/>
      <c r="AC62" s="1724"/>
      <c r="AD62" s="1724"/>
      <c r="AE62" s="1724"/>
      <c r="AF62" s="1724"/>
      <c r="AG62" s="1724"/>
      <c r="AH62" s="1724"/>
      <c r="AI62" s="1724"/>
      <c r="AJ62" s="55"/>
      <c r="AK62" s="1730">
        <f>IF(Z$65=0,0,Z62/Z$65)</f>
        <v>0</v>
      </c>
      <c r="AL62" s="1730"/>
      <c r="AM62" s="1730"/>
      <c r="AN62" s="1730"/>
      <c r="AO62" s="333"/>
      <c r="AP62" s="156"/>
      <c r="AQ62" s="156"/>
      <c r="AR62" s="334"/>
      <c r="AS62" s="1724">
        <f>AS103</f>
        <v>0</v>
      </c>
      <c r="AT62" s="1724"/>
      <c r="AU62" s="1724"/>
      <c r="AV62" s="1724"/>
      <c r="AW62" s="1724"/>
      <c r="AX62" s="1724"/>
      <c r="AY62" s="1724"/>
      <c r="AZ62" s="1724"/>
      <c r="BA62" s="1724"/>
      <c r="BB62" s="1724"/>
      <c r="BC62" s="55"/>
      <c r="BD62" s="1730">
        <f>IF(AS$65=0,0,AS62/AS$65)</f>
        <v>0</v>
      </c>
      <c r="BE62" s="1730"/>
      <c r="BF62" s="1730"/>
      <c r="BG62" s="1730"/>
      <c r="BH62" s="317"/>
    </row>
    <row r="63" spans="2:69" s="28" customFormat="1" ht="17.100000000000001" customHeight="1">
      <c r="B63" s="316"/>
      <c r="C63" s="489"/>
      <c r="D63" s="231" t="str">
        <f>C110</f>
        <v>CO2-Emissionen Rückgewinnungsverluste</v>
      </c>
      <c r="E63" s="231"/>
      <c r="F63" s="231"/>
      <c r="G63" s="231"/>
      <c r="H63" s="231"/>
      <c r="I63" s="231"/>
      <c r="J63" s="231"/>
      <c r="K63" s="231"/>
      <c r="L63" s="231"/>
      <c r="M63" s="231"/>
      <c r="N63" s="231"/>
      <c r="O63" s="231"/>
      <c r="P63" s="231"/>
      <c r="Q63" s="231"/>
      <c r="R63" s="231" t="s">
        <v>265</v>
      </c>
      <c r="S63" s="231"/>
      <c r="T63" s="231"/>
      <c r="U63" s="231"/>
      <c r="V63" s="231"/>
      <c r="W63" s="231"/>
      <c r="X63" s="55"/>
      <c r="Y63" s="231"/>
      <c r="Z63" s="1724">
        <f>Z110</f>
        <v>0</v>
      </c>
      <c r="AA63" s="1724"/>
      <c r="AB63" s="1724"/>
      <c r="AC63" s="1724"/>
      <c r="AD63" s="1724"/>
      <c r="AE63" s="1724"/>
      <c r="AF63" s="1724"/>
      <c r="AG63" s="1724"/>
      <c r="AH63" s="1724"/>
      <c r="AI63" s="1724"/>
      <c r="AJ63" s="55"/>
      <c r="AK63" s="1730">
        <f t="shared" ref="AK63:AK64" si="0">IF(Z$65=0,0,Z63/Z$65)</f>
        <v>0</v>
      </c>
      <c r="AL63" s="1730"/>
      <c r="AM63" s="1730"/>
      <c r="AN63" s="1730"/>
      <c r="AO63" s="333"/>
      <c r="AP63" s="156"/>
      <c r="AQ63" s="156"/>
      <c r="AR63" s="334"/>
      <c r="AS63" s="1757">
        <f>AS110</f>
        <v>0</v>
      </c>
      <c r="AT63" s="1757"/>
      <c r="AU63" s="1757"/>
      <c r="AV63" s="1757"/>
      <c r="AW63" s="1757"/>
      <c r="AX63" s="1757"/>
      <c r="AY63" s="1757"/>
      <c r="AZ63" s="1757"/>
      <c r="BA63" s="1757"/>
      <c r="BB63" s="1757"/>
      <c r="BC63" s="55"/>
      <c r="BD63" s="1730">
        <f t="shared" ref="BD63:BD64" si="1">IF(AS$65=0,0,AS63/AS$65)</f>
        <v>0</v>
      </c>
      <c r="BE63" s="1730"/>
      <c r="BF63" s="1730"/>
      <c r="BG63" s="1730"/>
      <c r="BH63" s="317"/>
    </row>
    <row r="64" spans="2:69" s="28" customFormat="1" ht="17.100000000000001" customHeight="1">
      <c r="B64" s="316"/>
      <c r="C64" s="489"/>
      <c r="D64" s="231" t="str">
        <f>C119</f>
        <v>CO2-Emissionen Elektrizitätsverbrauch</v>
      </c>
      <c r="E64" s="231"/>
      <c r="F64" s="231"/>
      <c r="G64" s="231"/>
      <c r="H64" s="231"/>
      <c r="I64" s="231"/>
      <c r="J64" s="231"/>
      <c r="K64" s="231"/>
      <c r="L64" s="231"/>
      <c r="M64" s="231"/>
      <c r="N64" s="231"/>
      <c r="O64" s="231"/>
      <c r="P64" s="231"/>
      <c r="Q64" s="231"/>
      <c r="R64" s="231" t="s">
        <v>265</v>
      </c>
      <c r="S64" s="231"/>
      <c r="T64" s="231"/>
      <c r="U64" s="231"/>
      <c r="V64" s="231"/>
      <c r="W64" s="231"/>
      <c r="X64" s="55"/>
      <c r="Y64" s="231"/>
      <c r="Z64" s="1724">
        <f>Z119</f>
        <v>0</v>
      </c>
      <c r="AA64" s="1724"/>
      <c r="AB64" s="1724"/>
      <c r="AC64" s="1724"/>
      <c r="AD64" s="1724"/>
      <c r="AE64" s="1724"/>
      <c r="AF64" s="1724"/>
      <c r="AG64" s="1724"/>
      <c r="AH64" s="1724"/>
      <c r="AI64" s="1724"/>
      <c r="AJ64" s="55"/>
      <c r="AK64" s="1730">
        <f t="shared" si="0"/>
        <v>0</v>
      </c>
      <c r="AL64" s="1730"/>
      <c r="AM64" s="1730"/>
      <c r="AN64" s="1730"/>
      <c r="AO64" s="333"/>
      <c r="AP64" s="156"/>
      <c r="AQ64" s="156"/>
      <c r="AR64" s="334"/>
      <c r="AS64" s="1724">
        <f>AS119</f>
        <v>0</v>
      </c>
      <c r="AT64" s="1724"/>
      <c r="AU64" s="1724"/>
      <c r="AV64" s="1724"/>
      <c r="AW64" s="1724"/>
      <c r="AX64" s="1724"/>
      <c r="AY64" s="1724"/>
      <c r="AZ64" s="1724"/>
      <c r="BA64" s="1724"/>
      <c r="BB64" s="1724"/>
      <c r="BC64" s="55"/>
      <c r="BD64" s="1730">
        <f t="shared" si="1"/>
        <v>0</v>
      </c>
      <c r="BE64" s="1730"/>
      <c r="BF64" s="1730"/>
      <c r="BG64" s="1730"/>
      <c r="BH64" s="317"/>
    </row>
    <row r="65" spans="2:60" s="799" customFormat="1" ht="17.100000000000001" customHeight="1">
      <c r="B65" s="1158"/>
      <c r="C65" s="859"/>
      <c r="D65" s="1222" t="str">
        <f>X!C393</f>
        <v>CO2-Emissionen Kälteanlage</v>
      </c>
      <c r="E65" s="1159"/>
      <c r="F65" s="1159"/>
      <c r="G65" s="1159"/>
      <c r="H65" s="1159"/>
      <c r="I65" s="1159"/>
      <c r="J65" s="1159"/>
      <c r="K65" s="1159"/>
      <c r="L65" s="1159"/>
      <c r="M65" s="1159"/>
      <c r="N65" s="1159"/>
      <c r="O65" s="1159"/>
      <c r="P65" s="1159"/>
      <c r="Q65" s="1159"/>
      <c r="R65" s="1159" t="s">
        <v>265</v>
      </c>
      <c r="S65" s="1159"/>
      <c r="T65" s="1159"/>
      <c r="U65" s="1159"/>
      <c r="V65" s="1159"/>
      <c r="W65" s="1159"/>
      <c r="X65" s="801"/>
      <c r="Y65" s="1159"/>
      <c r="Z65" s="1491">
        <f>SUM(Z59:AI64)</f>
        <v>0</v>
      </c>
      <c r="AA65" s="1491"/>
      <c r="AB65" s="1491"/>
      <c r="AC65" s="1491"/>
      <c r="AD65" s="1491"/>
      <c r="AE65" s="1491"/>
      <c r="AF65" s="1491"/>
      <c r="AG65" s="1491"/>
      <c r="AH65" s="1491"/>
      <c r="AI65" s="1491"/>
      <c r="AJ65" s="801"/>
      <c r="AK65" s="1723">
        <f>IF(Z$65=0,0,Z65/Z$65)</f>
        <v>0</v>
      </c>
      <c r="AL65" s="1723"/>
      <c r="AM65" s="1723"/>
      <c r="AN65" s="1723"/>
      <c r="AO65" s="335"/>
      <c r="AP65" s="801"/>
      <c r="AQ65" s="801"/>
      <c r="AR65" s="1160"/>
      <c r="AS65" s="1491">
        <f>SUM(AS59:BB64)</f>
        <v>0</v>
      </c>
      <c r="AT65" s="1491"/>
      <c r="AU65" s="1491"/>
      <c r="AV65" s="1491"/>
      <c r="AW65" s="1491"/>
      <c r="AX65" s="1491"/>
      <c r="AY65" s="1491"/>
      <c r="AZ65" s="1491"/>
      <c r="BA65" s="1491"/>
      <c r="BB65" s="1491"/>
      <c r="BC65" s="801"/>
      <c r="BD65" s="1723">
        <f>IF(AS$65=0,0,AS65/AS$65)</f>
        <v>0</v>
      </c>
      <c r="BE65" s="1723"/>
      <c r="BF65" s="1723"/>
      <c r="BG65" s="1723"/>
      <c r="BH65" s="1161"/>
    </row>
    <row r="66" spans="2:60" s="28" customFormat="1" ht="12.95" customHeight="1">
      <c r="B66" s="316"/>
      <c r="C66" s="1077"/>
      <c r="D66" s="231"/>
      <c r="E66" s="231"/>
      <c r="F66" s="231"/>
      <c r="G66" s="231"/>
      <c r="H66" s="231"/>
      <c r="I66" s="231"/>
      <c r="J66" s="231"/>
      <c r="K66" s="231"/>
      <c r="L66" s="231"/>
      <c r="M66" s="231"/>
      <c r="N66" s="231"/>
      <c r="O66" s="231"/>
      <c r="P66" s="231"/>
      <c r="Q66" s="231"/>
      <c r="R66" s="231"/>
      <c r="S66" s="231"/>
      <c r="T66" s="231"/>
      <c r="U66" s="231"/>
      <c r="V66" s="231"/>
      <c r="W66" s="231"/>
      <c r="X66" s="640"/>
      <c r="Y66" s="231"/>
      <c r="Z66" s="1080"/>
      <c r="AA66" s="1080"/>
      <c r="AB66" s="1080"/>
      <c r="AC66" s="1080"/>
      <c r="AD66" s="1080"/>
      <c r="AE66" s="1080"/>
      <c r="AF66" s="1080"/>
      <c r="AG66" s="1080"/>
      <c r="AH66" s="1080"/>
      <c r="AI66" s="1080"/>
      <c r="AJ66" s="640"/>
      <c r="AK66" s="333"/>
      <c r="AL66" s="333"/>
      <c r="AM66" s="333"/>
      <c r="AN66" s="333"/>
      <c r="AO66" s="333"/>
      <c r="AP66" s="156"/>
      <c r="AQ66" s="156"/>
      <c r="AR66" s="334"/>
      <c r="AS66" s="1080"/>
      <c r="AT66" s="1080"/>
      <c r="AU66" s="1080"/>
      <c r="AV66" s="1080"/>
      <c r="AW66" s="1080"/>
      <c r="AX66" s="1080"/>
      <c r="AY66" s="1080"/>
      <c r="AZ66" s="1080"/>
      <c r="BA66" s="1080"/>
      <c r="BB66" s="1080"/>
      <c r="BC66" s="640"/>
      <c r="BD66" s="333"/>
      <c r="BE66" s="333"/>
      <c r="BF66" s="333"/>
      <c r="BG66" s="333"/>
      <c r="BH66" s="317"/>
    </row>
    <row r="67" spans="2:60" s="28" customFormat="1" ht="17.100000000000001" customHeight="1">
      <c r="B67" s="316"/>
      <c r="C67" s="489"/>
      <c r="D67" s="1062" t="str">
        <f>C128</f>
        <v>Reduktion durch Wärmenutzung</v>
      </c>
      <c r="E67" s="231"/>
      <c r="F67" s="231"/>
      <c r="G67" s="231"/>
      <c r="H67" s="231"/>
      <c r="I67" s="231"/>
      <c r="J67" s="231"/>
      <c r="K67" s="231"/>
      <c r="L67" s="231"/>
      <c r="M67" s="231"/>
      <c r="N67" s="231"/>
      <c r="O67" s="231"/>
      <c r="P67" s="231"/>
      <c r="Q67" s="231"/>
      <c r="R67" s="231" t="s">
        <v>265</v>
      </c>
      <c r="S67" s="231"/>
      <c r="T67" s="231"/>
      <c r="U67" s="231"/>
      <c r="V67" s="231"/>
      <c r="W67" s="231"/>
      <c r="X67" s="640"/>
      <c r="Y67" s="231"/>
      <c r="Z67" s="1724">
        <f>IF(Z64=0,0,-Z128)</f>
        <v>0</v>
      </c>
      <c r="AA67" s="1724"/>
      <c r="AB67" s="1724"/>
      <c r="AC67" s="1724"/>
      <c r="AD67" s="1724"/>
      <c r="AE67" s="1724"/>
      <c r="AF67" s="1724"/>
      <c r="AG67" s="1724"/>
      <c r="AH67" s="1724"/>
      <c r="AI67" s="1724"/>
      <c r="AJ67" s="640"/>
      <c r="AK67" s="335"/>
      <c r="AL67" s="335"/>
      <c r="AM67" s="335"/>
      <c r="AN67" s="335"/>
      <c r="AO67" s="333"/>
      <c r="AP67" s="156"/>
      <c r="AQ67" s="156"/>
      <c r="AR67" s="334"/>
      <c r="AS67" s="1724">
        <f>IF(AS64=0,0,-AS128)</f>
        <v>0</v>
      </c>
      <c r="AT67" s="1724"/>
      <c r="AU67" s="1724"/>
      <c r="AV67" s="1724"/>
      <c r="AW67" s="1724"/>
      <c r="AX67" s="1724"/>
      <c r="AY67" s="1724"/>
      <c r="AZ67" s="1724"/>
      <c r="BA67" s="1724"/>
      <c r="BB67" s="1724"/>
      <c r="BC67" s="640"/>
      <c r="BD67" s="1162"/>
      <c r="BE67" s="1162"/>
      <c r="BF67" s="1162"/>
      <c r="BG67" s="1162"/>
      <c r="BH67" s="317"/>
    </row>
    <row r="68" spans="2:60" s="28" customFormat="1" ht="17.100000000000001" hidden="1" customHeight="1" outlineLevel="1">
      <c r="B68" s="316"/>
      <c r="C68" s="1077"/>
      <c r="D68" s="1077"/>
      <c r="E68" s="231" t="s">
        <v>31</v>
      </c>
      <c r="F68" s="231"/>
      <c r="G68" s="231"/>
      <c r="H68" s="231"/>
      <c r="I68" s="231"/>
      <c r="J68" s="231"/>
      <c r="K68" s="231"/>
      <c r="L68" s="231"/>
      <c r="M68" s="231"/>
      <c r="N68" s="231"/>
      <c r="O68" s="231"/>
      <c r="P68" s="231"/>
      <c r="Q68" s="231"/>
      <c r="R68" s="231"/>
      <c r="S68" s="231"/>
      <c r="T68" s="231"/>
      <c r="U68" s="231"/>
      <c r="V68" s="231"/>
      <c r="W68" s="231"/>
      <c r="X68" s="231"/>
      <c r="Y68" s="231"/>
      <c r="Z68" s="1724">
        <f>INT(Z65+Z67)</f>
        <v>0</v>
      </c>
      <c r="AA68" s="1724"/>
      <c r="AB68" s="1724"/>
      <c r="AC68" s="1724"/>
      <c r="AD68" s="1724"/>
      <c r="AE68" s="1724"/>
      <c r="AF68" s="1724"/>
      <c r="AG68" s="1724"/>
      <c r="AH68" s="1724"/>
      <c r="AI68" s="1724">
        <v>352800</v>
      </c>
      <c r="AJ68" s="640"/>
      <c r="AK68" s="640"/>
      <c r="AL68" s="640"/>
      <c r="AM68" s="640"/>
      <c r="AN68" s="640"/>
      <c r="AO68" s="640"/>
      <c r="AP68" s="640"/>
      <c r="AQ68" s="640"/>
      <c r="AR68" s="231"/>
      <c r="AS68" s="1724">
        <f>INT(AS65+AS67)</f>
        <v>0</v>
      </c>
      <c r="AT68" s="1724"/>
      <c r="AU68" s="1724"/>
      <c r="AV68" s="1724"/>
      <c r="AW68" s="1724"/>
      <c r="AX68" s="1724"/>
      <c r="AY68" s="1724"/>
      <c r="AZ68" s="1724"/>
      <c r="BA68" s="1724"/>
      <c r="BB68" s="1724">
        <v>352800</v>
      </c>
      <c r="BC68" s="640"/>
      <c r="BD68" s="640"/>
      <c r="BE68" s="640"/>
      <c r="BF68" s="640"/>
      <c r="BG68" s="640"/>
      <c r="BH68" s="317"/>
    </row>
    <row r="69" spans="2:60" s="28" customFormat="1" ht="17.100000000000001" hidden="1" customHeight="1" outlineLevel="1">
      <c r="B69" s="316"/>
      <c r="C69" s="1077"/>
      <c r="D69" s="1077"/>
      <c r="E69" s="231" t="s">
        <v>32</v>
      </c>
      <c r="F69" s="231"/>
      <c r="G69" s="231"/>
      <c r="H69" s="231"/>
      <c r="I69" s="231"/>
      <c r="J69" s="231"/>
      <c r="K69" s="231"/>
      <c r="L69" s="231"/>
      <c r="M69" s="231"/>
      <c r="N69" s="231"/>
      <c r="O69" s="231"/>
      <c r="P69" s="231"/>
      <c r="Q69" s="231"/>
      <c r="R69" s="231"/>
      <c r="S69" s="231"/>
      <c r="T69" s="231"/>
      <c r="U69" s="231"/>
      <c r="V69" s="231"/>
      <c r="W69" s="231"/>
      <c r="X69" s="231"/>
      <c r="Y69" s="231"/>
      <c r="Z69" s="1725">
        <f>IF(LEN(Z68)&lt;3,0,IF(LEN(Z68)=3,-1,IF(LEN(Z68)=4,-2,-3)))</f>
        <v>0</v>
      </c>
      <c r="AA69" s="1725"/>
      <c r="AB69" s="1725"/>
      <c r="AC69" s="1725"/>
      <c r="AD69" s="1725"/>
      <c r="AE69" s="1725"/>
      <c r="AF69" s="1725"/>
      <c r="AG69" s="1725"/>
      <c r="AH69" s="1725"/>
      <c r="AI69" s="1725">
        <v>-3</v>
      </c>
      <c r="AJ69" s="640"/>
      <c r="AK69" s="640"/>
      <c r="AL69" s="640"/>
      <c r="AM69" s="640"/>
      <c r="AN69" s="640"/>
      <c r="AO69" s="640"/>
      <c r="AP69" s="640"/>
      <c r="AQ69" s="640"/>
      <c r="AR69" s="231"/>
      <c r="AS69" s="1725">
        <f>IF(LEN(AS68)&lt;3,0,IF(LEN(AS68)=3,-1,IF(LEN(AS68)=4,-2,-3)))</f>
        <v>0</v>
      </c>
      <c r="AT69" s="1725"/>
      <c r="AU69" s="1725"/>
      <c r="AV69" s="1725"/>
      <c r="AW69" s="1725"/>
      <c r="AX69" s="1725"/>
      <c r="AY69" s="1725"/>
      <c r="AZ69" s="1725"/>
      <c r="BA69" s="1725"/>
      <c r="BB69" s="1725">
        <v>-3</v>
      </c>
      <c r="BC69" s="640"/>
      <c r="BD69" s="640"/>
      <c r="BE69" s="640"/>
      <c r="BF69" s="640"/>
      <c r="BG69" s="640"/>
      <c r="BH69" s="317"/>
    </row>
    <row r="70" spans="2:60" s="155" customFormat="1" ht="17.100000000000001" customHeight="1" collapsed="1">
      <c r="B70" s="330"/>
      <c r="C70" s="1077"/>
      <c r="D70" s="568" t="str">
        <f>X!$C$233</f>
        <v>Total CO2-Emissionen</v>
      </c>
      <c r="E70" s="196"/>
      <c r="F70" s="196"/>
      <c r="G70" s="196"/>
      <c r="H70" s="196"/>
      <c r="I70" s="196"/>
      <c r="J70" s="196"/>
      <c r="K70" s="196"/>
      <c r="L70" s="196"/>
      <c r="M70" s="196"/>
      <c r="N70" s="196"/>
      <c r="O70" s="196"/>
      <c r="P70" s="196"/>
      <c r="Q70" s="196"/>
      <c r="R70" s="196" t="s">
        <v>278</v>
      </c>
      <c r="S70" s="196"/>
      <c r="T70" s="196"/>
      <c r="U70" s="196"/>
      <c r="V70" s="196"/>
      <c r="W70" s="196"/>
      <c r="X70" s="156"/>
      <c r="Y70" s="196"/>
      <c r="Z70" s="1731">
        <f>ROUND(Z68,Z69)</f>
        <v>0</v>
      </c>
      <c r="AA70" s="1731"/>
      <c r="AB70" s="1731"/>
      <c r="AC70" s="1731"/>
      <c r="AD70" s="1731"/>
      <c r="AE70" s="1731"/>
      <c r="AF70" s="1731"/>
      <c r="AG70" s="1731"/>
      <c r="AH70" s="1731"/>
      <c r="AI70" s="1731"/>
      <c r="AJ70" s="156"/>
      <c r="AK70" s="1163" t="str">
        <f>X!C386</f>
        <v>gerundet</v>
      </c>
      <c r="AL70" s="335"/>
      <c r="AM70" s="335"/>
      <c r="AN70" s="335"/>
      <c r="AO70" s="335"/>
      <c r="AP70" s="156"/>
      <c r="AQ70" s="156"/>
      <c r="AR70" s="334"/>
      <c r="AS70" s="1731">
        <f>ROUND(AS68,AS69)</f>
        <v>0</v>
      </c>
      <c r="AT70" s="1731"/>
      <c r="AU70" s="1731"/>
      <c r="AV70" s="1731"/>
      <c r="AW70" s="1731"/>
      <c r="AX70" s="1731"/>
      <c r="AY70" s="1731"/>
      <c r="AZ70" s="1731"/>
      <c r="BA70" s="1731"/>
      <c r="BB70" s="1731"/>
      <c r="BC70" s="156"/>
      <c r="BD70" s="1164" t="str">
        <f>AK70</f>
        <v>gerundet</v>
      </c>
      <c r="BE70" s="1162"/>
      <c r="BF70" s="1162"/>
      <c r="BG70" s="1162"/>
      <c r="BH70" s="332"/>
    </row>
    <row r="71" spans="2:60" s="28" customFormat="1" ht="18.95" customHeight="1">
      <c r="B71" s="316"/>
      <c r="C71" s="363"/>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120"/>
      <c r="AL71" s="120"/>
      <c r="AM71" s="55"/>
      <c r="AN71" s="55"/>
      <c r="AO71" s="55"/>
      <c r="AP71" s="156"/>
      <c r="AQ71" s="156"/>
      <c r="AR71" s="156"/>
      <c r="AS71" s="55"/>
      <c r="AT71" s="55"/>
      <c r="AU71" s="55"/>
      <c r="AV71" s="55"/>
      <c r="AW71" s="55"/>
      <c r="AX71" s="55"/>
      <c r="AY71" s="55"/>
      <c r="AZ71" s="55"/>
      <c r="BA71" s="55"/>
      <c r="BB71" s="55"/>
      <c r="BC71" s="55"/>
      <c r="BD71" s="120"/>
      <c r="BE71" s="55"/>
      <c r="BF71" s="55"/>
      <c r="BG71" s="55"/>
      <c r="BH71" s="317"/>
    </row>
    <row r="72" spans="2:60" s="155" customFormat="1" ht="17.100000000000001" customHeight="1">
      <c r="B72" s="330"/>
      <c r="C72" s="481">
        <v>2.1</v>
      </c>
      <c r="D72" s="567" t="str">
        <f>X!$C$70</f>
        <v>CO2-Emissionen pro Jahr</v>
      </c>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336"/>
      <c r="AL72" s="336"/>
      <c r="AM72" s="156"/>
      <c r="AN72" s="156"/>
      <c r="AO72" s="156"/>
      <c r="AP72" s="156"/>
      <c r="AQ72" s="156"/>
      <c r="AR72" s="156"/>
      <c r="AS72" s="156"/>
      <c r="AT72" s="156"/>
      <c r="AU72" s="156"/>
      <c r="AV72" s="156"/>
      <c r="AW72" s="156"/>
      <c r="AX72" s="156"/>
      <c r="AY72" s="156"/>
      <c r="AZ72" s="156"/>
      <c r="BA72" s="156"/>
      <c r="BB72" s="156"/>
      <c r="BC72" s="156"/>
      <c r="BD72" s="336"/>
      <c r="BE72" s="156"/>
      <c r="BF72" s="156"/>
      <c r="BG72" s="156"/>
      <c r="BH72" s="332"/>
    </row>
    <row r="73" spans="2:60" s="28" customFormat="1" ht="6" customHeight="1">
      <c r="B73" s="316"/>
      <c r="C73" s="363"/>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336"/>
      <c r="AL73" s="336"/>
      <c r="AM73" s="156"/>
      <c r="AN73" s="156"/>
      <c r="AO73" s="156"/>
      <c r="AP73" s="156"/>
      <c r="AQ73" s="156"/>
      <c r="AR73" s="156"/>
      <c r="AS73" s="55"/>
      <c r="AT73" s="55"/>
      <c r="AU73" s="55"/>
      <c r="AV73" s="55"/>
      <c r="AW73" s="55"/>
      <c r="AX73" s="55"/>
      <c r="AY73" s="55"/>
      <c r="AZ73" s="55"/>
      <c r="BA73" s="55"/>
      <c r="BB73" s="55"/>
      <c r="BC73" s="55"/>
      <c r="BD73" s="120"/>
      <c r="BE73" s="55"/>
      <c r="BF73" s="55"/>
      <c r="BG73" s="55"/>
      <c r="BH73" s="317"/>
    </row>
    <row r="74" spans="2:60" s="28" customFormat="1" ht="17.100000000000001" customHeight="1">
      <c r="B74" s="316"/>
      <c r="C74" s="363"/>
      <c r="D74" s="231" t="str">
        <f>C91</f>
        <v>Nutzungsdauer</v>
      </c>
      <c r="E74" s="231"/>
      <c r="F74" s="231"/>
      <c r="G74" s="231"/>
      <c r="H74" s="231"/>
      <c r="I74" s="231"/>
      <c r="J74" s="231"/>
      <c r="K74" s="231"/>
      <c r="L74" s="231"/>
      <c r="M74" s="231"/>
      <c r="N74" s="231"/>
      <c r="O74" s="231"/>
      <c r="P74" s="231"/>
      <c r="Q74" s="231"/>
      <c r="R74" s="231" t="str">
        <f>R91</f>
        <v>Jahre</v>
      </c>
      <c r="S74" s="231"/>
      <c r="T74" s="231"/>
      <c r="U74" s="231"/>
      <c r="V74" s="231"/>
      <c r="W74" s="231"/>
      <c r="X74" s="55"/>
      <c r="Y74" s="231"/>
      <c r="Z74" s="1724">
        <f>Z91</f>
        <v>0</v>
      </c>
      <c r="AA74" s="1724"/>
      <c r="AB74" s="1724"/>
      <c r="AC74" s="1724"/>
      <c r="AD74" s="1724"/>
      <c r="AE74" s="1724"/>
      <c r="AF74" s="1724"/>
      <c r="AG74" s="1724"/>
      <c r="AH74" s="1724"/>
      <c r="AI74" s="1724">
        <v>352800</v>
      </c>
      <c r="AJ74" s="55"/>
      <c r="AK74" s="336"/>
      <c r="AL74" s="336"/>
      <c r="AM74" s="156"/>
      <c r="AN74" s="156"/>
      <c r="AO74" s="156"/>
      <c r="AP74" s="156"/>
      <c r="AQ74" s="156"/>
      <c r="AR74" s="334"/>
      <c r="AS74" s="1724">
        <f>AS91</f>
        <v>0</v>
      </c>
      <c r="AT74" s="1724"/>
      <c r="AU74" s="1724"/>
      <c r="AV74" s="1724"/>
      <c r="AW74" s="1724"/>
      <c r="AX74" s="1724"/>
      <c r="AY74" s="1724"/>
      <c r="AZ74" s="1724"/>
      <c r="BA74" s="1724"/>
      <c r="BB74" s="1724">
        <v>352800</v>
      </c>
      <c r="BC74" s="55"/>
      <c r="BD74" s="120"/>
      <c r="BE74" s="640"/>
      <c r="BF74" s="640"/>
      <c r="BG74" s="640"/>
      <c r="BH74" s="317"/>
    </row>
    <row r="75" spans="2:60" s="28" customFormat="1" ht="17.100000000000001" hidden="1" customHeight="1" outlineLevel="1">
      <c r="B75" s="316"/>
      <c r="C75" s="363"/>
      <c r="D75" s="231" t="s">
        <v>103</v>
      </c>
      <c r="E75" s="231"/>
      <c r="F75" s="231"/>
      <c r="G75" s="231"/>
      <c r="H75" s="231"/>
      <c r="I75" s="231"/>
      <c r="J75" s="231"/>
      <c r="K75" s="231"/>
      <c r="L75" s="231"/>
      <c r="M75" s="231"/>
      <c r="N75" s="231"/>
      <c r="O75" s="231"/>
      <c r="P75" s="231"/>
      <c r="Q75" s="231"/>
      <c r="R75" s="231"/>
      <c r="S75" s="231"/>
      <c r="T75" s="231"/>
      <c r="U75" s="231"/>
      <c r="V75" s="231"/>
      <c r="W75" s="231"/>
      <c r="X75" s="55"/>
      <c r="Y75" s="231"/>
      <c r="Z75" s="1724">
        <f>IF(Z91=0,0,INT(Z70/Z91))</f>
        <v>0</v>
      </c>
      <c r="AA75" s="1724"/>
      <c r="AB75" s="1724"/>
      <c r="AC75" s="1724"/>
      <c r="AD75" s="1724"/>
      <c r="AE75" s="1724"/>
      <c r="AF75" s="1724"/>
      <c r="AG75" s="1724"/>
      <c r="AH75" s="1724"/>
      <c r="AI75" s="1724">
        <v>352800</v>
      </c>
      <c r="AJ75" s="55"/>
      <c r="AK75" s="336"/>
      <c r="AL75" s="336"/>
      <c r="AM75" s="156"/>
      <c r="AN75" s="156"/>
      <c r="AO75" s="156"/>
      <c r="AP75" s="156"/>
      <c r="AQ75" s="156"/>
      <c r="AR75" s="156"/>
      <c r="AS75" s="1724">
        <f>IF(AS91=0,0,INT(AS70/AS91))</f>
        <v>0</v>
      </c>
      <c r="AT75" s="1724"/>
      <c r="AU75" s="1724"/>
      <c r="AV75" s="1724"/>
      <c r="AW75" s="1724"/>
      <c r="AX75" s="1724"/>
      <c r="AY75" s="1724"/>
      <c r="AZ75" s="1724"/>
      <c r="BA75" s="1724"/>
      <c r="BB75" s="1724">
        <v>352800</v>
      </c>
      <c r="BC75" s="55"/>
      <c r="BD75" s="120"/>
      <c r="BE75" s="640"/>
      <c r="BF75" s="640"/>
      <c r="BG75" s="640"/>
      <c r="BH75" s="317"/>
    </row>
    <row r="76" spans="2:60" s="28" customFormat="1" ht="17.100000000000001" hidden="1" customHeight="1" outlineLevel="1">
      <c r="B76" s="316"/>
      <c r="C76" s="363"/>
      <c r="D76" s="231" t="s">
        <v>32</v>
      </c>
      <c r="E76" s="231"/>
      <c r="F76" s="231"/>
      <c r="G76" s="231"/>
      <c r="H76" s="231"/>
      <c r="I76" s="231"/>
      <c r="J76" s="231"/>
      <c r="K76" s="231"/>
      <c r="L76" s="231"/>
      <c r="M76" s="231"/>
      <c r="N76" s="231"/>
      <c r="O76" s="231"/>
      <c r="P76" s="231"/>
      <c r="Q76" s="231"/>
      <c r="R76" s="231"/>
      <c r="S76" s="231"/>
      <c r="T76" s="231"/>
      <c r="U76" s="231"/>
      <c r="V76" s="231"/>
      <c r="W76" s="231"/>
      <c r="X76" s="55"/>
      <c r="Y76" s="231"/>
      <c r="Z76" s="1725">
        <f>IF(LEN(Z75)&lt;3,0,IF(LEN(Z75)=3,-1,IF(LEN(Z75)=4,-2,-3)))</f>
        <v>0</v>
      </c>
      <c r="AA76" s="1725"/>
      <c r="AB76" s="1725"/>
      <c r="AC76" s="1725"/>
      <c r="AD76" s="1725"/>
      <c r="AE76" s="1725"/>
      <c r="AF76" s="1725"/>
      <c r="AG76" s="1725"/>
      <c r="AH76" s="1725"/>
      <c r="AI76" s="1725">
        <v>-3</v>
      </c>
      <c r="AJ76" s="55"/>
      <c r="AK76" s="336"/>
      <c r="AL76" s="336"/>
      <c r="AM76" s="156"/>
      <c r="AN76" s="156"/>
      <c r="AO76" s="156"/>
      <c r="AP76" s="156"/>
      <c r="AQ76" s="156"/>
      <c r="AR76" s="156"/>
      <c r="AS76" s="1725">
        <f>IF(LEN(AS75)&lt;3,0,IF(LEN(AS75)=3,-1,IF(LEN(AS75)=4,-2,-3)))</f>
        <v>0</v>
      </c>
      <c r="AT76" s="1725"/>
      <c r="AU76" s="1725"/>
      <c r="AV76" s="1725"/>
      <c r="AW76" s="1725"/>
      <c r="AX76" s="1725"/>
      <c r="AY76" s="1725"/>
      <c r="AZ76" s="1725"/>
      <c r="BA76" s="1725"/>
      <c r="BB76" s="1725">
        <v>-3</v>
      </c>
      <c r="BC76" s="55"/>
      <c r="BD76" s="120"/>
      <c r="BE76" s="640"/>
      <c r="BF76" s="640"/>
      <c r="BG76" s="640"/>
      <c r="BH76" s="317"/>
    </row>
    <row r="77" spans="2:60" s="28" customFormat="1" ht="17.100000000000001" customHeight="1" collapsed="1">
      <c r="B77" s="316"/>
      <c r="C77" s="363"/>
      <c r="D77" s="569" t="str">
        <f>X!$C$70</f>
        <v>CO2-Emissionen pro Jahr</v>
      </c>
      <c r="E77" s="231"/>
      <c r="F77" s="231"/>
      <c r="G77" s="231"/>
      <c r="H77" s="231"/>
      <c r="I77" s="231"/>
      <c r="J77" s="231"/>
      <c r="K77" s="231"/>
      <c r="L77" s="231"/>
      <c r="M77" s="231"/>
      <c r="N77" s="231"/>
      <c r="O77" s="231"/>
      <c r="P77" s="231"/>
      <c r="Q77" s="231"/>
      <c r="R77" s="231" t="s">
        <v>265</v>
      </c>
      <c r="S77" s="231"/>
      <c r="T77" s="231"/>
      <c r="U77" s="231"/>
      <c r="V77" s="231"/>
      <c r="W77" s="231"/>
      <c r="X77" s="55"/>
      <c r="Y77" s="231"/>
      <c r="Z77" s="1724">
        <f>ROUND(Z75,Z76)</f>
        <v>0</v>
      </c>
      <c r="AA77" s="1724"/>
      <c r="AB77" s="1724"/>
      <c r="AC77" s="1724"/>
      <c r="AD77" s="1724"/>
      <c r="AE77" s="1724"/>
      <c r="AF77" s="1724"/>
      <c r="AG77" s="1724"/>
      <c r="AH77" s="1724"/>
      <c r="AI77" s="1724">
        <v>353000</v>
      </c>
      <c r="AJ77" s="55"/>
      <c r="AK77" s="336"/>
      <c r="AL77" s="336"/>
      <c r="AM77" s="156"/>
      <c r="AN77" s="156"/>
      <c r="AO77" s="156"/>
      <c r="AP77" s="156"/>
      <c r="AQ77" s="156"/>
      <c r="AR77" s="334"/>
      <c r="AS77" s="1724">
        <f>ROUND(AS75,AS76)</f>
        <v>0</v>
      </c>
      <c r="AT77" s="1724"/>
      <c r="AU77" s="1724"/>
      <c r="AV77" s="1724"/>
      <c r="AW77" s="1724"/>
      <c r="AX77" s="1724"/>
      <c r="AY77" s="1724"/>
      <c r="AZ77" s="1724"/>
      <c r="BA77" s="1724"/>
      <c r="BB77" s="1724">
        <v>353000</v>
      </c>
      <c r="BC77" s="55"/>
      <c r="BD77" s="120"/>
      <c r="BE77" s="640"/>
      <c r="BF77" s="640"/>
      <c r="BG77" s="640"/>
      <c r="BH77" s="317"/>
    </row>
    <row r="78" spans="2:60" s="28" customFormat="1" ht="17.100000000000001" customHeight="1">
      <c r="B78" s="337"/>
      <c r="C78" s="493"/>
      <c r="D78" s="338"/>
      <c r="E78" s="338"/>
      <c r="F78" s="338"/>
      <c r="G78" s="338"/>
      <c r="H78" s="338"/>
      <c r="I78" s="338"/>
      <c r="J78" s="338"/>
      <c r="K78" s="338"/>
      <c r="L78" s="338"/>
      <c r="M78" s="338"/>
      <c r="N78" s="338"/>
      <c r="O78" s="338"/>
      <c r="P78" s="338"/>
      <c r="Q78" s="338"/>
      <c r="R78" s="338"/>
      <c r="S78" s="338"/>
      <c r="T78" s="338"/>
      <c r="U78" s="338"/>
      <c r="V78" s="338"/>
      <c r="W78" s="338"/>
      <c r="X78" s="338"/>
      <c r="Y78" s="338"/>
      <c r="Z78" s="339"/>
      <c r="AA78" s="339"/>
      <c r="AB78" s="339"/>
      <c r="AC78" s="339"/>
      <c r="AD78" s="339"/>
      <c r="AE78" s="339"/>
      <c r="AF78" s="339"/>
      <c r="AG78" s="340"/>
      <c r="AH78" s="340"/>
      <c r="AI78" s="340"/>
      <c r="AJ78" s="341"/>
      <c r="AK78" s="342"/>
      <c r="AL78" s="342"/>
      <c r="AM78" s="338"/>
      <c r="AN78" s="341"/>
      <c r="AO78" s="341"/>
      <c r="AP78" s="338"/>
      <c r="AQ78" s="338"/>
      <c r="AR78" s="341"/>
      <c r="AS78" s="339"/>
      <c r="AT78" s="339"/>
      <c r="AU78" s="339"/>
      <c r="AV78" s="339"/>
      <c r="AW78" s="339"/>
      <c r="AX78" s="339"/>
      <c r="AY78" s="339"/>
      <c r="AZ78" s="340"/>
      <c r="BA78" s="340"/>
      <c r="BB78" s="340"/>
      <c r="BC78" s="341"/>
      <c r="BD78" s="342"/>
      <c r="BE78" s="338"/>
      <c r="BF78" s="341"/>
      <c r="BG78" s="341"/>
      <c r="BH78" s="343"/>
    </row>
    <row r="79" spans="2:60" s="28" customFormat="1" ht="17.100000000000001" customHeight="1">
      <c r="B79" s="55"/>
      <c r="C79" s="494"/>
      <c r="D79" s="156"/>
      <c r="E79" s="156"/>
      <c r="F79" s="156"/>
      <c r="G79" s="156"/>
      <c r="H79" s="156"/>
      <c r="I79" s="156"/>
      <c r="J79" s="156"/>
      <c r="K79" s="156"/>
      <c r="L79" s="156"/>
      <c r="M79" s="156"/>
      <c r="N79" s="156"/>
      <c r="O79" s="156"/>
      <c r="P79" s="156"/>
      <c r="Q79" s="156"/>
      <c r="R79" s="156"/>
      <c r="S79" s="156"/>
      <c r="T79" s="156"/>
      <c r="U79" s="156"/>
      <c r="V79" s="156"/>
      <c r="W79" s="156"/>
      <c r="X79" s="156"/>
      <c r="Y79" s="156"/>
      <c r="Z79" s="211"/>
      <c r="AA79" s="211"/>
      <c r="AB79" s="211"/>
      <c r="AC79" s="211"/>
      <c r="AD79" s="211"/>
      <c r="AE79" s="211"/>
      <c r="AF79" s="211"/>
      <c r="AG79" s="344"/>
      <c r="AH79" s="344"/>
      <c r="AI79" s="344"/>
      <c r="AJ79" s="55"/>
      <c r="AK79" s="120"/>
      <c r="AL79" s="120"/>
      <c r="AM79" s="156"/>
      <c r="AN79" s="55"/>
      <c r="AO79" s="55"/>
      <c r="AP79" s="156"/>
      <c r="AQ79" s="156"/>
      <c r="AR79" s="55"/>
      <c r="AS79" s="211"/>
      <c r="AT79" s="211"/>
      <c r="AU79" s="211"/>
      <c r="AV79" s="211"/>
      <c r="AW79" s="211"/>
      <c r="AX79" s="211"/>
      <c r="AY79" s="211"/>
      <c r="AZ79" s="344"/>
      <c r="BA79" s="344"/>
      <c r="BB79" s="344"/>
      <c r="BC79" s="55"/>
      <c r="BD79" s="120"/>
      <c r="BE79" s="156"/>
      <c r="BF79" s="55"/>
      <c r="BG79" s="55"/>
      <c r="BH79" s="55"/>
    </row>
    <row r="80" spans="2:60" s="28" customFormat="1" ht="17.100000000000001" customHeight="1">
      <c r="B80" s="55"/>
      <c r="C80" s="494"/>
      <c r="D80" s="156"/>
      <c r="E80" s="156"/>
      <c r="F80" s="156"/>
      <c r="G80" s="156"/>
      <c r="H80" s="156"/>
      <c r="I80" s="156"/>
      <c r="J80" s="156"/>
      <c r="K80" s="156"/>
      <c r="L80" s="156"/>
      <c r="M80" s="156"/>
      <c r="N80" s="156"/>
      <c r="O80" s="156"/>
      <c r="P80" s="156"/>
      <c r="Q80" s="156"/>
      <c r="R80" s="156"/>
      <c r="S80" s="156"/>
      <c r="T80" s="156"/>
      <c r="U80" s="156"/>
      <c r="V80" s="156"/>
      <c r="W80" s="156"/>
      <c r="X80" s="156"/>
      <c r="Y80" s="156"/>
      <c r="Z80" s="211"/>
      <c r="AA80" s="211"/>
      <c r="AB80" s="211"/>
      <c r="AC80" s="211"/>
      <c r="AD80" s="211"/>
      <c r="AE80" s="211"/>
      <c r="AF80" s="211"/>
      <c r="AG80" s="344"/>
      <c r="AH80" s="344"/>
      <c r="AI80" s="344"/>
      <c r="AJ80" s="55"/>
      <c r="AK80" s="120"/>
      <c r="AL80" s="120"/>
      <c r="AM80" s="156"/>
      <c r="AN80" s="55"/>
      <c r="AO80" s="55"/>
      <c r="AP80" s="156"/>
      <c r="AQ80" s="156"/>
      <c r="AR80" s="55"/>
      <c r="AS80" s="211"/>
      <c r="AT80" s="211"/>
      <c r="AU80" s="211"/>
      <c r="AV80" s="211"/>
      <c r="AW80" s="211"/>
      <c r="AX80" s="211"/>
      <c r="AY80" s="211"/>
      <c r="AZ80" s="344"/>
      <c r="BA80" s="344"/>
      <c r="BB80" s="344"/>
      <c r="BC80" s="55"/>
      <c r="BD80" s="120"/>
      <c r="BE80" s="156"/>
      <c r="BF80" s="55"/>
      <c r="BG80" s="55"/>
      <c r="BH80" s="55"/>
    </row>
    <row r="81" spans="2:62" s="28" customFormat="1" ht="17.100000000000001" customHeight="1">
      <c r="B81" s="399" t="s">
        <v>13</v>
      </c>
      <c r="C81" s="545" t="str">
        <f>X!$C$79</f>
        <v>Details zur Berechnung einblenden?</v>
      </c>
      <c r="D81" s="139"/>
      <c r="E81" s="139"/>
      <c r="F81" s="139"/>
      <c r="G81" s="139"/>
      <c r="H81" s="139"/>
      <c r="I81" s="139"/>
      <c r="J81" s="139"/>
      <c r="K81" s="139"/>
      <c r="L81" s="139"/>
      <c r="M81" s="139"/>
      <c r="N81" s="139"/>
      <c r="O81" s="139"/>
      <c r="P81" s="139"/>
      <c r="Q81" s="139"/>
      <c r="R81" s="139"/>
      <c r="S81" s="1553"/>
      <c r="T81" s="1553"/>
      <c r="U81" s="1554"/>
      <c r="V81" s="156"/>
      <c r="W81" s="156"/>
      <c r="X81" s="156"/>
      <c r="Y81" s="156"/>
      <c r="Z81" s="211"/>
      <c r="AA81" s="211"/>
      <c r="AB81" s="211"/>
      <c r="AC81" s="211"/>
      <c r="AD81" s="211"/>
      <c r="AE81" s="211"/>
      <c r="AF81" s="211"/>
      <c r="AG81" s="344"/>
      <c r="AH81" s="344"/>
      <c r="AI81" s="344"/>
      <c r="AJ81" s="55"/>
      <c r="AK81" s="120"/>
      <c r="AL81" s="120"/>
      <c r="AM81" s="156"/>
      <c r="AN81" s="55"/>
      <c r="AO81" s="55"/>
      <c r="AP81" s="156"/>
      <c r="AQ81" s="156"/>
      <c r="AR81" s="55"/>
      <c r="AS81" s="211"/>
      <c r="AT81" s="211"/>
      <c r="AU81" s="211"/>
      <c r="AV81" s="211"/>
      <c r="AW81" s="211"/>
      <c r="AX81" s="211"/>
      <c r="AY81" s="211"/>
      <c r="AZ81" s="344"/>
      <c r="BA81" s="344"/>
      <c r="BB81" s="344"/>
      <c r="BC81" s="55"/>
      <c r="BD81" s="120"/>
      <c r="BE81" s="156"/>
      <c r="BF81" s="55"/>
      <c r="BG81" s="55"/>
      <c r="BH81" s="55"/>
    </row>
    <row r="82" spans="2:62" s="28" customFormat="1" ht="17.100000000000001" customHeight="1">
      <c r="B82" s="55"/>
      <c r="C82" s="494"/>
      <c r="D82" s="156"/>
      <c r="E82" s="156"/>
      <c r="F82" s="156"/>
      <c r="G82" s="156"/>
      <c r="H82" s="156"/>
      <c r="I82" s="156"/>
      <c r="J82" s="156"/>
      <c r="K82" s="156"/>
      <c r="L82" s="156"/>
      <c r="M82" s="156"/>
      <c r="N82" s="156"/>
      <c r="O82" s="156"/>
      <c r="P82" s="156"/>
      <c r="Q82" s="156"/>
      <c r="R82" s="156"/>
      <c r="S82" s="156"/>
      <c r="T82" s="156"/>
      <c r="U82" s="156"/>
      <c r="V82" s="156"/>
      <c r="W82" s="156"/>
      <c r="X82" s="156"/>
      <c r="Y82" s="156"/>
      <c r="Z82" s="211"/>
      <c r="AA82" s="211"/>
      <c r="AB82" s="211"/>
      <c r="AC82" s="211"/>
      <c r="AD82" s="211"/>
      <c r="AE82" s="211"/>
      <c r="AF82" s="211"/>
      <c r="AG82" s="344"/>
      <c r="AH82" s="344"/>
      <c r="AI82" s="344"/>
      <c r="AJ82" s="55"/>
      <c r="AK82" s="120"/>
      <c r="AL82" s="120"/>
      <c r="AM82" s="156"/>
      <c r="AN82" s="55"/>
      <c r="AO82" s="55"/>
      <c r="AP82" s="156"/>
      <c r="AQ82" s="156"/>
      <c r="AR82" s="55"/>
      <c r="AS82" s="211"/>
      <c r="AT82" s="211"/>
      <c r="AU82" s="211"/>
      <c r="AV82" s="211"/>
      <c r="AW82" s="211"/>
      <c r="AX82" s="211"/>
      <c r="AY82" s="211"/>
      <c r="AZ82" s="344"/>
      <c r="BA82" s="344"/>
      <c r="BB82" s="344"/>
      <c r="BC82" s="55"/>
      <c r="BD82" s="120"/>
      <c r="BE82" s="156"/>
      <c r="BF82" s="55"/>
      <c r="BG82" s="55"/>
      <c r="BH82" s="55"/>
    </row>
    <row r="83" spans="2:62" ht="17.100000000000001" customHeight="1">
      <c r="B83" s="52"/>
      <c r="C83" s="477"/>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92"/>
      <c r="AJ83" s="52"/>
      <c r="AK83" s="93"/>
      <c r="AL83" s="93"/>
      <c r="AM83" s="52"/>
      <c r="AN83" s="52"/>
      <c r="AO83" s="52"/>
      <c r="AP83" s="52"/>
      <c r="AQ83" s="52"/>
      <c r="AR83" s="52"/>
      <c r="AS83" s="52"/>
      <c r="AT83" s="52"/>
      <c r="AU83" s="52"/>
      <c r="AV83" s="52"/>
      <c r="AW83" s="52"/>
      <c r="AX83" s="52"/>
      <c r="AY83" s="52"/>
      <c r="AZ83" s="52"/>
      <c r="BA83" s="52"/>
      <c r="BB83" s="92"/>
      <c r="BC83" s="52"/>
      <c r="BD83" s="93"/>
      <c r="BE83" s="52"/>
      <c r="BF83" s="52"/>
      <c r="BG83" s="52"/>
      <c r="BH83" s="52"/>
    </row>
    <row r="84" spans="2:62" ht="17.100000000000001" customHeight="1">
      <c r="B84" s="306"/>
      <c r="C84" s="485"/>
      <c r="D84" s="307"/>
      <c r="E84" s="307"/>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8"/>
      <c r="AJ84" s="307"/>
      <c r="AK84" s="309"/>
      <c r="AL84" s="309"/>
      <c r="AM84" s="307"/>
      <c r="AN84" s="307"/>
      <c r="AO84" s="307"/>
      <c r="AP84" s="307"/>
      <c r="AQ84" s="307"/>
      <c r="AR84" s="307"/>
      <c r="AS84" s="307"/>
      <c r="AT84" s="307"/>
      <c r="AU84" s="307"/>
      <c r="AV84" s="307"/>
      <c r="AW84" s="307"/>
      <c r="AX84" s="307"/>
      <c r="AY84" s="307"/>
      <c r="AZ84" s="307"/>
      <c r="BA84" s="307"/>
      <c r="BB84" s="308"/>
      <c r="BC84" s="307"/>
      <c r="BD84" s="309"/>
      <c r="BE84" s="307"/>
      <c r="BF84" s="307"/>
      <c r="BG84" s="307"/>
      <c r="BH84" s="310"/>
    </row>
    <row r="85" spans="2:62" s="116" customFormat="1" ht="21" customHeight="1">
      <c r="B85" s="107"/>
      <c r="C85" s="486">
        <v>3</v>
      </c>
      <c r="D85" s="546" t="str">
        <f>X!$C$44</f>
        <v>Berechnung</v>
      </c>
      <c r="E85" s="109"/>
      <c r="F85" s="109"/>
      <c r="G85" s="110"/>
      <c r="H85" s="110"/>
      <c r="I85" s="111"/>
      <c r="J85" s="111"/>
      <c r="K85" s="111"/>
      <c r="L85" s="111"/>
      <c r="M85" s="111"/>
      <c r="N85" s="111"/>
      <c r="O85" s="111"/>
      <c r="P85" s="111"/>
      <c r="Q85" s="111"/>
      <c r="R85" s="111"/>
      <c r="S85" s="109"/>
      <c r="T85" s="109"/>
      <c r="U85" s="110"/>
      <c r="V85" s="110"/>
      <c r="W85" s="110"/>
      <c r="X85" s="110"/>
      <c r="Y85" s="110"/>
      <c r="Z85" s="110"/>
      <c r="AA85" s="110"/>
      <c r="AB85" s="110"/>
      <c r="AC85" s="110"/>
      <c r="AD85" s="110"/>
      <c r="AE85" s="110"/>
      <c r="AF85" s="110"/>
      <c r="AG85" s="110"/>
      <c r="AH85" s="110"/>
      <c r="AI85" s="110"/>
      <c r="AJ85" s="110"/>
      <c r="AK85" s="110"/>
      <c r="AL85" s="110"/>
      <c r="AM85" s="111"/>
      <c r="AN85" s="111"/>
      <c r="AO85" s="111"/>
      <c r="AP85" s="111"/>
      <c r="AQ85" s="109"/>
      <c r="AR85" s="109"/>
      <c r="AS85" s="110"/>
      <c r="AT85" s="110"/>
      <c r="AU85" s="110"/>
      <c r="AV85" s="110"/>
      <c r="AW85" s="110"/>
      <c r="AX85" s="110"/>
      <c r="AY85" s="110"/>
      <c r="AZ85" s="110"/>
      <c r="BA85" s="110"/>
      <c r="BB85" s="110"/>
      <c r="BC85" s="110"/>
      <c r="BD85" s="110"/>
      <c r="BE85" s="110"/>
      <c r="BF85" s="110"/>
      <c r="BG85" s="110"/>
      <c r="BH85" s="312"/>
      <c r="BI85" s="31"/>
      <c r="BJ85" s="31"/>
    </row>
    <row r="86" spans="2:62" ht="17.100000000000001" customHeight="1">
      <c r="B86" s="311"/>
      <c r="C86" s="477"/>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92"/>
      <c r="AJ86" s="52"/>
      <c r="AK86" s="93"/>
      <c r="AL86" s="93"/>
      <c r="AM86" s="52"/>
      <c r="AN86" s="52"/>
      <c r="AO86" s="52"/>
      <c r="AP86" s="52"/>
      <c r="AQ86" s="52"/>
      <c r="AR86" s="52"/>
      <c r="AS86" s="52"/>
      <c r="AT86" s="52"/>
      <c r="AU86" s="52"/>
      <c r="AV86" s="52"/>
      <c r="AW86" s="52"/>
      <c r="AX86" s="52"/>
      <c r="AY86" s="52"/>
      <c r="AZ86" s="52"/>
      <c r="BA86" s="52"/>
      <c r="BB86" s="92"/>
      <c r="BC86" s="52"/>
      <c r="BD86" s="93"/>
      <c r="BE86" s="52"/>
      <c r="BF86" s="52"/>
      <c r="BG86" s="52"/>
      <c r="BH86" s="312"/>
    </row>
    <row r="87" spans="2:62" ht="21" customHeight="1">
      <c r="B87" s="311"/>
      <c r="C87" s="488"/>
      <c r="D87" s="313"/>
      <c r="E87" s="313"/>
      <c r="F87" s="313"/>
      <c r="G87" s="313"/>
      <c r="H87" s="313"/>
      <c r="I87" s="313"/>
      <c r="J87" s="313"/>
      <c r="K87" s="313"/>
      <c r="L87" s="313"/>
      <c r="M87" s="313"/>
      <c r="N87" s="313"/>
      <c r="O87" s="313"/>
      <c r="P87" s="313"/>
      <c r="Q87" s="313"/>
      <c r="R87" s="313"/>
      <c r="S87" s="313"/>
      <c r="T87" s="313"/>
      <c r="U87" s="313"/>
      <c r="V87" s="313"/>
      <c r="W87" s="313"/>
      <c r="X87" s="313"/>
      <c r="Y87" s="314" t="str">
        <f>Y58</f>
        <v>Variante A</v>
      </c>
      <c r="Z87" s="49"/>
      <c r="AA87" s="49"/>
      <c r="AB87" s="49"/>
      <c r="AC87" s="49"/>
      <c r="AD87" s="49"/>
      <c r="AE87" s="49"/>
      <c r="AF87" s="49"/>
      <c r="AG87" s="49"/>
      <c r="AH87" s="49"/>
      <c r="AI87" s="49"/>
      <c r="AJ87" s="49"/>
      <c r="AK87" s="49"/>
      <c r="AL87" s="49"/>
      <c r="AM87" s="49"/>
      <c r="AN87" s="49"/>
      <c r="AO87" s="313"/>
      <c r="AP87" s="313"/>
      <c r="AQ87" s="313"/>
      <c r="AR87" s="314" t="str">
        <f>AR58</f>
        <v/>
      </c>
      <c r="AS87" s="49"/>
      <c r="AT87" s="49"/>
      <c r="AU87" s="49"/>
      <c r="AV87" s="49"/>
      <c r="AW87" s="49"/>
      <c r="AX87" s="49"/>
      <c r="AY87" s="49"/>
      <c r="AZ87" s="49"/>
      <c r="BA87" s="49"/>
      <c r="BB87" s="49"/>
      <c r="BC87" s="59"/>
      <c r="BD87" s="315"/>
      <c r="BE87" s="59"/>
      <c r="BF87" s="59"/>
      <c r="BG87" s="59"/>
      <c r="BH87" s="312"/>
    </row>
    <row r="88" spans="2:62" ht="21" customHeight="1">
      <c r="B88" s="311"/>
      <c r="C88" s="488"/>
      <c r="D88" s="313"/>
      <c r="E88" s="313"/>
      <c r="F88" s="313"/>
      <c r="G88" s="313"/>
      <c r="H88" s="313"/>
      <c r="I88" s="313"/>
      <c r="J88" s="313"/>
      <c r="K88" s="313"/>
      <c r="L88" s="313"/>
      <c r="M88" s="313"/>
      <c r="N88" s="313"/>
      <c r="O88" s="313"/>
      <c r="P88" s="313"/>
      <c r="Q88" s="313"/>
      <c r="R88" s="313"/>
      <c r="S88" s="313"/>
      <c r="T88" s="313"/>
      <c r="U88" s="313"/>
      <c r="V88" s="313"/>
      <c r="W88" s="313"/>
      <c r="X88" s="313"/>
      <c r="Y88" s="318"/>
      <c r="Z88" s="313"/>
      <c r="AA88" s="313"/>
      <c r="AB88" s="313"/>
      <c r="AC88" s="313"/>
      <c r="AD88" s="313"/>
      <c r="AE88" s="313"/>
      <c r="AF88" s="313"/>
      <c r="AG88" s="313"/>
      <c r="AH88" s="313"/>
      <c r="AI88" s="313"/>
      <c r="AJ88" s="313"/>
      <c r="AK88" s="313"/>
      <c r="AL88" s="313"/>
      <c r="AM88" s="313"/>
      <c r="AN88" s="313"/>
      <c r="AO88" s="313"/>
      <c r="AP88" s="313"/>
      <c r="AQ88" s="313"/>
      <c r="AR88" s="318"/>
      <c r="AS88" s="313"/>
      <c r="AT88" s="313"/>
      <c r="AU88" s="313"/>
      <c r="AV88" s="313"/>
      <c r="AW88" s="313"/>
      <c r="AX88" s="313"/>
      <c r="AY88" s="313"/>
      <c r="AZ88" s="313"/>
      <c r="BA88" s="313"/>
      <c r="BB88" s="313"/>
      <c r="BC88" s="52"/>
      <c r="BD88" s="93"/>
      <c r="BE88" s="52"/>
      <c r="BF88" s="52"/>
      <c r="BG88" s="52"/>
      <c r="BH88" s="312"/>
    </row>
    <row r="89" spans="2:62" s="155" customFormat="1" ht="17.100000000000001" customHeight="1">
      <c r="B89" s="330"/>
      <c r="C89" s="481">
        <v>3.1</v>
      </c>
      <c r="D89" s="570" t="str">
        <f>X!$C$25</f>
        <v>Anlagespezifikation</v>
      </c>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336"/>
      <c r="AL89" s="336"/>
      <c r="AM89" s="156"/>
      <c r="AN89" s="156"/>
      <c r="AO89" s="156"/>
      <c r="AP89" s="156"/>
      <c r="AQ89" s="156"/>
      <c r="AR89" s="156"/>
      <c r="AS89" s="156"/>
      <c r="AT89" s="156"/>
      <c r="AU89" s="156"/>
      <c r="AV89" s="156"/>
      <c r="AW89" s="156"/>
      <c r="AX89" s="156"/>
      <c r="AY89" s="156"/>
      <c r="AZ89" s="156"/>
      <c r="BA89" s="156"/>
      <c r="BB89" s="156"/>
      <c r="BC89" s="156"/>
      <c r="BD89" s="336"/>
      <c r="BE89" s="156"/>
      <c r="BF89" s="156"/>
      <c r="BG89" s="156"/>
      <c r="BH89" s="332"/>
    </row>
    <row r="90" spans="2:62" s="522" customFormat="1" ht="27" customHeight="1">
      <c r="B90" s="1154"/>
      <c r="C90" s="1155" t="str">
        <f>C42</f>
        <v>Anlagetyp</v>
      </c>
      <c r="D90" s="1155"/>
      <c r="E90" s="1155"/>
      <c r="F90" s="1155"/>
      <c r="G90" s="1155"/>
      <c r="H90" s="1155"/>
      <c r="I90" s="1155"/>
      <c r="J90" s="1155"/>
      <c r="K90" s="1155"/>
      <c r="L90" s="1155"/>
      <c r="M90" s="1155"/>
      <c r="N90" s="1155"/>
      <c r="O90" s="1155"/>
      <c r="P90" s="1155"/>
      <c r="Q90" s="1155"/>
      <c r="R90" s="1155" t="s">
        <v>16</v>
      </c>
      <c r="S90" s="1155"/>
      <c r="T90" s="1155"/>
      <c r="U90" s="1155"/>
      <c r="V90" s="1155"/>
      <c r="W90" s="1155"/>
      <c r="X90" s="1155"/>
      <c r="Y90" s="1155"/>
      <c r="Z90" s="1722">
        <f>'1 System specification'!U46</f>
        <v>0</v>
      </c>
      <c r="AA90" s="1722"/>
      <c r="AB90" s="1722"/>
      <c r="AC90" s="1722"/>
      <c r="AD90" s="1722"/>
      <c r="AE90" s="1722"/>
      <c r="AF90" s="1722"/>
      <c r="AG90" s="1722"/>
      <c r="AH90" s="1722"/>
      <c r="AI90" s="1722"/>
      <c r="AJ90" s="684"/>
      <c r="AK90" s="1155"/>
      <c r="AL90" s="1155"/>
      <c r="AM90" s="1155"/>
      <c r="AN90" s="1155"/>
      <c r="AO90" s="684"/>
      <c r="AP90" s="684"/>
      <c r="AQ90" s="684"/>
      <c r="AR90" s="1157"/>
      <c r="AS90" s="1722">
        <f>Z90</f>
        <v>0</v>
      </c>
      <c r="AT90" s="1722"/>
      <c r="AU90" s="1722"/>
      <c r="AV90" s="1722"/>
      <c r="AW90" s="1722"/>
      <c r="AX90" s="1722"/>
      <c r="AY90" s="1722"/>
      <c r="AZ90" s="1722"/>
      <c r="BA90" s="1722"/>
      <c r="BB90" s="1722"/>
      <c r="BC90" s="684"/>
      <c r="BD90" s="1155"/>
      <c r="BE90" s="1155"/>
      <c r="BF90" s="1155"/>
      <c r="BG90" s="1155"/>
      <c r="BH90" s="1156"/>
    </row>
    <row r="91" spans="2:62" s="28" customFormat="1" ht="17.100000000000001" customHeight="1">
      <c r="B91" s="316"/>
      <c r="C91" s="571" t="str">
        <f>X!$C$166</f>
        <v>Nutzungsdauer</v>
      </c>
      <c r="D91" s="241"/>
      <c r="E91" s="241"/>
      <c r="F91" s="241"/>
      <c r="G91" s="241"/>
      <c r="H91" s="241"/>
      <c r="I91" s="241"/>
      <c r="J91" s="241"/>
      <c r="K91" s="241"/>
      <c r="L91" s="241"/>
      <c r="M91" s="241"/>
      <c r="N91" s="241"/>
      <c r="O91" s="241"/>
      <c r="P91" s="241"/>
      <c r="Q91" s="241"/>
      <c r="R91" s="550" t="str">
        <f>X!$C$131</f>
        <v>Jahre</v>
      </c>
      <c r="S91" s="241"/>
      <c r="T91" s="241"/>
      <c r="U91" s="241"/>
      <c r="V91" s="241"/>
      <c r="W91" s="241"/>
      <c r="X91" s="241"/>
      <c r="Y91" s="241"/>
      <c r="Z91" s="1744">
        <f>AG249</f>
        <v>0</v>
      </c>
      <c r="AA91" s="1744"/>
      <c r="AB91" s="1744"/>
      <c r="AC91" s="1744"/>
      <c r="AD91" s="1744"/>
      <c r="AE91" s="1744"/>
      <c r="AF91" s="1744"/>
      <c r="AG91" s="1744"/>
      <c r="AH91" s="1744"/>
      <c r="AI91" s="1744"/>
      <c r="AJ91" s="55"/>
      <c r="AK91" s="231"/>
      <c r="AL91" s="231"/>
      <c r="AM91" s="231"/>
      <c r="AN91" s="231"/>
      <c r="AO91" s="55"/>
      <c r="AP91" s="55"/>
      <c r="AQ91" s="55"/>
      <c r="AR91" s="241"/>
      <c r="AS91" s="1744">
        <f>AZ249</f>
        <v>0</v>
      </c>
      <c r="AT91" s="1744"/>
      <c r="AU91" s="1744"/>
      <c r="AV91" s="1744"/>
      <c r="AW91" s="1744"/>
      <c r="AX91" s="1744"/>
      <c r="AY91" s="1744"/>
      <c r="AZ91" s="1744"/>
      <c r="BA91" s="1744"/>
      <c r="BB91" s="1744"/>
      <c r="BC91" s="55"/>
      <c r="BD91" s="231"/>
      <c r="BE91" s="231"/>
      <c r="BF91" s="231"/>
      <c r="BG91" s="231"/>
      <c r="BH91" s="317"/>
    </row>
    <row r="92" spans="2:62" s="28" customFormat="1" ht="17.100000000000001" customHeight="1">
      <c r="B92" s="316"/>
      <c r="C92" s="571" t="str">
        <f>X!$C$145</f>
        <v>Kältemittel</v>
      </c>
      <c r="D92" s="241"/>
      <c r="E92" s="241"/>
      <c r="F92" s="241"/>
      <c r="G92" s="241"/>
      <c r="H92" s="241"/>
      <c r="I92" s="241"/>
      <c r="J92" s="241"/>
      <c r="K92" s="241"/>
      <c r="L92" s="241"/>
      <c r="M92" s="241"/>
      <c r="N92" s="241"/>
      <c r="O92" s="241"/>
      <c r="P92" s="241"/>
      <c r="Q92" s="241"/>
      <c r="R92" s="241" t="s">
        <v>16</v>
      </c>
      <c r="S92" s="241"/>
      <c r="T92" s="241"/>
      <c r="U92" s="241"/>
      <c r="V92" s="241"/>
      <c r="W92" s="241"/>
      <c r="X92" s="241"/>
      <c r="Y92" s="241"/>
      <c r="Z92" s="1744">
        <f>Y33</f>
        <v>0</v>
      </c>
      <c r="AA92" s="1744"/>
      <c r="AB92" s="1744"/>
      <c r="AC92" s="1744"/>
      <c r="AD92" s="1744"/>
      <c r="AE92" s="1744"/>
      <c r="AF92" s="1744"/>
      <c r="AG92" s="1744"/>
      <c r="AH92" s="1744"/>
      <c r="AI92" s="1744"/>
      <c r="AJ92" s="55"/>
      <c r="AK92" s="231"/>
      <c r="AL92" s="231"/>
      <c r="AM92" s="231"/>
      <c r="AN92" s="231"/>
      <c r="AO92" s="55"/>
      <c r="AP92" s="55"/>
      <c r="AQ92" s="55"/>
      <c r="AR92" s="241"/>
      <c r="AS92" s="1744">
        <f>AR33</f>
        <v>0</v>
      </c>
      <c r="AT92" s="1744"/>
      <c r="AU92" s="1744"/>
      <c r="AV92" s="1744"/>
      <c r="AW92" s="1744"/>
      <c r="AX92" s="1744"/>
      <c r="AY92" s="1744"/>
      <c r="AZ92" s="1744"/>
      <c r="BA92" s="1744"/>
      <c r="BB92" s="1744"/>
      <c r="BC92" s="55"/>
      <c r="BD92" s="231"/>
      <c r="BE92" s="231"/>
      <c r="BF92" s="231"/>
      <c r="BG92" s="231"/>
      <c r="BH92" s="317"/>
    </row>
    <row r="93" spans="2:62" s="28" customFormat="1" ht="17.100000000000001" customHeight="1">
      <c r="B93" s="316"/>
      <c r="C93" s="571" t="str">
        <f>X!$C$119</f>
        <v>GWP Kältemittel</v>
      </c>
      <c r="D93" s="241"/>
      <c r="E93" s="241"/>
      <c r="F93" s="241"/>
      <c r="G93" s="241"/>
      <c r="H93" s="241"/>
      <c r="I93" s="241"/>
      <c r="J93" s="241"/>
      <c r="K93" s="241"/>
      <c r="L93" s="241"/>
      <c r="M93" s="241"/>
      <c r="N93" s="241"/>
      <c r="O93" s="241"/>
      <c r="P93" s="241"/>
      <c r="Q93" s="241"/>
      <c r="R93" s="241" t="s">
        <v>28</v>
      </c>
      <c r="S93" s="241"/>
      <c r="T93" s="241"/>
      <c r="U93" s="241"/>
      <c r="V93" s="241"/>
      <c r="W93" s="241"/>
      <c r="X93" s="241"/>
      <c r="Y93" s="241"/>
      <c r="Z93" s="1757">
        <f>AG222</f>
        <v>0</v>
      </c>
      <c r="AA93" s="1757"/>
      <c r="AB93" s="1757"/>
      <c r="AC93" s="1757"/>
      <c r="AD93" s="1757"/>
      <c r="AE93" s="1757"/>
      <c r="AF93" s="1757"/>
      <c r="AG93" s="1757"/>
      <c r="AH93" s="1757"/>
      <c r="AI93" s="1757"/>
      <c r="AJ93" s="55"/>
      <c r="AK93" s="345"/>
      <c r="AL93" s="345"/>
      <c r="AM93" s="241"/>
      <c r="AN93" s="241"/>
      <c r="AO93" s="55"/>
      <c r="AP93" s="55"/>
      <c r="AQ93" s="55"/>
      <c r="AR93" s="241"/>
      <c r="AS93" s="1757">
        <f>AZ222</f>
        <v>0</v>
      </c>
      <c r="AT93" s="1757"/>
      <c r="AU93" s="1757"/>
      <c r="AV93" s="1757"/>
      <c r="AW93" s="1757"/>
      <c r="AX93" s="1757"/>
      <c r="AY93" s="1757"/>
      <c r="AZ93" s="1757"/>
      <c r="BA93" s="1757"/>
      <c r="BB93" s="1757"/>
      <c r="BC93" s="55"/>
      <c r="BD93" s="345"/>
      <c r="BE93" s="241"/>
      <c r="BF93" s="241"/>
      <c r="BG93" s="241"/>
      <c r="BH93" s="317"/>
    </row>
    <row r="94" spans="2:62" s="28" customFormat="1" ht="17.100000000000001" customHeight="1">
      <c r="B94" s="316"/>
      <c r="C94" s="571" t="str">
        <f>X!$C$23</f>
        <v>Anlagefüllgewicht</v>
      </c>
      <c r="D94" s="241"/>
      <c r="E94" s="241"/>
      <c r="F94" s="241"/>
      <c r="G94" s="241"/>
      <c r="H94" s="241"/>
      <c r="I94" s="241"/>
      <c r="J94" s="241"/>
      <c r="K94" s="241"/>
      <c r="L94" s="241"/>
      <c r="M94" s="241"/>
      <c r="N94" s="241"/>
      <c r="O94" s="241"/>
      <c r="P94" s="241"/>
      <c r="Q94" s="241"/>
      <c r="R94" s="241" t="s">
        <v>21</v>
      </c>
      <c r="S94" s="241"/>
      <c r="T94" s="241"/>
      <c r="U94" s="241"/>
      <c r="V94" s="241"/>
      <c r="W94" s="241"/>
      <c r="X94" s="241"/>
      <c r="Y94" s="241"/>
      <c r="Z94" s="1744">
        <f>Y35</f>
        <v>0</v>
      </c>
      <c r="AA94" s="1744"/>
      <c r="AB94" s="1744"/>
      <c r="AC94" s="1744"/>
      <c r="AD94" s="1744"/>
      <c r="AE94" s="1744"/>
      <c r="AF94" s="1744"/>
      <c r="AG94" s="1744"/>
      <c r="AH94" s="1744"/>
      <c r="AI94" s="1744"/>
      <c r="AJ94" s="55"/>
      <c r="AK94" s="231"/>
      <c r="AL94" s="231"/>
      <c r="AM94" s="231"/>
      <c r="AN94" s="231"/>
      <c r="AO94" s="55"/>
      <c r="AP94" s="55"/>
      <c r="AQ94" s="55"/>
      <c r="AR94" s="241"/>
      <c r="AS94" s="1744">
        <f>AR35</f>
        <v>0</v>
      </c>
      <c r="AT94" s="1744"/>
      <c r="AU94" s="1744"/>
      <c r="AV94" s="1744"/>
      <c r="AW94" s="1744"/>
      <c r="AX94" s="1744"/>
      <c r="AY94" s="1744"/>
      <c r="AZ94" s="1744"/>
      <c r="BA94" s="1744"/>
      <c r="BB94" s="1744"/>
      <c r="BC94" s="55"/>
      <c r="BD94" s="231"/>
      <c r="BE94" s="231"/>
      <c r="BF94" s="231"/>
      <c r="BG94" s="231"/>
      <c r="BH94" s="317"/>
    </row>
    <row r="95" spans="2:62" s="28" customFormat="1" ht="17.100000000000001" customHeight="1">
      <c r="B95" s="316"/>
      <c r="C95" s="571" t="str">
        <f>X!$C$94</f>
        <v>Elektrizitätsverbrauch Kälteanlage</v>
      </c>
      <c r="D95" s="241"/>
      <c r="E95" s="241"/>
      <c r="F95" s="241"/>
      <c r="G95" s="241"/>
      <c r="H95" s="241"/>
      <c r="I95" s="241"/>
      <c r="J95" s="241"/>
      <c r="K95" s="241"/>
      <c r="L95" s="241"/>
      <c r="M95" s="241"/>
      <c r="N95" s="241"/>
      <c r="O95" s="241"/>
      <c r="P95" s="241"/>
      <c r="Q95" s="241"/>
      <c r="R95" s="241" t="s">
        <v>22</v>
      </c>
      <c r="S95" s="241"/>
      <c r="T95" s="241"/>
      <c r="U95" s="241"/>
      <c r="V95" s="241"/>
      <c r="W95" s="313"/>
      <c r="X95" s="313"/>
      <c r="Y95" s="241"/>
      <c r="Z95" s="1743">
        <f>Z46</f>
        <v>0</v>
      </c>
      <c r="AA95" s="1743"/>
      <c r="AB95" s="1743"/>
      <c r="AC95" s="1743"/>
      <c r="AD95" s="1743"/>
      <c r="AE95" s="1743"/>
      <c r="AF95" s="1743"/>
      <c r="AG95" s="1743"/>
      <c r="AH95" s="1743"/>
      <c r="AI95" s="1743"/>
      <c r="AJ95" s="55"/>
      <c r="AK95" s="231"/>
      <c r="AL95" s="231"/>
      <c r="AM95" s="231"/>
      <c r="AN95" s="231"/>
      <c r="AO95" s="55"/>
      <c r="AP95" s="55"/>
      <c r="AQ95" s="55"/>
      <c r="AR95" s="241"/>
      <c r="AS95" s="1743">
        <f>AS46</f>
        <v>0</v>
      </c>
      <c r="AT95" s="1743"/>
      <c r="AU95" s="1743"/>
      <c r="AV95" s="1743"/>
      <c r="AW95" s="1743"/>
      <c r="AX95" s="1743"/>
      <c r="AY95" s="1743"/>
      <c r="AZ95" s="1743"/>
      <c r="BA95" s="1743"/>
      <c r="BB95" s="1743"/>
      <c r="BC95" s="55"/>
      <c r="BD95" s="231"/>
      <c r="BE95" s="231"/>
      <c r="BF95" s="231"/>
      <c r="BG95" s="231"/>
      <c r="BH95" s="317"/>
    </row>
    <row r="96" spans="2:62" s="209" customFormat="1" ht="27.95" customHeight="1">
      <c r="B96" s="319"/>
      <c r="C96" s="677" t="str">
        <f>X!C301</f>
        <v>Art der CO2-Kompensation</v>
      </c>
      <c r="D96" s="304"/>
      <c r="E96" s="304"/>
      <c r="F96" s="304"/>
      <c r="G96" s="304"/>
      <c r="H96" s="304"/>
      <c r="I96" s="304"/>
      <c r="J96" s="304"/>
      <c r="K96" s="304"/>
      <c r="L96" s="304"/>
      <c r="M96" s="304"/>
      <c r="N96" s="304"/>
      <c r="O96" s="304"/>
      <c r="P96" s="304"/>
      <c r="Q96" s="304"/>
      <c r="R96" s="304"/>
      <c r="S96" s="304"/>
      <c r="T96" s="304"/>
      <c r="U96" s="304"/>
      <c r="V96" s="304"/>
      <c r="W96" s="321"/>
      <c r="X96" s="321"/>
      <c r="Y96" s="304"/>
      <c r="Z96" s="1759">
        <f>Y40</f>
        <v>0</v>
      </c>
      <c r="AA96" s="1759"/>
      <c r="AB96" s="1759"/>
      <c r="AC96" s="1759"/>
      <c r="AD96" s="1759"/>
      <c r="AE96" s="1759"/>
      <c r="AF96" s="1759"/>
      <c r="AG96" s="1759"/>
      <c r="AH96" s="1759"/>
      <c r="AI96" s="1759"/>
      <c r="AJ96" s="320"/>
      <c r="AK96" s="231"/>
      <c r="AL96" s="231"/>
      <c r="AM96" s="231"/>
      <c r="AN96" s="231"/>
      <c r="AO96" s="320"/>
      <c r="AP96" s="320"/>
      <c r="AQ96" s="320"/>
      <c r="AR96" s="304"/>
      <c r="AS96" s="1760">
        <f>AR40</f>
        <v>0</v>
      </c>
      <c r="AT96" s="1760"/>
      <c r="AU96" s="1760"/>
      <c r="AV96" s="1760"/>
      <c r="AW96" s="1760"/>
      <c r="AX96" s="1760"/>
      <c r="AY96" s="1760"/>
      <c r="AZ96" s="1760"/>
      <c r="BA96" s="1760"/>
      <c r="BB96" s="1760"/>
      <c r="BC96" s="320"/>
      <c r="BD96" s="231"/>
      <c r="BE96" s="231"/>
      <c r="BF96" s="231"/>
      <c r="BG96" s="231"/>
      <c r="BH96" s="322"/>
    </row>
    <row r="97" spans="2:65" s="28" customFormat="1" ht="17.100000000000001" customHeight="1">
      <c r="B97" s="316"/>
      <c r="C97" s="571" t="str">
        <f>X!C195</f>
        <v>Preis CO2-Kompensation</v>
      </c>
      <c r="D97" s="241"/>
      <c r="E97" s="241"/>
      <c r="F97" s="241"/>
      <c r="G97" s="241"/>
      <c r="H97" s="241"/>
      <c r="I97" s="241"/>
      <c r="J97" s="241"/>
      <c r="K97" s="241"/>
      <c r="L97" s="241"/>
      <c r="M97" s="241"/>
      <c r="N97" s="241"/>
      <c r="O97" s="241"/>
      <c r="P97" s="241"/>
      <c r="Q97" s="241"/>
      <c r="R97" s="241" t="s">
        <v>82</v>
      </c>
      <c r="S97" s="241"/>
      <c r="T97" s="241"/>
      <c r="U97" s="241"/>
      <c r="V97" s="241"/>
      <c r="W97" s="313"/>
      <c r="X97" s="313"/>
      <c r="Y97" s="241"/>
      <c r="Z97" s="1758">
        <f>AG239</f>
        <v>29</v>
      </c>
      <c r="AA97" s="1758"/>
      <c r="AB97" s="1758"/>
      <c r="AC97" s="1758"/>
      <c r="AD97" s="1758"/>
      <c r="AE97" s="1758"/>
      <c r="AF97" s="1758"/>
      <c r="AG97" s="1758"/>
      <c r="AH97" s="1758"/>
      <c r="AI97" s="1758"/>
      <c r="AJ97" s="640"/>
      <c r="AK97" s="231"/>
      <c r="AL97" s="231"/>
      <c r="AM97" s="231"/>
      <c r="AN97" s="231"/>
      <c r="AO97" s="640"/>
      <c r="AP97" s="640"/>
      <c r="AQ97" s="640"/>
      <c r="AR97" s="241"/>
      <c r="AS97" s="1761">
        <f>AZ239</f>
        <v>29</v>
      </c>
      <c r="AT97" s="1761"/>
      <c r="AU97" s="1761"/>
      <c r="AV97" s="1761"/>
      <c r="AW97" s="1761"/>
      <c r="AX97" s="1761"/>
      <c r="AY97" s="1761"/>
      <c r="AZ97" s="1761"/>
      <c r="BA97" s="1761"/>
      <c r="BB97" s="1761"/>
      <c r="BC97" s="640"/>
      <c r="BD97" s="231"/>
      <c r="BE97" s="231"/>
      <c r="BF97" s="231"/>
      <c r="BG97" s="231"/>
      <c r="BH97" s="317"/>
    </row>
    <row r="98" spans="2:65" s="28" customFormat="1" ht="17.100000000000001" customHeight="1">
      <c r="B98" s="316"/>
      <c r="C98" s="363"/>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120"/>
      <c r="AL98" s="120"/>
      <c r="AM98" s="55"/>
      <c r="AN98" s="55"/>
      <c r="AO98" s="55"/>
      <c r="AP98" s="55"/>
      <c r="AQ98" s="55"/>
      <c r="AR98" s="55"/>
      <c r="AS98" s="55"/>
      <c r="AT98" s="55"/>
      <c r="AU98" s="55"/>
      <c r="AV98" s="55"/>
      <c r="AW98" s="55"/>
      <c r="AX98" s="55"/>
      <c r="AY98" s="55"/>
      <c r="AZ98" s="55"/>
      <c r="BA98" s="55"/>
      <c r="BB98" s="55"/>
      <c r="BC98" s="55"/>
      <c r="BD98" s="120"/>
      <c r="BE98" s="55"/>
      <c r="BF98" s="55"/>
      <c r="BG98" s="55"/>
      <c r="BH98" s="317"/>
    </row>
    <row r="99" spans="2:65" s="155" customFormat="1" ht="17.100000000000001" customHeight="1">
      <c r="B99" s="330"/>
      <c r="C99" s="481">
        <v>3.2</v>
      </c>
      <c r="D99" s="1064" t="str">
        <f>X!C361</f>
        <v>Berechnung der CO2-Emissionen durch Kältemittelverluste (bei Reparaturarbeiten, Wartung und durch Leckagen)</v>
      </c>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H99" s="156"/>
      <c r="AI99" s="156"/>
      <c r="AJ99" s="156"/>
      <c r="AK99" s="336"/>
      <c r="AL99" s="336"/>
      <c r="AM99" s="156"/>
      <c r="AN99" s="156"/>
      <c r="AO99" s="156"/>
      <c r="AP99" s="156"/>
      <c r="AQ99" s="156"/>
      <c r="AR99" s="156"/>
      <c r="AS99" s="156"/>
      <c r="AT99" s="156"/>
      <c r="AU99" s="156"/>
      <c r="AV99" s="156"/>
      <c r="AW99" s="156"/>
      <c r="AX99" s="156"/>
      <c r="AY99" s="156"/>
      <c r="AZ99" s="156"/>
      <c r="BA99" s="156"/>
      <c r="BB99" s="156"/>
      <c r="BC99" s="156"/>
      <c r="BD99" s="336"/>
      <c r="BE99" s="156"/>
      <c r="BF99" s="156"/>
      <c r="BG99" s="156"/>
      <c r="BH99" s="332"/>
      <c r="BM99" s="28"/>
    </row>
    <row r="100" spans="2:65" s="28" customFormat="1" ht="17.100000000000001" customHeight="1">
      <c r="B100" s="316"/>
      <c r="C100" s="1063" t="str">
        <f>X!C362</f>
        <v>Kältemittelverluste pro Jahr</v>
      </c>
      <c r="D100" s="231"/>
      <c r="E100" s="231"/>
      <c r="F100" s="231"/>
      <c r="G100" s="231"/>
      <c r="H100" s="231"/>
      <c r="I100" s="231"/>
      <c r="J100" s="231"/>
      <c r="K100" s="231"/>
      <c r="L100" s="231"/>
      <c r="M100" s="231"/>
      <c r="N100" s="231"/>
      <c r="O100" s="231"/>
      <c r="P100" s="231"/>
      <c r="Q100" s="231"/>
      <c r="R100" s="231" t="s">
        <v>30</v>
      </c>
      <c r="S100" s="231"/>
      <c r="T100" s="231"/>
      <c r="U100" s="231"/>
      <c r="V100" s="231"/>
      <c r="W100" s="231"/>
      <c r="X100" s="231"/>
      <c r="Y100" s="231"/>
      <c r="Z100" s="1531">
        <f>J323</f>
        <v>1</v>
      </c>
      <c r="AA100" s="1531"/>
      <c r="AB100" s="1531"/>
      <c r="AC100" s="1531"/>
      <c r="AD100" s="1531"/>
      <c r="AE100" s="1531"/>
      <c r="AF100" s="1531"/>
      <c r="AG100" s="1531"/>
      <c r="AH100" s="1531"/>
      <c r="AI100" s="1531">
        <v>0.15</v>
      </c>
      <c r="AJ100" s="55"/>
      <c r="AK100" s="231"/>
      <c r="AL100" s="231"/>
      <c r="AM100" s="231"/>
      <c r="AN100" s="231"/>
      <c r="AO100" s="55"/>
      <c r="AP100" s="55"/>
      <c r="AQ100" s="55"/>
      <c r="AR100" s="231"/>
      <c r="AS100" s="1531">
        <f>J362</f>
        <v>1</v>
      </c>
      <c r="AT100" s="1531"/>
      <c r="AU100" s="1531"/>
      <c r="AV100" s="1531"/>
      <c r="AW100" s="1531"/>
      <c r="AX100" s="1531"/>
      <c r="AY100" s="1531"/>
      <c r="AZ100" s="1531"/>
      <c r="BA100" s="1531"/>
      <c r="BB100" s="1531">
        <v>0.15</v>
      </c>
      <c r="BC100" s="55"/>
      <c r="BD100" s="231"/>
      <c r="BE100" s="231"/>
      <c r="BF100" s="231"/>
      <c r="BG100" s="231"/>
      <c r="BH100" s="317"/>
    </row>
    <row r="101" spans="2:65" s="28" customFormat="1" ht="17.100000000000001" hidden="1" customHeight="1" outlineLevel="1">
      <c r="B101" s="316"/>
      <c r="C101" s="492"/>
      <c r="D101" s="231" t="s">
        <v>31</v>
      </c>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1724">
        <f>INT(Z94*Z100*Z91*Z93)</f>
        <v>0</v>
      </c>
      <c r="AA101" s="1724"/>
      <c r="AB101" s="1724"/>
      <c r="AC101" s="1724"/>
      <c r="AD101" s="1724"/>
      <c r="AE101" s="1724"/>
      <c r="AF101" s="1724"/>
      <c r="AG101" s="1724"/>
      <c r="AH101" s="1724"/>
      <c r="AI101" s="1724">
        <v>352800</v>
      </c>
      <c r="AJ101" s="55"/>
      <c r="AK101" s="231"/>
      <c r="AL101" s="231"/>
      <c r="AM101" s="231"/>
      <c r="AN101" s="231"/>
      <c r="AO101" s="55"/>
      <c r="AP101" s="55"/>
      <c r="AQ101" s="55"/>
      <c r="AR101" s="231"/>
      <c r="AS101" s="1724">
        <f>INT(AS94*AS100*AS91*AS93)</f>
        <v>0</v>
      </c>
      <c r="AT101" s="1724"/>
      <c r="AU101" s="1724"/>
      <c r="AV101" s="1724"/>
      <c r="AW101" s="1724"/>
      <c r="AX101" s="1724"/>
      <c r="AY101" s="1724"/>
      <c r="AZ101" s="1724"/>
      <c r="BA101" s="1724"/>
      <c r="BB101" s="1724">
        <v>352800</v>
      </c>
      <c r="BC101" s="55"/>
      <c r="BD101" s="231"/>
      <c r="BE101" s="231"/>
      <c r="BF101" s="231"/>
      <c r="BG101" s="231"/>
      <c r="BH101" s="317"/>
    </row>
    <row r="102" spans="2:65" s="28" customFormat="1" ht="17.100000000000001" hidden="1" customHeight="1" outlineLevel="1">
      <c r="B102" s="316"/>
      <c r="C102" s="492"/>
      <c r="D102" s="231" t="s">
        <v>32</v>
      </c>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1725">
        <f>IF(LEN(Z101)&lt;3,0,IF(LEN(Z101)=3,-1,IF(LEN(Z101)=4,-2,-3)))</f>
        <v>0</v>
      </c>
      <c r="AA102" s="1725"/>
      <c r="AB102" s="1725"/>
      <c r="AC102" s="1725"/>
      <c r="AD102" s="1725"/>
      <c r="AE102" s="1725"/>
      <c r="AF102" s="1725"/>
      <c r="AG102" s="1725"/>
      <c r="AH102" s="1725"/>
      <c r="AI102" s="1725">
        <v>-3</v>
      </c>
      <c r="AJ102" s="55"/>
      <c r="AK102" s="231"/>
      <c r="AL102" s="231"/>
      <c r="AM102" s="231"/>
      <c r="AN102" s="231"/>
      <c r="AO102" s="55"/>
      <c r="AP102" s="55"/>
      <c r="AQ102" s="55"/>
      <c r="AR102" s="231"/>
      <c r="AS102" s="1725">
        <f>IF(LEN(AS101)&lt;3,0,IF(LEN(AS101)=3,-1,IF(LEN(AS101)=4,-2,-3)))</f>
        <v>0</v>
      </c>
      <c r="AT102" s="1725"/>
      <c r="AU102" s="1725"/>
      <c r="AV102" s="1725"/>
      <c r="AW102" s="1725"/>
      <c r="AX102" s="1725"/>
      <c r="AY102" s="1725"/>
      <c r="AZ102" s="1725"/>
      <c r="BA102" s="1725"/>
      <c r="BB102" s="1725">
        <v>-3</v>
      </c>
      <c r="BC102" s="55"/>
      <c r="BD102" s="231"/>
      <c r="BE102" s="231"/>
      <c r="BF102" s="231"/>
      <c r="BG102" s="231"/>
      <c r="BH102" s="317"/>
    </row>
    <row r="103" spans="2:65" s="28" customFormat="1" ht="17.100000000000001" customHeight="1" collapsed="1">
      <c r="B103" s="316"/>
      <c r="C103" s="1063" t="str">
        <f>X!C363</f>
        <v>CO2 Emissionen durch Kältemittel-Verluste</v>
      </c>
      <c r="D103" s="231"/>
      <c r="E103" s="231"/>
      <c r="F103" s="231"/>
      <c r="G103" s="231"/>
      <c r="H103" s="231"/>
      <c r="I103" s="231"/>
      <c r="J103" s="231"/>
      <c r="K103" s="231"/>
      <c r="L103" s="231"/>
      <c r="M103" s="231"/>
      <c r="N103" s="231"/>
      <c r="O103" s="231"/>
      <c r="P103" s="231"/>
      <c r="Q103" s="231"/>
      <c r="R103" s="231" t="s">
        <v>265</v>
      </c>
      <c r="S103" s="231"/>
      <c r="T103" s="231"/>
      <c r="U103" s="231"/>
      <c r="V103" s="231"/>
      <c r="W103" s="231"/>
      <c r="X103" s="231"/>
      <c r="Y103" s="231"/>
      <c r="Z103" s="1724">
        <f>ROUND(Z101,Z102)</f>
        <v>0</v>
      </c>
      <c r="AA103" s="1724"/>
      <c r="AB103" s="1724"/>
      <c r="AC103" s="1724"/>
      <c r="AD103" s="1724"/>
      <c r="AE103" s="1724"/>
      <c r="AF103" s="1724"/>
      <c r="AG103" s="1724"/>
      <c r="AH103" s="1724"/>
      <c r="AI103" s="1724">
        <v>353000</v>
      </c>
      <c r="AJ103" s="55"/>
      <c r="AK103" s="231"/>
      <c r="AL103" s="231"/>
      <c r="AM103" s="231"/>
      <c r="AN103" s="231"/>
      <c r="AO103" s="55"/>
      <c r="AP103" s="55"/>
      <c r="AQ103" s="55"/>
      <c r="AR103" s="231"/>
      <c r="AS103" s="1724">
        <f>ROUND(AS101,AS102)</f>
        <v>0</v>
      </c>
      <c r="AT103" s="1724"/>
      <c r="AU103" s="1724"/>
      <c r="AV103" s="1724"/>
      <c r="AW103" s="1724"/>
      <c r="AX103" s="1724"/>
      <c r="AY103" s="1724"/>
      <c r="AZ103" s="1724"/>
      <c r="BA103" s="1724"/>
      <c r="BB103" s="1724">
        <v>353000</v>
      </c>
      <c r="BC103" s="55"/>
      <c r="BD103" s="231"/>
      <c r="BE103" s="231"/>
      <c r="BF103" s="231"/>
      <c r="BG103" s="231"/>
      <c r="BH103" s="317"/>
    </row>
    <row r="104" spans="2:65" s="28" customFormat="1" ht="17.100000000000001" customHeight="1">
      <c r="B104" s="316"/>
      <c r="D104" s="55"/>
      <c r="E104" s="55"/>
      <c r="F104" s="55"/>
      <c r="G104" s="55"/>
      <c r="H104" s="55"/>
      <c r="I104" s="55"/>
      <c r="J104" s="55"/>
      <c r="K104" s="55"/>
      <c r="L104" s="55"/>
      <c r="M104" s="55"/>
      <c r="N104" s="55"/>
      <c r="O104" s="55"/>
      <c r="P104" s="55"/>
      <c r="Q104" s="55"/>
      <c r="R104" s="55"/>
      <c r="S104" s="55"/>
      <c r="T104" s="55"/>
      <c r="U104" s="55"/>
      <c r="V104" s="55"/>
      <c r="W104" s="55"/>
      <c r="X104" s="55"/>
      <c r="Y104" s="55"/>
      <c r="Z104" s="346"/>
      <c r="AA104" s="346"/>
      <c r="AB104" s="346"/>
      <c r="AC104" s="346"/>
      <c r="AD104" s="346"/>
      <c r="AE104" s="346"/>
      <c r="AF104" s="346"/>
      <c r="AG104" s="346"/>
      <c r="AH104" s="346"/>
      <c r="AI104" s="346"/>
      <c r="AJ104" s="55"/>
      <c r="AK104" s="55"/>
      <c r="AL104" s="55"/>
      <c r="AM104" s="55"/>
      <c r="AN104" s="55"/>
      <c r="AO104" s="55"/>
      <c r="AP104" s="55"/>
      <c r="AQ104" s="55"/>
      <c r="AR104" s="55"/>
      <c r="AS104" s="346"/>
      <c r="AT104" s="346"/>
      <c r="AU104" s="346"/>
      <c r="AV104" s="346"/>
      <c r="AW104" s="346"/>
      <c r="AX104" s="346"/>
      <c r="AY104" s="346"/>
      <c r="AZ104" s="346"/>
      <c r="BA104" s="346"/>
      <c r="BB104" s="346"/>
      <c r="BC104" s="55"/>
      <c r="BD104" s="55"/>
      <c r="BE104" s="55"/>
      <c r="BF104" s="55"/>
      <c r="BG104" s="55"/>
      <c r="BH104" s="317"/>
    </row>
    <row r="105" spans="2:65" ht="17.100000000000001" customHeight="1">
      <c r="B105" s="311"/>
      <c r="C105" s="477"/>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92"/>
      <c r="AJ105" s="52"/>
      <c r="AK105" s="93"/>
      <c r="AL105" s="93"/>
      <c r="AM105" s="52"/>
      <c r="AN105" s="52"/>
      <c r="AO105" s="52"/>
      <c r="AP105" s="52"/>
      <c r="AQ105" s="52"/>
      <c r="AR105" s="52"/>
      <c r="AS105" s="52"/>
      <c r="AT105" s="52"/>
      <c r="AU105" s="52"/>
      <c r="AV105" s="52"/>
      <c r="AW105" s="52"/>
      <c r="AX105" s="52"/>
      <c r="AY105" s="52"/>
      <c r="AZ105" s="52"/>
      <c r="BA105" s="52"/>
      <c r="BB105" s="92"/>
      <c r="BC105" s="52"/>
      <c r="BD105" s="93"/>
      <c r="BE105" s="52"/>
      <c r="BF105" s="52"/>
      <c r="BG105" s="52"/>
      <c r="BH105" s="312"/>
      <c r="BM105" s="28"/>
    </row>
    <row r="106" spans="2:65" s="155" customFormat="1" ht="17.100000000000001" customHeight="1">
      <c r="B106" s="330"/>
      <c r="C106" s="481">
        <v>3.3</v>
      </c>
      <c r="D106" s="570" t="str">
        <f>X!$C$47</f>
        <v>Berechnung der CO2-Emissionen durch Verluste bei der Rückgewinnung des Kältemittels</v>
      </c>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336"/>
      <c r="AL106" s="336"/>
      <c r="AM106" s="156"/>
      <c r="AN106" s="156"/>
      <c r="AO106" s="156"/>
      <c r="AP106" s="156"/>
      <c r="AQ106" s="156"/>
      <c r="AR106" s="156"/>
      <c r="AS106" s="156"/>
      <c r="AT106" s="156"/>
      <c r="AU106" s="156"/>
      <c r="AV106" s="156"/>
      <c r="AW106" s="156"/>
      <c r="AX106" s="156"/>
      <c r="AY106" s="156"/>
      <c r="AZ106" s="156"/>
      <c r="BA106" s="156"/>
      <c r="BB106" s="156"/>
      <c r="BC106" s="156"/>
      <c r="BD106" s="336"/>
      <c r="BE106" s="156"/>
      <c r="BF106" s="156"/>
      <c r="BG106" s="156"/>
      <c r="BH106" s="332"/>
    </row>
    <row r="107" spans="2:65" s="28" customFormat="1" ht="17.100000000000001" customHeight="1">
      <c r="B107" s="316"/>
      <c r="C107" s="572" t="str">
        <f>X!$C$204</f>
        <v>Recycling-Faktor</v>
      </c>
      <c r="D107" s="231"/>
      <c r="E107" s="231"/>
      <c r="F107" s="231"/>
      <c r="G107" s="231"/>
      <c r="H107" s="231"/>
      <c r="I107" s="231"/>
      <c r="J107" s="231"/>
      <c r="K107" s="231"/>
      <c r="L107" s="231"/>
      <c r="M107" s="231"/>
      <c r="N107" s="231"/>
      <c r="O107" s="231"/>
      <c r="P107" s="231"/>
      <c r="Q107" s="231"/>
      <c r="R107" s="231" t="s">
        <v>30</v>
      </c>
      <c r="S107" s="231"/>
      <c r="T107" s="231"/>
      <c r="U107" s="231"/>
      <c r="V107" s="231"/>
      <c r="W107" s="231"/>
      <c r="X107" s="231"/>
      <c r="Y107" s="231"/>
      <c r="Z107" s="1749">
        <f>J324</f>
        <v>0</v>
      </c>
      <c r="AA107" s="1725"/>
      <c r="AB107" s="1725"/>
      <c r="AC107" s="1725"/>
      <c r="AD107" s="1725"/>
      <c r="AE107" s="1725"/>
      <c r="AF107" s="1725"/>
      <c r="AG107" s="1725"/>
      <c r="AH107" s="1725"/>
      <c r="AI107" s="1725">
        <v>0.15</v>
      </c>
      <c r="AJ107" s="55"/>
      <c r="AK107" s="231"/>
      <c r="AL107" s="231"/>
      <c r="AM107" s="231"/>
      <c r="AN107" s="231"/>
      <c r="AO107" s="55"/>
      <c r="AP107" s="55"/>
      <c r="AQ107" s="55"/>
      <c r="AR107" s="231"/>
      <c r="AS107" s="1749">
        <f>J363</f>
        <v>0</v>
      </c>
      <c r="AT107" s="1725"/>
      <c r="AU107" s="1725"/>
      <c r="AV107" s="1725"/>
      <c r="AW107" s="1725"/>
      <c r="AX107" s="1725"/>
      <c r="AY107" s="1725"/>
      <c r="AZ107" s="1725"/>
      <c r="BA107" s="1725"/>
      <c r="BB107" s="1725">
        <v>0.15</v>
      </c>
      <c r="BC107" s="55"/>
      <c r="BD107" s="231"/>
      <c r="BE107" s="231"/>
      <c r="BF107" s="231"/>
      <c r="BG107" s="231"/>
      <c r="BH107" s="317"/>
    </row>
    <row r="108" spans="2:65" s="28" customFormat="1" ht="17.100000000000001" hidden="1" customHeight="1" outlineLevel="1">
      <c r="B108" s="316"/>
      <c r="C108" s="492"/>
      <c r="D108" s="231" t="s">
        <v>34</v>
      </c>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1724">
        <f>INT(Y35*(1-Z107)*Z93)</f>
        <v>0</v>
      </c>
      <c r="AA108" s="1724"/>
      <c r="AB108" s="1724"/>
      <c r="AC108" s="1724"/>
      <c r="AD108" s="1724"/>
      <c r="AE108" s="1724"/>
      <c r="AF108" s="1724"/>
      <c r="AG108" s="1724"/>
      <c r="AH108" s="1724"/>
      <c r="AI108" s="1724">
        <v>352800</v>
      </c>
      <c r="AJ108" s="55"/>
      <c r="AK108" s="231"/>
      <c r="AL108" s="231"/>
      <c r="AM108" s="231"/>
      <c r="AN108" s="231"/>
      <c r="AO108" s="55"/>
      <c r="AP108" s="55"/>
      <c r="AQ108" s="55"/>
      <c r="AR108" s="231"/>
      <c r="AS108" s="1724">
        <f>INT(AR35*(1-AS107)*AS93)</f>
        <v>0</v>
      </c>
      <c r="AT108" s="1724"/>
      <c r="AU108" s="1724"/>
      <c r="AV108" s="1724"/>
      <c r="AW108" s="1724"/>
      <c r="AX108" s="1724"/>
      <c r="AY108" s="1724"/>
      <c r="AZ108" s="1724"/>
      <c r="BA108" s="1724"/>
      <c r="BB108" s="1724">
        <v>352800</v>
      </c>
      <c r="BC108" s="55"/>
      <c r="BD108" s="231"/>
      <c r="BE108" s="231"/>
      <c r="BF108" s="231"/>
      <c r="BG108" s="231"/>
      <c r="BH108" s="317"/>
    </row>
    <row r="109" spans="2:65" s="28" customFormat="1" ht="17.100000000000001" hidden="1" customHeight="1" outlineLevel="1">
      <c r="B109" s="316"/>
      <c r="C109" s="492"/>
      <c r="D109" s="231" t="s">
        <v>32</v>
      </c>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1725">
        <f>IF(LEN(Z108)&lt;3,0,IF(LEN(Z108)=3,-1,IF(LEN(Z108)=4,-2,-3)))</f>
        <v>0</v>
      </c>
      <c r="AA109" s="1725"/>
      <c r="AB109" s="1725"/>
      <c r="AC109" s="1725"/>
      <c r="AD109" s="1725"/>
      <c r="AE109" s="1725"/>
      <c r="AF109" s="1725"/>
      <c r="AG109" s="1725"/>
      <c r="AH109" s="1725"/>
      <c r="AI109" s="1725">
        <v>-3</v>
      </c>
      <c r="AJ109" s="55"/>
      <c r="AK109" s="231"/>
      <c r="AL109" s="231"/>
      <c r="AM109" s="231"/>
      <c r="AN109" s="231"/>
      <c r="AO109" s="55"/>
      <c r="AP109" s="55"/>
      <c r="AQ109" s="55"/>
      <c r="AR109" s="231"/>
      <c r="AS109" s="1725">
        <f>IF(LEN(AS108)&lt;3,0,IF(LEN(AS108)=3,-1,IF(LEN(AS108)=4,-2,-3)))</f>
        <v>0</v>
      </c>
      <c r="AT109" s="1725"/>
      <c r="AU109" s="1725"/>
      <c r="AV109" s="1725"/>
      <c r="AW109" s="1725"/>
      <c r="AX109" s="1725"/>
      <c r="AY109" s="1725"/>
      <c r="AZ109" s="1725"/>
      <c r="BA109" s="1725"/>
      <c r="BB109" s="1725">
        <v>-3</v>
      </c>
      <c r="BC109" s="55"/>
      <c r="BD109" s="231"/>
      <c r="BE109" s="231"/>
      <c r="BF109" s="231"/>
      <c r="BG109" s="231"/>
      <c r="BH109" s="317"/>
    </row>
    <row r="110" spans="2:65" s="28" customFormat="1" ht="17.100000000000001" customHeight="1" collapsed="1">
      <c r="B110" s="316"/>
      <c r="C110" s="572" t="str">
        <f>X!$C$71</f>
        <v>CO2-Emissionen Rückgewinnungsverluste</v>
      </c>
      <c r="D110" s="231"/>
      <c r="E110" s="231"/>
      <c r="F110" s="231"/>
      <c r="G110" s="231"/>
      <c r="H110" s="231"/>
      <c r="I110" s="231"/>
      <c r="J110" s="231"/>
      <c r="K110" s="231"/>
      <c r="L110" s="231"/>
      <c r="M110" s="231"/>
      <c r="N110" s="231"/>
      <c r="O110" s="231"/>
      <c r="P110" s="231"/>
      <c r="Q110" s="231"/>
      <c r="R110" s="231" t="s">
        <v>265</v>
      </c>
      <c r="S110" s="231"/>
      <c r="T110" s="231"/>
      <c r="U110" s="231"/>
      <c r="V110" s="231"/>
      <c r="W110" s="231"/>
      <c r="X110" s="231"/>
      <c r="Y110" s="231"/>
      <c r="Z110" s="1724">
        <f>ROUND(Z108,Z109)</f>
        <v>0</v>
      </c>
      <c r="AA110" s="1724"/>
      <c r="AB110" s="1724"/>
      <c r="AC110" s="1724"/>
      <c r="AD110" s="1724"/>
      <c r="AE110" s="1724"/>
      <c r="AF110" s="1724"/>
      <c r="AG110" s="1724"/>
      <c r="AH110" s="1724"/>
      <c r="AI110" s="1724">
        <v>353000</v>
      </c>
      <c r="AJ110" s="55"/>
      <c r="AK110" s="231"/>
      <c r="AL110" s="231"/>
      <c r="AM110" s="231"/>
      <c r="AN110" s="231"/>
      <c r="AO110" s="55"/>
      <c r="AP110" s="55"/>
      <c r="AQ110" s="55"/>
      <c r="AR110" s="231"/>
      <c r="AS110" s="1724">
        <f>ROUND(AS108,AS109)</f>
        <v>0</v>
      </c>
      <c r="AT110" s="1724"/>
      <c r="AU110" s="1724"/>
      <c r="AV110" s="1724"/>
      <c r="AW110" s="1724"/>
      <c r="AX110" s="1724"/>
      <c r="AY110" s="1724"/>
      <c r="AZ110" s="1724"/>
      <c r="BA110" s="1724"/>
      <c r="BB110" s="1724">
        <v>353000</v>
      </c>
      <c r="BC110" s="55"/>
      <c r="BD110" s="231"/>
      <c r="BE110" s="231"/>
      <c r="BF110" s="231"/>
      <c r="BG110" s="231"/>
      <c r="BH110" s="317"/>
    </row>
    <row r="111" spans="2:65" s="28" customFormat="1" ht="17.100000000000001" customHeight="1">
      <c r="B111" s="316"/>
      <c r="C111" s="363"/>
      <c r="D111" s="55"/>
      <c r="E111" s="55"/>
      <c r="F111" s="55"/>
      <c r="G111" s="55"/>
      <c r="H111" s="55"/>
      <c r="I111" s="55"/>
      <c r="J111" s="55"/>
      <c r="K111" s="55"/>
      <c r="L111" s="55"/>
      <c r="M111" s="55"/>
      <c r="N111" s="55"/>
      <c r="O111" s="55"/>
      <c r="P111" s="55"/>
      <c r="Q111" s="55"/>
      <c r="R111" s="55"/>
      <c r="S111" s="55"/>
      <c r="T111" s="55"/>
      <c r="U111" s="55"/>
      <c r="V111" s="55"/>
      <c r="W111" s="55"/>
      <c r="X111" s="55"/>
      <c r="Y111" s="55"/>
      <c r="Z111" s="346"/>
      <c r="AA111" s="346"/>
      <c r="AB111" s="346"/>
      <c r="AC111" s="346"/>
      <c r="AD111" s="346"/>
      <c r="AE111" s="346"/>
      <c r="AF111" s="346"/>
      <c r="AG111" s="346"/>
      <c r="AH111" s="346"/>
      <c r="AI111" s="346"/>
      <c r="AJ111" s="55"/>
      <c r="AK111" s="55"/>
      <c r="AL111" s="55"/>
      <c r="AM111" s="55"/>
      <c r="AN111" s="55"/>
      <c r="AO111" s="55"/>
      <c r="AP111" s="55"/>
      <c r="AQ111" s="55"/>
      <c r="AR111" s="55"/>
      <c r="AS111" s="346"/>
      <c r="AT111" s="346"/>
      <c r="AU111" s="346"/>
      <c r="AV111" s="346"/>
      <c r="AW111" s="346"/>
      <c r="AX111" s="346"/>
      <c r="AY111" s="346"/>
      <c r="AZ111" s="346"/>
      <c r="BA111" s="346"/>
      <c r="BB111" s="346"/>
      <c r="BC111" s="55"/>
      <c r="BD111" s="55"/>
      <c r="BE111" s="55"/>
      <c r="BF111" s="55"/>
      <c r="BG111" s="55"/>
      <c r="BH111" s="317"/>
    </row>
    <row r="112" spans="2:65" ht="17.100000000000001" customHeight="1">
      <c r="B112" s="311"/>
      <c r="C112" s="477"/>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92"/>
      <c r="AJ112" s="52"/>
      <c r="AK112" s="93"/>
      <c r="AL112" s="93"/>
      <c r="AM112" s="52"/>
      <c r="AN112" s="52"/>
      <c r="AO112" s="52"/>
      <c r="AP112" s="52"/>
      <c r="AQ112" s="52"/>
      <c r="AR112" s="52"/>
      <c r="AS112" s="52"/>
      <c r="AT112" s="52"/>
      <c r="AU112" s="52"/>
      <c r="AV112" s="52"/>
      <c r="AW112" s="52"/>
      <c r="AX112" s="52"/>
      <c r="AY112" s="52"/>
      <c r="AZ112" s="52"/>
      <c r="BA112" s="52"/>
      <c r="BB112" s="92"/>
      <c r="BC112" s="52"/>
      <c r="BD112" s="93"/>
      <c r="BE112" s="52"/>
      <c r="BF112" s="52"/>
      <c r="BG112" s="52"/>
      <c r="BH112" s="312"/>
    </row>
    <row r="113" spans="2:60" s="155" customFormat="1" ht="17.100000000000001" customHeight="1">
      <c r="B113" s="330"/>
      <c r="C113" s="481">
        <v>3.4</v>
      </c>
      <c r="D113" s="570" t="str">
        <f>X!$C$45</f>
        <v>Berechnung der CO2-Emissionen durch den Elektrizitätsverbrauch der Kälteanlage</v>
      </c>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c r="AF113" s="156"/>
      <c r="AG113" s="156"/>
      <c r="AH113" s="156"/>
      <c r="AI113" s="156"/>
      <c r="AJ113" s="156"/>
      <c r="AK113" s="336"/>
      <c r="AL113" s="336"/>
      <c r="AM113" s="156"/>
      <c r="AN113" s="156"/>
      <c r="AO113" s="156"/>
      <c r="AP113" s="156"/>
      <c r="AQ113" s="156"/>
      <c r="AR113" s="156"/>
      <c r="AS113" s="156"/>
      <c r="AT113" s="156"/>
      <c r="AU113" s="156"/>
      <c r="AV113" s="156"/>
      <c r="AW113" s="156"/>
      <c r="AX113" s="156"/>
      <c r="AY113" s="156"/>
      <c r="AZ113" s="156"/>
      <c r="BA113" s="156"/>
      <c r="BB113" s="156"/>
      <c r="BC113" s="156"/>
      <c r="BD113" s="336"/>
      <c r="BE113" s="156"/>
      <c r="BF113" s="156"/>
      <c r="BG113" s="156"/>
      <c r="BH113" s="332"/>
    </row>
    <row r="114" spans="2:60" s="28" customFormat="1" ht="17.100000000000001" hidden="1" customHeight="1" outlineLevel="1">
      <c r="B114" s="316"/>
      <c r="C114" s="572" t="str">
        <f>X!$C$92</f>
        <v>Elektrizitätsbedarf</v>
      </c>
      <c r="D114" s="231"/>
      <c r="E114" s="231"/>
      <c r="F114" s="231"/>
      <c r="G114" s="231"/>
      <c r="H114" s="231"/>
      <c r="I114" s="231"/>
      <c r="J114" s="231"/>
      <c r="K114" s="231"/>
      <c r="L114" s="231"/>
      <c r="M114" s="231"/>
      <c r="N114" s="231"/>
      <c r="O114" s="231"/>
      <c r="P114" s="231"/>
      <c r="Q114" s="231"/>
      <c r="R114" s="231" t="s">
        <v>22</v>
      </c>
      <c r="S114" s="231"/>
      <c r="T114" s="231"/>
      <c r="U114" s="231"/>
      <c r="V114" s="231"/>
      <c r="W114" s="231"/>
      <c r="X114" s="231"/>
      <c r="Y114" s="231"/>
      <c r="Z114" s="1724">
        <f>Z46</f>
        <v>0</v>
      </c>
      <c r="AA114" s="1724"/>
      <c r="AB114" s="1724"/>
      <c r="AC114" s="1724"/>
      <c r="AD114" s="1724"/>
      <c r="AE114" s="1724"/>
      <c r="AF114" s="1724"/>
      <c r="AG114" s="1724"/>
      <c r="AH114" s="1724"/>
      <c r="AI114" s="1724">
        <v>0.15</v>
      </c>
      <c r="AJ114" s="55"/>
      <c r="AK114" s="231"/>
      <c r="AL114" s="231"/>
      <c r="AM114" s="231"/>
      <c r="AN114" s="231"/>
      <c r="AO114" s="55"/>
      <c r="AP114" s="55"/>
      <c r="AQ114" s="55"/>
      <c r="AR114" s="231"/>
      <c r="AS114" s="1724">
        <f>AS46</f>
        <v>0</v>
      </c>
      <c r="AT114" s="1724"/>
      <c r="AU114" s="1724"/>
      <c r="AV114" s="1724"/>
      <c r="AW114" s="1724"/>
      <c r="AX114" s="1724"/>
      <c r="AY114" s="1724"/>
      <c r="AZ114" s="1724"/>
      <c r="BA114" s="1724"/>
      <c r="BB114" s="1724">
        <v>0.15</v>
      </c>
      <c r="BC114" s="55"/>
      <c r="BD114" s="231"/>
      <c r="BE114" s="231"/>
      <c r="BF114" s="231"/>
      <c r="BG114" s="231"/>
      <c r="BH114" s="317"/>
    </row>
    <row r="115" spans="2:60" s="28" customFormat="1" ht="17.100000000000001" customHeight="1" collapsed="1">
      <c r="B115" s="316"/>
      <c r="C115" s="572" t="str">
        <f>X!$C$218</f>
        <v>Strom-Mix</v>
      </c>
      <c r="D115" s="231"/>
      <c r="E115" s="231"/>
      <c r="F115" s="231"/>
      <c r="G115" s="231"/>
      <c r="H115" s="231"/>
      <c r="I115" s="231"/>
      <c r="J115" s="231"/>
      <c r="K115" s="231"/>
      <c r="L115" s="231"/>
      <c r="M115" s="231"/>
      <c r="N115" s="231"/>
      <c r="O115" s="231"/>
      <c r="P115" s="231"/>
      <c r="Q115" s="231"/>
      <c r="R115" s="231" t="s">
        <v>95</v>
      </c>
      <c r="S115" s="231"/>
      <c r="T115" s="231"/>
      <c r="U115" s="231"/>
      <c r="V115" s="231"/>
      <c r="W115" s="231"/>
      <c r="X115" s="231"/>
      <c r="Y115" s="231"/>
      <c r="Z115" s="1725">
        <f>Y38</f>
        <v>0</v>
      </c>
      <c r="AA115" s="1725"/>
      <c r="AB115" s="1725"/>
      <c r="AC115" s="1725"/>
      <c r="AD115" s="1725"/>
      <c r="AE115" s="1725"/>
      <c r="AF115" s="1725"/>
      <c r="AG115" s="1725"/>
      <c r="AH115" s="1725"/>
      <c r="AI115" s="1725">
        <v>353000</v>
      </c>
      <c r="AJ115" s="55"/>
      <c r="AK115" s="231"/>
      <c r="AL115" s="231"/>
      <c r="AM115" s="231"/>
      <c r="AN115" s="231"/>
      <c r="AO115" s="55"/>
      <c r="AP115" s="55"/>
      <c r="AQ115" s="55"/>
      <c r="AR115" s="231"/>
      <c r="AS115" s="1725">
        <f>AR38</f>
        <v>0</v>
      </c>
      <c r="AT115" s="1725"/>
      <c r="AU115" s="1725"/>
      <c r="AV115" s="1725"/>
      <c r="AW115" s="1725"/>
      <c r="AX115" s="1725"/>
      <c r="AY115" s="1725"/>
      <c r="AZ115" s="1725"/>
      <c r="BA115" s="1725"/>
      <c r="BB115" s="1725">
        <v>353000</v>
      </c>
      <c r="BC115" s="55"/>
      <c r="BD115" s="231"/>
      <c r="BE115" s="231"/>
      <c r="BF115" s="231"/>
      <c r="BG115" s="231"/>
      <c r="BH115" s="317"/>
    </row>
    <row r="116" spans="2:60" s="28" customFormat="1" ht="17.100000000000001" customHeight="1">
      <c r="B116" s="316"/>
      <c r="C116" s="572" t="str">
        <f>X!$C$73</f>
        <v>CO2-Emissionsfaktor Elektrizität</v>
      </c>
      <c r="D116" s="231"/>
      <c r="E116" s="231"/>
      <c r="F116" s="231"/>
      <c r="G116" s="231"/>
      <c r="H116" s="231"/>
      <c r="I116" s="231"/>
      <c r="J116" s="231"/>
      <c r="K116" s="231"/>
      <c r="L116" s="231"/>
      <c r="M116" s="231"/>
      <c r="N116" s="231"/>
      <c r="O116" s="231"/>
      <c r="P116" s="231"/>
      <c r="Q116" s="231"/>
      <c r="R116" s="231" t="s">
        <v>871</v>
      </c>
      <c r="S116" s="231"/>
      <c r="T116" s="231"/>
      <c r="U116" s="231"/>
      <c r="V116" s="231"/>
      <c r="W116" s="231"/>
      <c r="X116" s="231"/>
      <c r="Y116" s="231"/>
      <c r="Z116" s="1725">
        <f>AG232</f>
        <v>0</v>
      </c>
      <c r="AA116" s="1725"/>
      <c r="AB116" s="1725"/>
      <c r="AC116" s="1725"/>
      <c r="AD116" s="1725"/>
      <c r="AE116" s="1725"/>
      <c r="AF116" s="1725"/>
      <c r="AG116" s="1725"/>
      <c r="AH116" s="1725"/>
      <c r="AI116" s="1725">
        <v>353000</v>
      </c>
      <c r="AJ116" s="55"/>
      <c r="AK116" s="231"/>
      <c r="AL116" s="231"/>
      <c r="AM116" s="231"/>
      <c r="AN116" s="231"/>
      <c r="AO116" s="55"/>
      <c r="AP116" s="55"/>
      <c r="AQ116" s="55"/>
      <c r="AR116" s="231"/>
      <c r="AS116" s="1725">
        <f>AZ232</f>
        <v>0</v>
      </c>
      <c r="AT116" s="1725"/>
      <c r="AU116" s="1725"/>
      <c r="AV116" s="1725"/>
      <c r="AW116" s="1725"/>
      <c r="AX116" s="1725"/>
      <c r="AY116" s="1725"/>
      <c r="AZ116" s="1725"/>
      <c r="BA116" s="1725"/>
      <c r="BB116" s="1725">
        <v>353000</v>
      </c>
      <c r="BC116" s="55"/>
      <c r="BD116" s="231"/>
      <c r="BE116" s="231"/>
      <c r="BF116" s="231"/>
      <c r="BG116" s="231"/>
      <c r="BH116" s="317"/>
    </row>
    <row r="117" spans="2:60" s="28" customFormat="1" ht="17.100000000000001" hidden="1" customHeight="1" outlineLevel="1">
      <c r="B117" s="316"/>
      <c r="C117" s="492"/>
      <c r="D117" s="231" t="s">
        <v>38</v>
      </c>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1748">
        <f>INT(Z114*Z116*Z91)</f>
        <v>0</v>
      </c>
      <c r="AA117" s="1725"/>
      <c r="AB117" s="1725"/>
      <c r="AC117" s="1725"/>
      <c r="AD117" s="1725"/>
      <c r="AE117" s="1725"/>
      <c r="AF117" s="1725"/>
      <c r="AG117" s="1725"/>
      <c r="AH117" s="1725"/>
      <c r="AI117" s="1725">
        <v>352800</v>
      </c>
      <c r="AJ117" s="55"/>
      <c r="AK117" s="345"/>
      <c r="AL117" s="345"/>
      <c r="AM117" s="241"/>
      <c r="AN117" s="241"/>
      <c r="AO117" s="55"/>
      <c r="AP117" s="55"/>
      <c r="AQ117" s="55"/>
      <c r="AR117" s="231"/>
      <c r="AS117" s="1748">
        <f>INT(AS114*AS116*AS91)</f>
        <v>0</v>
      </c>
      <c r="AT117" s="1725"/>
      <c r="AU117" s="1725"/>
      <c r="AV117" s="1725"/>
      <c r="AW117" s="1725"/>
      <c r="AX117" s="1725"/>
      <c r="AY117" s="1725"/>
      <c r="AZ117" s="1725"/>
      <c r="BA117" s="1725"/>
      <c r="BB117" s="1725">
        <v>352800</v>
      </c>
      <c r="BC117" s="55"/>
      <c r="BD117" s="345"/>
      <c r="BE117" s="241"/>
      <c r="BF117" s="241"/>
      <c r="BG117" s="241"/>
      <c r="BH117" s="317"/>
    </row>
    <row r="118" spans="2:60" s="28" customFormat="1" ht="17.100000000000001" hidden="1" customHeight="1" outlineLevel="1">
      <c r="B118" s="316"/>
      <c r="C118" s="492"/>
      <c r="D118" s="231" t="s">
        <v>32</v>
      </c>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1725">
        <f>IF(LEN(Z117)&lt;3,0,IF(LEN(Z117)=3,-1,IF(LEN(Z117)=4,-2,-3)))</f>
        <v>0</v>
      </c>
      <c r="AA118" s="1725"/>
      <c r="AB118" s="1725"/>
      <c r="AC118" s="1725"/>
      <c r="AD118" s="1725"/>
      <c r="AE118" s="1725"/>
      <c r="AF118" s="1725"/>
      <c r="AG118" s="1725"/>
      <c r="AH118" s="1725"/>
      <c r="AI118" s="1725">
        <v>-3</v>
      </c>
      <c r="AJ118" s="55"/>
      <c r="AK118" s="345"/>
      <c r="AL118" s="345"/>
      <c r="AM118" s="241"/>
      <c r="AN118" s="241"/>
      <c r="AO118" s="55"/>
      <c r="AP118" s="55"/>
      <c r="AQ118" s="55"/>
      <c r="AR118" s="231"/>
      <c r="AS118" s="1725">
        <f>IF(LEN(AS117)&lt;3,0,IF(LEN(AS117)=3,-1,IF(LEN(AS117)=4,-2,-3)))</f>
        <v>0</v>
      </c>
      <c r="AT118" s="1725"/>
      <c r="AU118" s="1725"/>
      <c r="AV118" s="1725"/>
      <c r="AW118" s="1725"/>
      <c r="AX118" s="1725"/>
      <c r="AY118" s="1725"/>
      <c r="AZ118" s="1725"/>
      <c r="BA118" s="1725"/>
      <c r="BB118" s="1725">
        <v>-3</v>
      </c>
      <c r="BC118" s="55"/>
      <c r="BD118" s="345"/>
      <c r="BE118" s="241"/>
      <c r="BF118" s="241"/>
      <c r="BG118" s="241"/>
      <c r="BH118" s="317"/>
    </row>
    <row r="119" spans="2:60" s="28" customFormat="1" ht="17.100000000000001" customHeight="1" collapsed="1">
      <c r="B119" s="316"/>
      <c r="C119" s="572" t="str">
        <f>X!$C$68</f>
        <v>CO2-Emissionen Elektrizitätsverbrauch</v>
      </c>
      <c r="D119" s="231"/>
      <c r="E119" s="231"/>
      <c r="F119" s="231"/>
      <c r="G119" s="231"/>
      <c r="H119" s="231"/>
      <c r="I119" s="231"/>
      <c r="J119" s="231"/>
      <c r="K119" s="231"/>
      <c r="L119" s="231"/>
      <c r="M119" s="231"/>
      <c r="N119" s="231"/>
      <c r="O119" s="231"/>
      <c r="P119" s="231"/>
      <c r="Q119" s="231"/>
      <c r="R119" s="231" t="s">
        <v>265</v>
      </c>
      <c r="S119" s="231"/>
      <c r="T119" s="231"/>
      <c r="U119" s="231"/>
      <c r="V119" s="231"/>
      <c r="W119" s="231"/>
      <c r="X119" s="231"/>
      <c r="Y119" s="231"/>
      <c r="Z119" s="1724">
        <f>ROUND(Z117,Z118)</f>
        <v>0</v>
      </c>
      <c r="AA119" s="1724"/>
      <c r="AB119" s="1724"/>
      <c r="AC119" s="1724"/>
      <c r="AD119" s="1724"/>
      <c r="AE119" s="1724"/>
      <c r="AF119" s="1724"/>
      <c r="AG119" s="1724"/>
      <c r="AH119" s="1724"/>
      <c r="AI119" s="1724">
        <v>353000</v>
      </c>
      <c r="AJ119" s="55"/>
      <c r="AK119" s="231"/>
      <c r="AL119" s="231"/>
      <c r="AM119" s="231"/>
      <c r="AN119" s="231"/>
      <c r="AO119" s="55"/>
      <c r="AP119" s="55"/>
      <c r="AQ119" s="55"/>
      <c r="AR119" s="231"/>
      <c r="AS119" s="1724">
        <f>ROUND(AS117,AS118)</f>
        <v>0</v>
      </c>
      <c r="AT119" s="1724"/>
      <c r="AU119" s="1724"/>
      <c r="AV119" s="1724"/>
      <c r="AW119" s="1724"/>
      <c r="AX119" s="1724"/>
      <c r="AY119" s="1724"/>
      <c r="AZ119" s="1724"/>
      <c r="BA119" s="1724"/>
      <c r="BB119" s="1724">
        <v>353000</v>
      </c>
      <c r="BC119" s="55"/>
      <c r="BD119" s="231"/>
      <c r="BE119" s="231"/>
      <c r="BF119" s="231"/>
      <c r="BG119" s="231"/>
      <c r="BH119" s="317"/>
    </row>
    <row r="120" spans="2:60" ht="17.100000000000001" customHeight="1">
      <c r="B120" s="311"/>
      <c r="C120" s="770"/>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765"/>
      <c r="AJ120" s="52"/>
      <c r="AK120" s="93"/>
      <c r="AL120" s="93"/>
      <c r="AM120" s="52"/>
      <c r="AN120" s="52"/>
      <c r="AO120" s="52"/>
      <c r="AP120" s="52"/>
      <c r="AQ120" s="52"/>
      <c r="AR120" s="52"/>
      <c r="AS120" s="52"/>
      <c r="AT120" s="52"/>
      <c r="AU120" s="52"/>
      <c r="AV120" s="52"/>
      <c r="AW120" s="52"/>
      <c r="AX120" s="52"/>
      <c r="AY120" s="52"/>
      <c r="AZ120" s="52"/>
      <c r="BA120" s="52"/>
      <c r="BB120" s="765"/>
      <c r="BC120" s="52"/>
      <c r="BD120" s="93"/>
      <c r="BE120" s="52"/>
      <c r="BF120" s="52"/>
      <c r="BG120" s="52"/>
      <c r="BH120" s="312"/>
    </row>
    <row r="121" spans="2:60" ht="17.100000000000001" customHeight="1">
      <c r="B121" s="311"/>
      <c r="C121" s="770"/>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765"/>
      <c r="AJ121" s="52"/>
      <c r="AK121" s="93"/>
      <c r="AL121" s="93"/>
      <c r="AM121" s="52"/>
      <c r="AN121" s="52"/>
      <c r="AO121" s="52"/>
      <c r="AP121" s="52"/>
      <c r="AQ121" s="52"/>
      <c r="AR121" s="52"/>
      <c r="AS121" s="52"/>
      <c r="AT121" s="52"/>
      <c r="AU121" s="52"/>
      <c r="AV121" s="52"/>
      <c r="AW121" s="52"/>
      <c r="AX121" s="52"/>
      <c r="AY121" s="52"/>
      <c r="AZ121" s="52"/>
      <c r="BA121" s="52"/>
      <c r="BB121" s="765"/>
      <c r="BC121" s="52"/>
      <c r="BD121" s="93"/>
      <c r="BE121" s="52"/>
      <c r="BF121" s="52"/>
      <c r="BG121" s="52"/>
      <c r="BH121" s="312"/>
    </row>
    <row r="122" spans="2:60" s="155" customFormat="1" ht="17.100000000000001" customHeight="1">
      <c r="B122" s="330"/>
      <c r="C122" s="1065">
        <v>3.5</v>
      </c>
      <c r="D122" s="1064" t="str">
        <f>X!C364</f>
        <v>Berechnung der Reduktion der CO2-Emissionen durch die Wärmenutzung</v>
      </c>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336"/>
      <c r="AL122" s="336"/>
      <c r="AM122" s="156"/>
      <c r="AN122" s="156"/>
      <c r="AO122" s="156"/>
      <c r="AP122" s="156"/>
      <c r="AQ122" s="156"/>
      <c r="AR122" s="156"/>
      <c r="AS122" s="156"/>
      <c r="AT122" s="156"/>
      <c r="AU122" s="156"/>
      <c r="AV122" s="156"/>
      <c r="AW122" s="156"/>
      <c r="AX122" s="156"/>
      <c r="AY122" s="156"/>
      <c r="AZ122" s="156"/>
      <c r="BA122" s="156"/>
      <c r="BB122" s="156"/>
      <c r="BC122" s="156"/>
      <c r="BD122" s="336"/>
      <c r="BE122" s="156"/>
      <c r="BF122" s="156"/>
      <c r="BG122" s="156"/>
      <c r="BH122" s="332"/>
    </row>
    <row r="123" spans="2:60" s="28" customFormat="1" ht="17.100000000000001" hidden="1" customHeight="1" outlineLevel="1">
      <c r="B123" s="316"/>
      <c r="C123" s="1063" t="str">
        <f>X!C331</f>
        <v>Genutzte Wärme</v>
      </c>
      <c r="D123" s="1062"/>
      <c r="E123" s="231"/>
      <c r="F123" s="231"/>
      <c r="G123" s="231"/>
      <c r="H123" s="231"/>
      <c r="I123" s="231"/>
      <c r="J123" s="231"/>
      <c r="K123" s="231"/>
      <c r="L123" s="231"/>
      <c r="M123" s="231"/>
      <c r="N123" s="231"/>
      <c r="O123" s="231"/>
      <c r="P123" s="231"/>
      <c r="Q123" s="231"/>
      <c r="R123" s="231" t="s">
        <v>22</v>
      </c>
      <c r="S123" s="231"/>
      <c r="T123" s="231"/>
      <c r="U123" s="231"/>
      <c r="V123" s="231"/>
      <c r="W123" s="231"/>
      <c r="X123" s="231"/>
      <c r="Y123" s="231"/>
      <c r="Z123" s="1745">
        <f>'1 System specification'!S193</f>
        <v>0</v>
      </c>
      <c r="AA123" s="1745"/>
      <c r="AB123" s="1745"/>
      <c r="AC123" s="1745"/>
      <c r="AD123" s="1745"/>
      <c r="AE123" s="1745"/>
      <c r="AF123" s="1745"/>
      <c r="AG123" s="1745"/>
      <c r="AH123" s="1745"/>
      <c r="AI123" s="1745"/>
      <c r="AJ123" s="640"/>
      <c r="AK123" s="231"/>
      <c r="AL123" s="231"/>
      <c r="AM123" s="231"/>
      <c r="AN123" s="231"/>
      <c r="AO123" s="640"/>
      <c r="AP123" s="640"/>
      <c r="AQ123" s="640"/>
      <c r="AR123" s="231"/>
      <c r="AS123" s="1724">
        <f>'1 System specification'!BJ193</f>
        <v>0</v>
      </c>
      <c r="AT123" s="1724"/>
      <c r="AU123" s="1724"/>
      <c r="AV123" s="1724"/>
      <c r="AW123" s="1724"/>
      <c r="AX123" s="1724"/>
      <c r="AY123" s="1724"/>
      <c r="AZ123" s="1724"/>
      <c r="BA123" s="1724"/>
      <c r="BB123" s="1724">
        <v>0.15</v>
      </c>
      <c r="BC123" s="640"/>
      <c r="BD123" s="231"/>
      <c r="BE123" s="231"/>
      <c r="BF123" s="231"/>
      <c r="BG123" s="231"/>
      <c r="BH123" s="317"/>
    </row>
    <row r="124" spans="2:60" s="28" customFormat="1" ht="17.100000000000001" customHeight="1" collapsed="1">
      <c r="B124" s="316"/>
      <c r="C124" s="1063" t="str">
        <f>X!C365</f>
        <v>Heizungssystem</v>
      </c>
      <c r="D124" s="1062"/>
      <c r="E124" s="231"/>
      <c r="F124" s="231"/>
      <c r="G124" s="231"/>
      <c r="H124" s="231"/>
      <c r="I124" s="231"/>
      <c r="J124" s="231"/>
      <c r="K124" s="231"/>
      <c r="L124" s="231"/>
      <c r="M124" s="231"/>
      <c r="N124" s="231"/>
      <c r="O124" s="231"/>
      <c r="P124" s="231"/>
      <c r="Q124" s="231"/>
      <c r="R124" s="231" t="s">
        <v>95</v>
      </c>
      <c r="S124" s="231"/>
      <c r="T124" s="231"/>
      <c r="U124" s="231"/>
      <c r="V124" s="231"/>
      <c r="W124" s="231"/>
      <c r="X124" s="231"/>
      <c r="Y124" s="231"/>
      <c r="Z124" s="1746" t="str">
        <f>IF(Z123=0,"",D51)</f>
        <v/>
      </c>
      <c r="AA124" s="1747"/>
      <c r="AB124" s="1747"/>
      <c r="AC124" s="1747"/>
      <c r="AD124" s="1747"/>
      <c r="AE124" s="1747"/>
      <c r="AF124" s="1747"/>
      <c r="AG124" s="1747"/>
      <c r="AH124" s="1747"/>
      <c r="AI124" s="1747">
        <v>353000</v>
      </c>
      <c r="AJ124" s="640"/>
      <c r="AK124" s="231"/>
      <c r="AL124" s="231"/>
      <c r="AM124" s="231"/>
      <c r="AN124" s="231"/>
      <c r="AO124" s="640"/>
      <c r="AP124" s="640"/>
      <c r="AQ124" s="640"/>
      <c r="AR124" s="231"/>
      <c r="AS124" s="1746" t="str">
        <f>IF(AS123=0,"",D51)</f>
        <v/>
      </c>
      <c r="AT124" s="1747"/>
      <c r="AU124" s="1747"/>
      <c r="AV124" s="1747"/>
      <c r="AW124" s="1747"/>
      <c r="AX124" s="1747"/>
      <c r="AY124" s="1747"/>
      <c r="AZ124" s="1747"/>
      <c r="BA124" s="1747"/>
      <c r="BB124" s="1747">
        <v>353000</v>
      </c>
      <c r="BC124" s="640"/>
      <c r="BD124" s="231"/>
      <c r="BE124" s="231"/>
      <c r="BF124" s="231"/>
      <c r="BG124" s="231"/>
      <c r="BH124" s="317"/>
    </row>
    <row r="125" spans="2:60" s="28" customFormat="1" ht="17.100000000000001" customHeight="1">
      <c r="B125" s="316"/>
      <c r="C125" s="1063" t="str">
        <f>X!C366</f>
        <v>CO2-Emissionsfaktor</v>
      </c>
      <c r="D125" s="1062"/>
      <c r="E125" s="231"/>
      <c r="F125" s="231"/>
      <c r="G125" s="231"/>
      <c r="H125" s="231"/>
      <c r="I125" s="231"/>
      <c r="J125" s="231"/>
      <c r="K125" s="231"/>
      <c r="L125" s="231"/>
      <c r="M125" s="231"/>
      <c r="N125" s="231"/>
      <c r="O125" s="231"/>
      <c r="P125" s="231"/>
      <c r="Q125" s="231"/>
      <c r="R125" s="231" t="s">
        <v>871</v>
      </c>
      <c r="S125" s="231"/>
      <c r="T125" s="231"/>
      <c r="U125" s="231"/>
      <c r="V125" s="231"/>
      <c r="W125" s="231"/>
      <c r="X125" s="231"/>
      <c r="Y125" s="231"/>
      <c r="Z125" s="1744" t="str">
        <f>IF(Z123=0,"",AG418)</f>
        <v/>
      </c>
      <c r="AA125" s="1744"/>
      <c r="AB125" s="1744"/>
      <c r="AC125" s="1744"/>
      <c r="AD125" s="1744"/>
      <c r="AE125" s="1744"/>
      <c r="AF125" s="1744"/>
      <c r="AG125" s="1744"/>
      <c r="AH125" s="1744"/>
      <c r="AI125" s="1744">
        <v>353000</v>
      </c>
      <c r="AJ125" s="640"/>
      <c r="AK125" s="231"/>
      <c r="AL125" s="231"/>
      <c r="AM125" s="231"/>
      <c r="AN125" s="231"/>
      <c r="AO125" s="640"/>
      <c r="AP125" s="640"/>
      <c r="AQ125" s="640"/>
      <c r="AR125" s="231"/>
      <c r="AS125" s="1725" t="str">
        <f>IF(AS123=0,"",AG418)</f>
        <v/>
      </c>
      <c r="AT125" s="1725"/>
      <c r="AU125" s="1725"/>
      <c r="AV125" s="1725"/>
      <c r="AW125" s="1725"/>
      <c r="AX125" s="1725"/>
      <c r="AY125" s="1725"/>
      <c r="AZ125" s="1725"/>
      <c r="BA125" s="1725"/>
      <c r="BB125" s="1725">
        <v>353000</v>
      </c>
      <c r="BC125" s="640"/>
      <c r="BD125" s="231"/>
      <c r="BE125" s="231"/>
      <c r="BF125" s="231"/>
      <c r="BG125" s="231"/>
      <c r="BH125" s="317"/>
    </row>
    <row r="126" spans="2:60" s="28" customFormat="1" ht="17.100000000000001" hidden="1" customHeight="1" outlineLevel="1">
      <c r="B126" s="316"/>
      <c r="C126" s="492"/>
      <c r="D126" s="231" t="s">
        <v>872</v>
      </c>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1748">
        <f>IF(Z123=0,0,INT(Z123*Z125*Z91))</f>
        <v>0</v>
      </c>
      <c r="AA126" s="1725"/>
      <c r="AB126" s="1725"/>
      <c r="AC126" s="1725"/>
      <c r="AD126" s="1725"/>
      <c r="AE126" s="1725"/>
      <c r="AF126" s="1725"/>
      <c r="AG126" s="1725"/>
      <c r="AH126" s="1725"/>
      <c r="AI126" s="1725">
        <v>352800</v>
      </c>
      <c r="AJ126" s="640"/>
      <c r="AK126" s="345"/>
      <c r="AL126" s="345"/>
      <c r="AM126" s="241"/>
      <c r="AN126" s="241"/>
      <c r="AO126" s="640"/>
      <c r="AP126" s="640"/>
      <c r="AQ126" s="640"/>
      <c r="AR126" s="231"/>
      <c r="AS126" s="1748">
        <f>IF(AS123=0,0,INT(AS123*AS125*AS91))</f>
        <v>0</v>
      </c>
      <c r="AT126" s="1725"/>
      <c r="AU126" s="1725"/>
      <c r="AV126" s="1725"/>
      <c r="AW126" s="1725"/>
      <c r="AX126" s="1725"/>
      <c r="AY126" s="1725"/>
      <c r="AZ126" s="1725"/>
      <c r="BA126" s="1725"/>
      <c r="BB126" s="1725">
        <v>352800</v>
      </c>
      <c r="BC126" s="640"/>
      <c r="BD126" s="345"/>
      <c r="BE126" s="241"/>
      <c r="BF126" s="241"/>
      <c r="BG126" s="241"/>
      <c r="BH126" s="317"/>
    </row>
    <row r="127" spans="2:60" s="28" customFormat="1" ht="17.100000000000001" hidden="1" customHeight="1" outlineLevel="1">
      <c r="B127" s="316"/>
      <c r="C127" s="492"/>
      <c r="D127" s="231" t="s">
        <v>32</v>
      </c>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1725">
        <f>IF(LEN(Z126)&lt;3,0,IF(LEN(Z126)=3,-1,IF(LEN(Z126)=4,-2,-3)))</f>
        <v>0</v>
      </c>
      <c r="AA127" s="1725"/>
      <c r="AB127" s="1725"/>
      <c r="AC127" s="1725"/>
      <c r="AD127" s="1725"/>
      <c r="AE127" s="1725"/>
      <c r="AF127" s="1725"/>
      <c r="AG127" s="1725"/>
      <c r="AH127" s="1725"/>
      <c r="AI127" s="1725">
        <v>-3</v>
      </c>
      <c r="AJ127" s="640"/>
      <c r="AK127" s="345"/>
      <c r="AL127" s="345"/>
      <c r="AM127" s="241"/>
      <c r="AN127" s="241"/>
      <c r="AO127" s="640"/>
      <c r="AP127" s="640"/>
      <c r="AQ127" s="640"/>
      <c r="AR127" s="231"/>
      <c r="AS127" s="1725">
        <f>IF(LEN(AS126)&lt;3,0,IF(LEN(AS126)=3,-1,IF(LEN(AS126)=4,-2,-3)))</f>
        <v>0</v>
      </c>
      <c r="AT127" s="1725"/>
      <c r="AU127" s="1725"/>
      <c r="AV127" s="1725"/>
      <c r="AW127" s="1725"/>
      <c r="AX127" s="1725"/>
      <c r="AY127" s="1725"/>
      <c r="AZ127" s="1725"/>
      <c r="BA127" s="1725"/>
      <c r="BB127" s="1725">
        <v>-3</v>
      </c>
      <c r="BC127" s="640"/>
      <c r="BD127" s="345"/>
      <c r="BE127" s="241"/>
      <c r="BF127" s="241"/>
      <c r="BG127" s="241"/>
      <c r="BH127" s="317"/>
    </row>
    <row r="128" spans="2:60" s="28" customFormat="1" ht="17.100000000000001" customHeight="1" collapsed="1">
      <c r="B128" s="316"/>
      <c r="C128" s="1063" t="str">
        <f>X!C360</f>
        <v>Reduktion durch Wärmenutzung</v>
      </c>
      <c r="D128" s="231"/>
      <c r="E128" s="231"/>
      <c r="F128" s="231"/>
      <c r="G128" s="231"/>
      <c r="H128" s="231"/>
      <c r="I128" s="231"/>
      <c r="J128" s="231"/>
      <c r="K128" s="231"/>
      <c r="L128" s="231"/>
      <c r="M128" s="231"/>
      <c r="N128" s="231"/>
      <c r="O128" s="231"/>
      <c r="P128" s="231"/>
      <c r="Q128" s="231"/>
      <c r="R128" s="231" t="s">
        <v>265</v>
      </c>
      <c r="S128" s="231"/>
      <c r="T128" s="231"/>
      <c r="U128" s="231"/>
      <c r="V128" s="231"/>
      <c r="W128" s="231"/>
      <c r="X128" s="231"/>
      <c r="Y128" s="231"/>
      <c r="Z128" s="1724">
        <f>ROUND(Z126,Z127)</f>
        <v>0</v>
      </c>
      <c r="AA128" s="1724"/>
      <c r="AB128" s="1724"/>
      <c r="AC128" s="1724"/>
      <c r="AD128" s="1724"/>
      <c r="AE128" s="1724"/>
      <c r="AF128" s="1724"/>
      <c r="AG128" s="1724"/>
      <c r="AH128" s="1724"/>
      <c r="AI128" s="1724">
        <v>353000</v>
      </c>
      <c r="AJ128" s="640"/>
      <c r="AK128" s="231"/>
      <c r="AL128" s="231"/>
      <c r="AM128" s="231"/>
      <c r="AN128" s="231"/>
      <c r="AO128" s="640"/>
      <c r="AP128" s="640"/>
      <c r="AQ128" s="640"/>
      <c r="AR128" s="231"/>
      <c r="AS128" s="1724">
        <f>ROUND(AS126,AS127)</f>
        <v>0</v>
      </c>
      <c r="AT128" s="1724"/>
      <c r="AU128" s="1724"/>
      <c r="AV128" s="1724"/>
      <c r="AW128" s="1724"/>
      <c r="AX128" s="1724"/>
      <c r="AY128" s="1724"/>
      <c r="AZ128" s="1724"/>
      <c r="BA128" s="1724"/>
      <c r="BB128" s="1724">
        <v>353000</v>
      </c>
      <c r="BC128" s="640"/>
      <c r="BD128" s="231"/>
      <c r="BE128" s="231"/>
      <c r="BF128" s="231"/>
      <c r="BG128" s="231"/>
      <c r="BH128" s="317"/>
    </row>
    <row r="129" spans="2:62" ht="17.100000000000001" customHeight="1">
      <c r="B129" s="324"/>
      <c r="C129" s="490"/>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c r="AF129" s="325"/>
      <c r="AG129" s="325"/>
      <c r="AH129" s="325"/>
      <c r="AI129" s="326"/>
      <c r="AJ129" s="325"/>
      <c r="AK129" s="327"/>
      <c r="AL129" s="327"/>
      <c r="AM129" s="325"/>
      <c r="AN129" s="325"/>
      <c r="AO129" s="325"/>
      <c r="AP129" s="325"/>
      <c r="AQ129" s="325"/>
      <c r="AR129" s="325"/>
      <c r="AS129" s="325"/>
      <c r="AT129" s="325"/>
      <c r="AU129" s="325"/>
      <c r="AV129" s="325"/>
      <c r="AW129" s="325"/>
      <c r="AX129" s="325"/>
      <c r="AY129" s="325"/>
      <c r="AZ129" s="325"/>
      <c r="BA129" s="325"/>
      <c r="BB129" s="326"/>
      <c r="BC129" s="325"/>
      <c r="BD129" s="327"/>
      <c r="BE129" s="325"/>
      <c r="BF129" s="325"/>
      <c r="BG129" s="325"/>
      <c r="BH129" s="328"/>
    </row>
    <row r="130" spans="2:62" ht="17.100000000000001" customHeight="1">
      <c r="AP130" s="52"/>
      <c r="AQ130" s="52"/>
    </row>
    <row r="131" spans="2:62" ht="17.100000000000001" customHeight="1">
      <c r="X131" s="52"/>
      <c r="AP131" s="156"/>
      <c r="AQ131" s="156"/>
    </row>
    <row r="132" spans="2:62" ht="17.100000000000001" customHeight="1">
      <c r="B132" s="306"/>
      <c r="C132" s="485"/>
      <c r="D132" s="307"/>
      <c r="E132" s="307"/>
      <c r="F132" s="307"/>
      <c r="G132" s="307"/>
      <c r="H132" s="307"/>
      <c r="I132" s="307"/>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8"/>
      <c r="AJ132" s="307"/>
      <c r="AK132" s="309"/>
      <c r="AL132" s="309"/>
      <c r="AM132" s="307"/>
      <c r="AN132" s="307"/>
      <c r="AO132" s="307"/>
      <c r="AP132" s="347"/>
      <c r="AQ132" s="347"/>
      <c r="AR132" s="307"/>
      <c r="AS132" s="307"/>
      <c r="AT132" s="307"/>
      <c r="AU132" s="307"/>
      <c r="AV132" s="307"/>
      <c r="AW132" s="307"/>
      <c r="AX132" s="307"/>
      <c r="AY132" s="307"/>
      <c r="AZ132" s="307"/>
      <c r="BA132" s="307"/>
      <c r="BB132" s="308"/>
      <c r="BC132" s="307"/>
      <c r="BD132" s="309"/>
      <c r="BE132" s="307"/>
      <c r="BF132" s="307"/>
      <c r="BG132" s="307"/>
      <c r="BH132" s="310"/>
    </row>
    <row r="133" spans="2:62" s="116" customFormat="1" ht="21" customHeight="1">
      <c r="B133" s="107"/>
      <c r="C133" s="486">
        <v>4</v>
      </c>
      <c r="D133" s="546" t="str">
        <f>X!$C$124</f>
        <v>Illustration des jährlichen CO2-Ausstosses</v>
      </c>
      <c r="E133" s="109"/>
      <c r="F133" s="109"/>
      <c r="G133" s="110"/>
      <c r="H133" s="110"/>
      <c r="I133" s="111"/>
      <c r="J133" s="111"/>
      <c r="K133" s="111"/>
      <c r="L133" s="111"/>
      <c r="M133" s="111"/>
      <c r="N133" s="111"/>
      <c r="O133" s="111"/>
      <c r="P133" s="111"/>
      <c r="Q133" s="111"/>
      <c r="R133" s="111"/>
      <c r="S133" s="109"/>
      <c r="T133" s="109"/>
      <c r="U133" s="110"/>
      <c r="V133" s="110"/>
      <c r="W133" s="110"/>
      <c r="X133" s="110"/>
      <c r="Y133" s="110"/>
      <c r="Z133" s="110"/>
      <c r="AA133" s="110"/>
      <c r="AB133" s="110"/>
      <c r="AC133" s="110"/>
      <c r="AD133" s="110"/>
      <c r="AE133" s="110"/>
      <c r="AF133" s="110"/>
      <c r="AG133" s="110"/>
      <c r="AH133" s="110"/>
      <c r="AI133" s="110"/>
      <c r="AJ133" s="110"/>
      <c r="AK133" s="110"/>
      <c r="AL133" s="110"/>
      <c r="AM133" s="111"/>
      <c r="AN133" s="111"/>
      <c r="AO133" s="111"/>
      <c r="AP133" s="111"/>
      <c r="AQ133" s="109"/>
      <c r="AR133" s="109"/>
      <c r="AS133" s="110"/>
      <c r="AT133" s="110"/>
      <c r="AU133" s="110"/>
      <c r="AV133" s="110"/>
      <c r="AW133" s="110"/>
      <c r="AX133" s="110"/>
      <c r="AY133" s="110"/>
      <c r="AZ133" s="110"/>
      <c r="BA133" s="110"/>
      <c r="BB133" s="110"/>
      <c r="BC133" s="110"/>
      <c r="BD133" s="110"/>
      <c r="BE133" s="110"/>
      <c r="BF133" s="110"/>
      <c r="BG133" s="110"/>
      <c r="BH133" s="312"/>
      <c r="BI133" s="31"/>
      <c r="BJ133" s="31"/>
    </row>
    <row r="134" spans="2:62" ht="15.95" customHeight="1">
      <c r="B134" s="311"/>
      <c r="C134" s="488"/>
      <c r="D134" s="313"/>
      <c r="E134" s="313"/>
      <c r="F134" s="313"/>
      <c r="G134" s="313"/>
      <c r="H134" s="313"/>
      <c r="I134" s="313"/>
      <c r="J134" s="313"/>
      <c r="K134" s="313"/>
      <c r="L134" s="313"/>
      <c r="M134" s="313"/>
      <c r="N134" s="313"/>
      <c r="O134" s="313"/>
      <c r="P134" s="313"/>
      <c r="Q134" s="313"/>
      <c r="R134" s="313"/>
      <c r="S134" s="313"/>
      <c r="T134" s="313"/>
      <c r="U134" s="313"/>
      <c r="V134" s="313"/>
      <c r="W134" s="313"/>
      <c r="X134" s="313"/>
      <c r="Y134" s="331"/>
      <c r="Z134" s="313"/>
      <c r="AA134" s="313"/>
      <c r="AB134" s="313"/>
      <c r="AC134" s="313"/>
      <c r="AD134" s="313"/>
      <c r="AE134" s="313"/>
      <c r="AF134" s="313"/>
      <c r="AG134" s="313"/>
      <c r="AH134" s="313"/>
      <c r="AI134" s="313"/>
      <c r="AJ134" s="313"/>
      <c r="AK134" s="313"/>
      <c r="AL134" s="313"/>
      <c r="AM134" s="313"/>
      <c r="AN134" s="313"/>
      <c r="AO134" s="313"/>
      <c r="AP134" s="313"/>
      <c r="AQ134" s="313"/>
      <c r="AR134" s="331"/>
      <c r="AS134" s="313"/>
      <c r="AT134" s="313"/>
      <c r="AU134" s="313"/>
      <c r="AV134" s="313"/>
      <c r="AW134" s="313"/>
      <c r="AX134" s="313"/>
      <c r="AY134" s="313"/>
      <c r="AZ134" s="313"/>
      <c r="BA134" s="313"/>
      <c r="BB134" s="313"/>
      <c r="BC134" s="313"/>
      <c r="BD134" s="313"/>
      <c r="BE134" s="313"/>
      <c r="BF134" s="313"/>
      <c r="BG134" s="313"/>
      <c r="BH134" s="312"/>
    </row>
    <row r="135" spans="2:62" ht="21" customHeight="1">
      <c r="B135" s="311"/>
      <c r="C135" s="488"/>
      <c r="D135" s="313"/>
      <c r="E135" s="313"/>
      <c r="F135" s="313"/>
      <c r="G135" s="313"/>
      <c r="H135" s="313"/>
      <c r="I135" s="313"/>
      <c r="J135" s="313"/>
      <c r="K135" s="313"/>
      <c r="L135" s="313"/>
      <c r="M135" s="313"/>
      <c r="N135" s="313"/>
      <c r="O135" s="313"/>
      <c r="P135" s="313"/>
      <c r="Q135" s="313"/>
      <c r="R135" s="313"/>
      <c r="S135" s="313"/>
      <c r="T135" s="313"/>
      <c r="U135" s="313"/>
      <c r="V135" s="313"/>
      <c r="W135" s="313"/>
      <c r="X135" s="313"/>
      <c r="Y135" s="314" t="str">
        <f>Y87</f>
        <v>Variante A</v>
      </c>
      <c r="Z135" s="49"/>
      <c r="AA135" s="49"/>
      <c r="AB135" s="49"/>
      <c r="AC135" s="49"/>
      <c r="AD135" s="49"/>
      <c r="AE135" s="49"/>
      <c r="AF135" s="49"/>
      <c r="AG135" s="49"/>
      <c r="AH135" s="49"/>
      <c r="AI135" s="49"/>
      <c r="AJ135" s="49"/>
      <c r="AK135" s="49"/>
      <c r="AL135" s="49"/>
      <c r="AM135" s="49"/>
      <c r="AN135" s="49"/>
      <c r="AO135" s="313"/>
      <c r="AP135" s="313"/>
      <c r="AQ135" s="313"/>
      <c r="AR135" s="314" t="str">
        <f>AR87</f>
        <v/>
      </c>
      <c r="AS135" s="49"/>
      <c r="AT135" s="49"/>
      <c r="AU135" s="49"/>
      <c r="AV135" s="49"/>
      <c r="AW135" s="49"/>
      <c r="AX135" s="49"/>
      <c r="AY135" s="49"/>
      <c r="AZ135" s="49"/>
      <c r="BA135" s="49"/>
      <c r="BB135" s="49"/>
      <c r="BC135" s="59"/>
      <c r="BD135" s="315"/>
      <c r="BE135" s="59"/>
      <c r="BF135" s="59"/>
      <c r="BG135" s="59"/>
      <c r="BH135" s="312"/>
    </row>
    <row r="136" spans="2:62" ht="17.100000000000001" customHeight="1">
      <c r="B136" s="311"/>
      <c r="C136" s="477"/>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92"/>
      <c r="AJ136" s="52"/>
      <c r="AK136" s="93"/>
      <c r="AL136" s="93"/>
      <c r="AM136" s="52"/>
      <c r="AN136" s="52"/>
      <c r="AO136" s="52"/>
      <c r="AP136" s="156"/>
      <c r="AQ136" s="156"/>
      <c r="AR136" s="52"/>
      <c r="AS136" s="52"/>
      <c r="AT136" s="52"/>
      <c r="AU136" s="52"/>
      <c r="AV136" s="52"/>
      <c r="AW136" s="52"/>
      <c r="AX136" s="52"/>
      <c r="AY136" s="52"/>
      <c r="AZ136" s="52"/>
      <c r="BA136" s="52"/>
      <c r="BB136" s="92"/>
      <c r="BC136" s="52"/>
      <c r="BD136" s="93"/>
      <c r="BE136" s="52"/>
      <c r="BF136" s="52"/>
      <c r="BG136" s="52"/>
      <c r="BH136" s="312"/>
    </row>
    <row r="137" spans="2:62" ht="17.100000000000001" customHeight="1">
      <c r="B137" s="311"/>
      <c r="C137" s="536" t="str">
        <f>X!$C$209</f>
        <v>So viele Kilometer können Sie mit einem Mittelklassewagen (7.5 Liter/100 km) pro Jahr fahren</v>
      </c>
      <c r="D137" s="348"/>
      <c r="E137" s="348"/>
      <c r="F137" s="348"/>
      <c r="G137" s="348"/>
      <c r="H137" s="348"/>
      <c r="I137" s="348"/>
      <c r="J137" s="348"/>
      <c r="K137" s="348"/>
      <c r="L137" s="348"/>
      <c r="M137" s="348"/>
      <c r="N137" s="348"/>
      <c r="O137" s="348"/>
      <c r="P137" s="348"/>
      <c r="Q137" s="348"/>
      <c r="R137" s="348"/>
      <c r="S137" s="348"/>
      <c r="T137" s="348"/>
      <c r="U137" s="52"/>
      <c r="V137" s="52"/>
      <c r="W137" s="52"/>
      <c r="X137" s="52"/>
      <c r="Y137" s="52"/>
      <c r="Z137" s="52"/>
      <c r="AA137" s="52"/>
      <c r="AB137" s="52"/>
      <c r="AC137" s="52"/>
      <c r="AD137" s="52"/>
      <c r="AE137" s="52"/>
      <c r="AF137" s="52"/>
      <c r="AG137" s="52"/>
      <c r="AH137" s="52"/>
      <c r="AI137" s="92"/>
      <c r="AJ137" s="52"/>
      <c r="AK137" s="93"/>
      <c r="AL137" s="93"/>
      <c r="AM137" s="52"/>
      <c r="AN137" s="52"/>
      <c r="AO137" s="52"/>
      <c r="AP137" s="156"/>
      <c r="AQ137" s="156"/>
      <c r="AR137" s="52"/>
      <c r="AS137" s="52"/>
      <c r="AT137" s="52"/>
      <c r="AU137" s="52"/>
      <c r="AV137" s="52"/>
      <c r="AW137" s="52"/>
      <c r="AX137" s="52"/>
      <c r="AY137" s="52"/>
      <c r="AZ137" s="52"/>
      <c r="BA137" s="52"/>
      <c r="BB137" s="92"/>
      <c r="BC137" s="52"/>
      <c r="BD137" s="93"/>
      <c r="BE137" s="52"/>
      <c r="BF137" s="52"/>
      <c r="BG137" s="52"/>
      <c r="BH137" s="312"/>
    </row>
    <row r="138" spans="2:62" s="28" customFormat="1" ht="17.100000000000001" customHeight="1">
      <c r="B138" s="316"/>
      <c r="C138" s="489"/>
      <c r="D138" s="573" t="str">
        <f>X!$C$66</f>
        <v>CO2-Ausstoss Mittelklassewagen</v>
      </c>
      <c r="E138" s="231"/>
      <c r="F138" s="231"/>
      <c r="G138" s="231"/>
      <c r="H138" s="231"/>
      <c r="I138" s="231"/>
      <c r="J138" s="231"/>
      <c r="K138" s="231"/>
      <c r="L138" s="231"/>
      <c r="M138" s="231"/>
      <c r="N138" s="231"/>
      <c r="O138" s="231"/>
      <c r="P138" s="231"/>
      <c r="Q138" s="231"/>
      <c r="R138" s="231" t="s">
        <v>42</v>
      </c>
      <c r="S138" s="231"/>
      <c r="T138" s="231"/>
      <c r="U138" s="231"/>
      <c r="V138" s="231"/>
      <c r="W138" s="231"/>
      <c r="X138" s="55"/>
      <c r="Y138" s="231"/>
      <c r="Z138" s="1741">
        <v>0.17399999999999999</v>
      </c>
      <c r="AA138" s="1741"/>
      <c r="AB138" s="1741"/>
      <c r="AC138" s="1741"/>
      <c r="AD138" s="1741"/>
      <c r="AE138" s="1741"/>
      <c r="AF138" s="1741"/>
      <c r="AG138" s="1741"/>
      <c r="AH138" s="1741"/>
      <c r="AI138" s="1741"/>
      <c r="AJ138" s="55"/>
      <c r="AK138" s="334"/>
      <c r="AL138" s="334"/>
      <c r="AM138" s="334"/>
      <c r="AN138" s="334"/>
      <c r="AO138" s="122"/>
      <c r="AP138" s="156"/>
      <c r="AQ138" s="156"/>
      <c r="AR138" s="334"/>
      <c r="AS138" s="1741">
        <v>0.17399999999999999</v>
      </c>
      <c r="AT138" s="1741"/>
      <c r="AU138" s="1741"/>
      <c r="AV138" s="1741"/>
      <c r="AW138" s="1741"/>
      <c r="AX138" s="1741"/>
      <c r="AY138" s="1741"/>
      <c r="AZ138" s="1741"/>
      <c r="BA138" s="1741"/>
      <c r="BB138" s="1741"/>
      <c r="BC138" s="55"/>
      <c r="BD138" s="334"/>
      <c r="BE138" s="334"/>
      <c r="BF138" s="334"/>
      <c r="BG138" s="334"/>
      <c r="BH138" s="317"/>
    </row>
    <row r="139" spans="2:62" s="28" customFormat="1" ht="17.100000000000001" hidden="1" customHeight="1" outlineLevel="1">
      <c r="B139" s="316"/>
      <c r="C139" s="489"/>
      <c r="D139" s="231"/>
      <c r="E139" s="231"/>
      <c r="F139" s="231"/>
      <c r="G139" s="231"/>
      <c r="H139" s="231"/>
      <c r="I139" s="231"/>
      <c r="J139" s="231"/>
      <c r="K139" s="231"/>
      <c r="L139" s="231"/>
      <c r="M139" s="231"/>
      <c r="N139" s="231"/>
      <c r="O139" s="231"/>
      <c r="P139" s="231"/>
      <c r="Q139" s="231"/>
      <c r="R139" s="231" t="s">
        <v>102</v>
      </c>
      <c r="S139" s="231"/>
      <c r="T139" s="231"/>
      <c r="U139" s="231"/>
      <c r="V139" s="231"/>
      <c r="W139" s="231"/>
      <c r="X139" s="55"/>
      <c r="Y139" s="231"/>
      <c r="Z139" s="1724">
        <f>Z77/Z138</f>
        <v>0</v>
      </c>
      <c r="AA139" s="1724"/>
      <c r="AB139" s="1724"/>
      <c r="AC139" s="1724"/>
      <c r="AD139" s="1724"/>
      <c r="AE139" s="1724"/>
      <c r="AF139" s="1724"/>
      <c r="AG139" s="1724"/>
      <c r="AH139" s="1724"/>
      <c r="AI139" s="1724">
        <v>352800</v>
      </c>
      <c r="AJ139" s="55"/>
      <c r="AK139" s="334"/>
      <c r="AL139" s="334"/>
      <c r="AM139" s="334"/>
      <c r="AN139" s="334"/>
      <c r="AO139" s="122"/>
      <c r="AP139" s="156"/>
      <c r="AQ139" s="156"/>
      <c r="AR139" s="334"/>
      <c r="AS139" s="1724">
        <f>AS77/AS138</f>
        <v>0</v>
      </c>
      <c r="AT139" s="1724"/>
      <c r="AU139" s="1724"/>
      <c r="AV139" s="1724"/>
      <c r="AW139" s="1724"/>
      <c r="AX139" s="1724"/>
      <c r="AY139" s="1724"/>
      <c r="AZ139" s="1724"/>
      <c r="BA139" s="1724"/>
      <c r="BB139" s="1724">
        <v>352800</v>
      </c>
      <c r="BC139" s="55"/>
      <c r="BD139" s="334"/>
      <c r="BE139" s="334"/>
      <c r="BF139" s="334"/>
      <c r="BG139" s="334"/>
      <c r="BH139" s="317"/>
    </row>
    <row r="140" spans="2:62" s="28" customFormat="1" ht="17.100000000000001" hidden="1" customHeight="1" outlineLevel="1">
      <c r="B140" s="316"/>
      <c r="C140" s="489"/>
      <c r="D140" s="231" t="s">
        <v>361</v>
      </c>
      <c r="E140" s="231"/>
      <c r="F140" s="231"/>
      <c r="G140" s="231"/>
      <c r="H140" s="231"/>
      <c r="I140" s="231"/>
      <c r="J140" s="231"/>
      <c r="K140" s="231"/>
      <c r="L140" s="231"/>
      <c r="M140" s="231"/>
      <c r="N140" s="231"/>
      <c r="O140" s="231"/>
      <c r="P140" s="231"/>
      <c r="Q140" s="231"/>
      <c r="R140" s="231"/>
      <c r="S140" s="231"/>
      <c r="T140" s="231"/>
      <c r="U140" s="231"/>
      <c r="V140" s="231"/>
      <c r="W140" s="231"/>
      <c r="X140" s="55"/>
      <c r="Y140" s="231"/>
      <c r="Z140" s="1725">
        <f>IF(LEN(Z139)&lt;3,0,IF(LEN(Z139)=3,-1,IF(LEN(Z139)=4,-2,-3)))</f>
        <v>0</v>
      </c>
      <c r="AA140" s="1725"/>
      <c r="AB140" s="1725"/>
      <c r="AC140" s="1725"/>
      <c r="AD140" s="1725"/>
      <c r="AE140" s="1725"/>
      <c r="AF140" s="1725"/>
      <c r="AG140" s="1725"/>
      <c r="AH140" s="1725"/>
      <c r="AI140" s="1725">
        <v>-3</v>
      </c>
      <c r="AJ140" s="55"/>
      <c r="AK140" s="334"/>
      <c r="AL140" s="334"/>
      <c r="AM140" s="334"/>
      <c r="AN140" s="334"/>
      <c r="AO140" s="122"/>
      <c r="AP140" s="156"/>
      <c r="AQ140" s="156"/>
      <c r="AR140" s="334"/>
      <c r="AS140" s="1725">
        <f>IF(LEN(AS139)&lt;3,0,IF(LEN(AS139)=3,-1,IF(LEN(AS139)=4,-2,-3)))</f>
        <v>0</v>
      </c>
      <c r="AT140" s="1725"/>
      <c r="AU140" s="1725"/>
      <c r="AV140" s="1725"/>
      <c r="AW140" s="1725"/>
      <c r="AX140" s="1725"/>
      <c r="AY140" s="1725"/>
      <c r="AZ140" s="1725"/>
      <c r="BA140" s="1725"/>
      <c r="BB140" s="1725">
        <v>-3</v>
      </c>
      <c r="BC140" s="55"/>
      <c r="BD140" s="334"/>
      <c r="BE140" s="334"/>
      <c r="BF140" s="334"/>
      <c r="BG140" s="334"/>
      <c r="BH140" s="317"/>
    </row>
    <row r="141" spans="2:62" s="28" customFormat="1" ht="17.100000000000001" customHeight="1" collapsed="1">
      <c r="B141" s="316"/>
      <c r="C141" s="489"/>
      <c r="D141" s="574" t="str">
        <f>X!$C$80</f>
        <v>Distanz</v>
      </c>
      <c r="E141" s="231"/>
      <c r="F141" s="231"/>
      <c r="G141" s="231"/>
      <c r="H141" s="231"/>
      <c r="I141" s="231"/>
      <c r="J141" s="231"/>
      <c r="K141" s="231"/>
      <c r="L141" s="231"/>
      <c r="M141" s="231"/>
      <c r="N141" s="231"/>
      <c r="O141" s="231"/>
      <c r="P141" s="231"/>
      <c r="Q141" s="231"/>
      <c r="R141" s="231" t="s">
        <v>44</v>
      </c>
      <c r="S141" s="231"/>
      <c r="T141" s="231"/>
      <c r="U141" s="231"/>
      <c r="V141" s="231"/>
      <c r="W141" s="231"/>
      <c r="X141" s="55"/>
      <c r="Y141" s="231"/>
      <c r="Z141" s="1724">
        <f>ROUND(Z139,Z140)</f>
        <v>0</v>
      </c>
      <c r="AA141" s="1724"/>
      <c r="AB141" s="1724"/>
      <c r="AC141" s="1724"/>
      <c r="AD141" s="1724"/>
      <c r="AE141" s="1724"/>
      <c r="AF141" s="1724"/>
      <c r="AG141" s="1724"/>
      <c r="AH141" s="1724"/>
      <c r="AI141" s="1724">
        <v>353000</v>
      </c>
      <c r="AJ141" s="55"/>
      <c r="AK141" s="334"/>
      <c r="AL141" s="334"/>
      <c r="AM141" s="334"/>
      <c r="AN141" s="334"/>
      <c r="AO141" s="122"/>
      <c r="AP141" s="156"/>
      <c r="AQ141" s="156"/>
      <c r="AR141" s="334"/>
      <c r="AS141" s="1724">
        <f>ROUND(AS139,AS140)</f>
        <v>0</v>
      </c>
      <c r="AT141" s="1724"/>
      <c r="AU141" s="1724"/>
      <c r="AV141" s="1724"/>
      <c r="AW141" s="1724"/>
      <c r="AX141" s="1724"/>
      <c r="AY141" s="1724"/>
      <c r="AZ141" s="1724"/>
      <c r="BA141" s="1724"/>
      <c r="BB141" s="1724">
        <v>353000</v>
      </c>
      <c r="BC141" s="55"/>
      <c r="BD141" s="334"/>
      <c r="BE141" s="334"/>
      <c r="BF141" s="334"/>
      <c r="BG141" s="334"/>
      <c r="BH141" s="317"/>
    </row>
    <row r="142" spans="2:62" ht="17.100000000000001" hidden="1" customHeight="1" outlineLevel="1">
      <c r="B142" s="311"/>
      <c r="C142" s="477"/>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92"/>
      <c r="AJ142" s="52"/>
      <c r="AK142" s="93"/>
      <c r="AL142" s="93"/>
      <c r="AM142" s="52"/>
      <c r="AN142" s="52"/>
      <c r="AO142" s="52"/>
      <c r="AP142" s="156"/>
      <c r="AQ142" s="156"/>
      <c r="AR142" s="52"/>
      <c r="AS142" s="52"/>
      <c r="AT142" s="52"/>
      <c r="AU142" s="52"/>
      <c r="AV142" s="52"/>
      <c r="AW142" s="52"/>
      <c r="AX142" s="52"/>
      <c r="AY142" s="52"/>
      <c r="AZ142" s="52"/>
      <c r="BA142" s="52"/>
      <c r="BB142" s="92"/>
      <c r="BC142" s="52"/>
      <c r="BD142" s="93"/>
      <c r="BE142" s="52"/>
      <c r="BF142" s="52"/>
      <c r="BG142" s="52"/>
      <c r="BH142" s="312"/>
    </row>
    <row r="143" spans="2:62" ht="17.100000000000001" hidden="1" customHeight="1" outlineLevel="1">
      <c r="B143" s="311"/>
      <c r="C143" s="536" t="str">
        <f>X!$C$211</f>
        <v>So viele Lastwagen mit ...</v>
      </c>
      <c r="D143" s="348"/>
      <c r="E143" s="348"/>
      <c r="F143" s="348"/>
      <c r="G143" s="348"/>
      <c r="H143" s="348"/>
      <c r="I143" s="348"/>
      <c r="J143" s="348"/>
      <c r="K143" s="348"/>
      <c r="L143" s="348"/>
      <c r="M143" s="348"/>
      <c r="N143" s="348"/>
      <c r="O143" s="348"/>
      <c r="P143" s="348"/>
      <c r="Q143" s="348"/>
      <c r="R143" s="348"/>
      <c r="S143" s="348"/>
      <c r="T143" s="348"/>
      <c r="U143" s="52"/>
      <c r="V143" s="52"/>
      <c r="W143" s="52"/>
      <c r="X143" s="52"/>
      <c r="Y143" s="52"/>
      <c r="Z143" s="52"/>
      <c r="AA143" s="52"/>
      <c r="AB143" s="52"/>
      <c r="AC143" s="52"/>
      <c r="AD143" s="52"/>
      <c r="AE143" s="52"/>
      <c r="AF143" s="52"/>
      <c r="AG143" s="52"/>
      <c r="AH143" s="52"/>
      <c r="AI143" s="92"/>
      <c r="AJ143" s="52"/>
      <c r="AK143" s="93"/>
      <c r="AL143" s="93"/>
      <c r="AM143" s="52"/>
      <c r="AN143" s="52"/>
      <c r="AO143" s="52"/>
      <c r="AP143" s="156"/>
      <c r="AQ143" s="156"/>
      <c r="AR143" s="52"/>
      <c r="AS143" s="52"/>
      <c r="AT143" s="52"/>
      <c r="AU143" s="52"/>
      <c r="AV143" s="52"/>
      <c r="AW143" s="52"/>
      <c r="AX143" s="52"/>
      <c r="AY143" s="52"/>
      <c r="AZ143" s="52"/>
      <c r="BA143" s="52"/>
      <c r="BB143" s="92"/>
      <c r="BC143" s="52"/>
      <c r="BD143" s="93"/>
      <c r="BE143" s="52"/>
      <c r="BF143" s="52"/>
      <c r="BG143" s="52"/>
      <c r="BH143" s="312"/>
    </row>
    <row r="144" spans="2:62" s="28" customFormat="1" ht="17.100000000000001" hidden="1" customHeight="1" outlineLevel="1">
      <c r="B144" s="316"/>
      <c r="C144" s="489"/>
      <c r="D144" s="573" t="str">
        <f>X!$C$74</f>
        <v>CO2-Inhalt LKW</v>
      </c>
      <c r="E144" s="231"/>
      <c r="F144" s="231"/>
      <c r="G144" s="231"/>
      <c r="H144" s="231"/>
      <c r="I144" s="231"/>
      <c r="J144" s="231"/>
      <c r="K144" s="231"/>
      <c r="L144" s="231"/>
      <c r="M144" s="231"/>
      <c r="N144" s="231"/>
      <c r="O144" s="231"/>
      <c r="P144" s="231"/>
      <c r="Q144" s="231"/>
      <c r="R144" s="231" t="s">
        <v>265</v>
      </c>
      <c r="S144" s="231"/>
      <c r="T144" s="231"/>
      <c r="U144" s="231"/>
      <c r="V144" s="231"/>
      <c r="W144" s="231"/>
      <c r="X144" s="55"/>
      <c r="Y144" s="231"/>
      <c r="Z144" s="1724">
        <v>22000</v>
      </c>
      <c r="AA144" s="1724"/>
      <c r="AB144" s="1724"/>
      <c r="AC144" s="1724"/>
      <c r="AD144" s="1724"/>
      <c r="AE144" s="1724"/>
      <c r="AF144" s="1724"/>
      <c r="AG144" s="1724"/>
      <c r="AH144" s="1724"/>
      <c r="AI144" s="1724">
        <v>0.15</v>
      </c>
      <c r="AJ144" s="55"/>
      <c r="AK144" s="334"/>
      <c r="AL144" s="334"/>
      <c r="AM144" s="334"/>
      <c r="AN144" s="334"/>
      <c r="AO144" s="122"/>
      <c r="AP144" s="156"/>
      <c r="AQ144" s="156"/>
      <c r="AR144" s="334"/>
      <c r="AS144" s="1724">
        <v>22000</v>
      </c>
      <c r="AT144" s="1724"/>
      <c r="AU144" s="1724"/>
      <c r="AV144" s="1724"/>
      <c r="AW144" s="1724"/>
      <c r="AX144" s="1724"/>
      <c r="AY144" s="1724"/>
      <c r="AZ144" s="1724"/>
      <c r="BA144" s="1724"/>
      <c r="BB144" s="1724">
        <v>0.15</v>
      </c>
      <c r="BC144" s="55"/>
      <c r="BD144" s="334"/>
      <c r="BE144" s="334"/>
      <c r="BF144" s="334"/>
      <c r="BG144" s="334"/>
      <c r="BH144" s="317"/>
    </row>
    <row r="145" spans="2:60" s="28" customFormat="1" ht="17.100000000000001" hidden="1" customHeight="1" outlineLevel="2">
      <c r="B145" s="316"/>
      <c r="C145" s="489"/>
      <c r="D145" s="231"/>
      <c r="E145" s="231"/>
      <c r="F145" s="231"/>
      <c r="G145" s="231"/>
      <c r="H145" s="231"/>
      <c r="I145" s="231"/>
      <c r="J145" s="231"/>
      <c r="K145" s="231"/>
      <c r="L145" s="231"/>
      <c r="M145" s="231"/>
      <c r="N145" s="231"/>
      <c r="O145" s="231"/>
      <c r="P145" s="231"/>
      <c r="Q145" s="231"/>
      <c r="R145" s="569" t="str">
        <f>X!$C$278</f>
        <v>LKW</v>
      </c>
      <c r="S145" s="231"/>
      <c r="T145" s="231"/>
      <c r="U145" s="231"/>
      <c r="V145" s="231"/>
      <c r="W145" s="231"/>
      <c r="X145" s="55"/>
      <c r="Y145" s="231"/>
      <c r="Z145" s="1751">
        <f>Z77/Z144</f>
        <v>0</v>
      </c>
      <c r="AA145" s="1751"/>
      <c r="AB145" s="1751"/>
      <c r="AC145" s="1751"/>
      <c r="AD145" s="1751"/>
      <c r="AE145" s="1751"/>
      <c r="AF145" s="1751"/>
      <c r="AG145" s="1751"/>
      <c r="AH145" s="1751"/>
      <c r="AI145" s="1751">
        <v>352800</v>
      </c>
      <c r="AJ145" s="55"/>
      <c r="AK145" s="334"/>
      <c r="AL145" s="334"/>
      <c r="AM145" s="334"/>
      <c r="AN145" s="334"/>
      <c r="AO145" s="122"/>
      <c r="AP145" s="156"/>
      <c r="AQ145" s="156"/>
      <c r="AR145" s="334"/>
      <c r="AS145" s="1751">
        <f>AS77/AS144</f>
        <v>0</v>
      </c>
      <c r="AT145" s="1751"/>
      <c r="AU145" s="1751"/>
      <c r="AV145" s="1751"/>
      <c r="AW145" s="1751"/>
      <c r="AX145" s="1751"/>
      <c r="AY145" s="1751"/>
      <c r="AZ145" s="1751"/>
      <c r="BA145" s="1751"/>
      <c r="BB145" s="1751">
        <v>352800</v>
      </c>
      <c r="BC145" s="55"/>
      <c r="BD145" s="334"/>
      <c r="BE145" s="334"/>
      <c r="BF145" s="334"/>
      <c r="BG145" s="334"/>
      <c r="BH145" s="317"/>
    </row>
    <row r="146" spans="2:60" s="28" customFormat="1" ht="17.100000000000001" hidden="1" customHeight="1" outlineLevel="2">
      <c r="B146" s="316"/>
      <c r="C146" s="489"/>
      <c r="D146" s="231" t="s">
        <v>361</v>
      </c>
      <c r="E146" s="231"/>
      <c r="F146" s="231"/>
      <c r="G146" s="231"/>
      <c r="H146" s="231"/>
      <c r="I146" s="231"/>
      <c r="J146" s="231"/>
      <c r="K146" s="231"/>
      <c r="L146" s="231"/>
      <c r="M146" s="231"/>
      <c r="N146" s="231"/>
      <c r="O146" s="231"/>
      <c r="P146" s="231"/>
      <c r="Q146" s="231"/>
      <c r="R146" s="231"/>
      <c r="S146" s="231"/>
      <c r="T146" s="231"/>
      <c r="U146" s="231"/>
      <c r="V146" s="231"/>
      <c r="W146" s="231"/>
      <c r="X146" s="55"/>
      <c r="Y146" s="231"/>
      <c r="Z146" s="1725">
        <f>IF(Z145&lt;10,1,0)</f>
        <v>1</v>
      </c>
      <c r="AA146" s="1725"/>
      <c r="AB146" s="1725"/>
      <c r="AC146" s="1725"/>
      <c r="AD146" s="1725"/>
      <c r="AE146" s="1725"/>
      <c r="AF146" s="1725"/>
      <c r="AG146" s="1725"/>
      <c r="AH146" s="1725"/>
      <c r="AI146" s="1725">
        <v>-3</v>
      </c>
      <c r="AJ146" s="55"/>
      <c r="AK146" s="334"/>
      <c r="AL146" s="334"/>
      <c r="AM146" s="334"/>
      <c r="AN146" s="334"/>
      <c r="AO146" s="122"/>
      <c r="AP146" s="156"/>
      <c r="AQ146" s="156"/>
      <c r="AR146" s="334"/>
      <c r="AS146" s="1725">
        <f>IF(AS145&lt;10,1,0)</f>
        <v>1</v>
      </c>
      <c r="AT146" s="1725"/>
      <c r="AU146" s="1725"/>
      <c r="AV146" s="1725"/>
      <c r="AW146" s="1725"/>
      <c r="AX146" s="1725"/>
      <c r="AY146" s="1725"/>
      <c r="AZ146" s="1725"/>
      <c r="BA146" s="1725"/>
      <c r="BB146" s="1725">
        <v>-3</v>
      </c>
      <c r="BC146" s="55"/>
      <c r="BD146" s="334"/>
      <c r="BE146" s="334"/>
      <c r="BF146" s="334"/>
      <c r="BG146" s="334"/>
      <c r="BH146" s="317"/>
    </row>
    <row r="147" spans="2:60" s="28" customFormat="1" ht="17.100000000000001" hidden="1" customHeight="1" outlineLevel="1">
      <c r="B147" s="316"/>
      <c r="C147" s="489"/>
      <c r="D147" s="575" t="str">
        <f>X!$C$30</f>
        <v>Anzahl LKW</v>
      </c>
      <c r="E147" s="231"/>
      <c r="F147" s="231"/>
      <c r="G147" s="231"/>
      <c r="H147" s="231"/>
      <c r="I147" s="231"/>
      <c r="J147" s="231"/>
      <c r="K147" s="231"/>
      <c r="L147" s="231"/>
      <c r="M147" s="231"/>
      <c r="N147" s="231"/>
      <c r="O147" s="231"/>
      <c r="P147" s="231"/>
      <c r="Q147" s="231"/>
      <c r="R147" s="231" t="s">
        <v>16</v>
      </c>
      <c r="S147" s="231"/>
      <c r="T147" s="231"/>
      <c r="U147" s="231"/>
      <c r="V147" s="231"/>
      <c r="W147" s="231"/>
      <c r="X147" s="55"/>
      <c r="Y147" s="231"/>
      <c r="Z147" s="1737">
        <f>ROUND(Z77/Z144,Z146)</f>
        <v>0</v>
      </c>
      <c r="AA147" s="1737"/>
      <c r="AB147" s="1737"/>
      <c r="AC147" s="1737"/>
      <c r="AD147" s="1737"/>
      <c r="AE147" s="1737"/>
      <c r="AF147" s="1737"/>
      <c r="AG147" s="1737"/>
      <c r="AH147" s="1737"/>
      <c r="AI147" s="1737">
        <v>353000</v>
      </c>
      <c r="AJ147" s="55"/>
      <c r="AK147" s="334"/>
      <c r="AL147" s="334"/>
      <c r="AM147" s="334"/>
      <c r="AN147" s="334"/>
      <c r="AO147" s="122"/>
      <c r="AP147" s="156"/>
      <c r="AQ147" s="156"/>
      <c r="AR147" s="334"/>
      <c r="AS147" s="1737">
        <f>ROUND(AS77/AS144,AS146)</f>
        <v>0</v>
      </c>
      <c r="AT147" s="1737"/>
      <c r="AU147" s="1737"/>
      <c r="AV147" s="1737"/>
      <c r="AW147" s="1737"/>
      <c r="AX147" s="1737"/>
      <c r="AY147" s="1737"/>
      <c r="AZ147" s="1737"/>
      <c r="BA147" s="1737"/>
      <c r="BB147" s="1737">
        <v>353000</v>
      </c>
      <c r="BC147" s="55"/>
      <c r="BD147" s="334"/>
      <c r="BE147" s="334"/>
      <c r="BF147" s="334"/>
      <c r="BG147" s="334"/>
      <c r="BH147" s="317"/>
    </row>
    <row r="148" spans="2:60" ht="17.100000000000001" customHeight="1" collapsed="1">
      <c r="B148" s="311"/>
      <c r="C148" s="477"/>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92"/>
      <c r="AJ148" s="52"/>
      <c r="AK148" s="93"/>
      <c r="AL148" s="93"/>
      <c r="AM148" s="52"/>
      <c r="AN148" s="52"/>
      <c r="AO148" s="52"/>
      <c r="AP148" s="156"/>
      <c r="AQ148" s="156"/>
      <c r="AR148" s="52"/>
      <c r="AS148" s="52"/>
      <c r="AT148" s="52"/>
      <c r="AU148" s="52"/>
      <c r="AV148" s="52"/>
      <c r="AW148" s="52"/>
      <c r="AX148" s="52"/>
      <c r="AY148" s="52"/>
      <c r="AZ148" s="52"/>
      <c r="BA148" s="52"/>
      <c r="BB148" s="92"/>
      <c r="BC148" s="52"/>
      <c r="BD148" s="93"/>
      <c r="BE148" s="52"/>
      <c r="BF148" s="52"/>
      <c r="BG148" s="52"/>
      <c r="BH148" s="312"/>
    </row>
    <row r="149" spans="2:60" ht="17.100000000000001" customHeight="1">
      <c r="B149" s="311"/>
      <c r="C149" s="536" t="str">
        <f>X!$C$210</f>
        <v>So viele kosten die Kompensation des CO2 pro Jahr</v>
      </c>
      <c r="D149" s="348"/>
      <c r="E149" s="348"/>
      <c r="F149" s="348"/>
      <c r="G149" s="348"/>
      <c r="H149" s="348"/>
      <c r="I149" s="348"/>
      <c r="J149" s="348"/>
      <c r="K149" s="348"/>
      <c r="L149" s="348"/>
      <c r="M149" s="348"/>
      <c r="N149" s="348"/>
      <c r="O149" s="348"/>
      <c r="P149" s="348"/>
      <c r="Q149" s="348"/>
      <c r="R149" s="348"/>
      <c r="S149" s="348"/>
      <c r="T149" s="348"/>
      <c r="U149" s="52"/>
      <c r="V149" s="52"/>
      <c r="W149" s="52"/>
      <c r="X149" s="52"/>
      <c r="Y149" s="52"/>
      <c r="Z149" s="52"/>
      <c r="AA149" s="52"/>
      <c r="AB149" s="52"/>
      <c r="AC149" s="52"/>
      <c r="AD149" s="52"/>
      <c r="AE149" s="52"/>
      <c r="AF149" s="52"/>
      <c r="AG149" s="52"/>
      <c r="AH149" s="349"/>
      <c r="AI149" s="92"/>
      <c r="AJ149" s="52"/>
      <c r="AK149" s="93"/>
      <c r="AL149" s="93"/>
      <c r="AM149" s="52"/>
      <c r="AN149" s="52"/>
      <c r="AO149" s="52"/>
      <c r="AP149" s="156"/>
      <c r="AQ149" s="156"/>
      <c r="AR149" s="52"/>
      <c r="AS149" s="52"/>
      <c r="AT149" s="52"/>
      <c r="AU149" s="52"/>
      <c r="AV149" s="52"/>
      <c r="AW149" s="52"/>
      <c r="AX149" s="52"/>
      <c r="AY149" s="52"/>
      <c r="AZ149" s="52"/>
      <c r="BA149" s="349"/>
      <c r="BB149" s="92"/>
      <c r="BC149" s="52"/>
      <c r="BD149" s="93"/>
      <c r="BE149" s="52"/>
      <c r="BF149" s="52"/>
      <c r="BG149" s="52"/>
      <c r="BH149" s="312"/>
    </row>
    <row r="150" spans="2:60" s="28" customFormat="1" ht="29.1" customHeight="1">
      <c r="B150" s="316"/>
      <c r="C150" s="489"/>
      <c r="D150" s="576" t="str">
        <f>C40</f>
        <v>Art der CO2-Kompensation</v>
      </c>
      <c r="E150" s="231"/>
      <c r="F150" s="231"/>
      <c r="G150" s="231"/>
      <c r="H150" s="231"/>
      <c r="I150" s="231"/>
      <c r="J150" s="231"/>
      <c r="K150" s="231"/>
      <c r="L150" s="231"/>
      <c r="M150" s="231"/>
      <c r="N150" s="231"/>
      <c r="O150" s="231"/>
      <c r="P150" s="231"/>
      <c r="Q150" s="231"/>
      <c r="R150" s="569"/>
      <c r="S150" s="231"/>
      <c r="T150" s="231"/>
      <c r="U150" s="231"/>
      <c r="V150" s="231"/>
      <c r="W150" s="231"/>
      <c r="X150" s="640"/>
      <c r="Y150" s="231"/>
      <c r="Z150" s="1750" t="str">
        <f>AG235</f>
        <v>Kompensation mit ausländischen Zertifikaten</v>
      </c>
      <c r="AA150" s="1750"/>
      <c r="AB150" s="1750"/>
      <c r="AC150" s="1750"/>
      <c r="AD150" s="1750"/>
      <c r="AE150" s="1750"/>
      <c r="AF150" s="1750"/>
      <c r="AG150" s="1750"/>
      <c r="AH150" s="1750"/>
      <c r="AI150" s="1750">
        <v>0.15</v>
      </c>
      <c r="AJ150" s="640"/>
      <c r="AK150" s="334"/>
      <c r="AL150" s="334"/>
      <c r="AM150" s="334"/>
      <c r="AN150" s="334"/>
      <c r="AO150" s="122"/>
      <c r="AP150" s="156"/>
      <c r="AQ150" s="156"/>
      <c r="AR150" s="334"/>
      <c r="AS150" s="1750" t="str">
        <f>AZ235</f>
        <v>Kompensation mit ausländischen Zertifikaten</v>
      </c>
      <c r="AT150" s="1750"/>
      <c r="AU150" s="1750"/>
      <c r="AV150" s="1750"/>
      <c r="AW150" s="1750"/>
      <c r="AX150" s="1750"/>
      <c r="AY150" s="1750"/>
      <c r="AZ150" s="1750"/>
      <c r="BA150" s="1750"/>
      <c r="BB150" s="1750">
        <v>0.15</v>
      </c>
      <c r="BC150" s="640"/>
      <c r="BD150" s="334"/>
      <c r="BE150" s="334"/>
      <c r="BF150" s="334"/>
      <c r="BG150" s="334"/>
      <c r="BH150" s="317"/>
    </row>
    <row r="151" spans="2:60" s="28" customFormat="1" ht="17.100000000000001" customHeight="1">
      <c r="B151" s="316"/>
      <c r="C151" s="489"/>
      <c r="D151" s="576" t="str">
        <f>X!$C$195</f>
        <v>Preis CO2-Kompensation</v>
      </c>
      <c r="E151" s="231"/>
      <c r="F151" s="231"/>
      <c r="G151" s="231"/>
      <c r="H151" s="231"/>
      <c r="I151" s="231"/>
      <c r="J151" s="231"/>
      <c r="K151" s="231"/>
      <c r="L151" s="231"/>
      <c r="M151" s="231"/>
      <c r="N151" s="231"/>
      <c r="O151" s="231"/>
      <c r="P151" s="231"/>
      <c r="Q151" s="231"/>
      <c r="R151" s="569" t="str">
        <f>X!$C$65</f>
        <v>CHF/ Tonne CO2</v>
      </c>
      <c r="S151" s="231"/>
      <c r="T151" s="231"/>
      <c r="U151" s="231"/>
      <c r="V151" s="231"/>
      <c r="W151" s="231"/>
      <c r="X151" s="55"/>
      <c r="Y151" s="231"/>
      <c r="Z151" s="1755">
        <f>AG239</f>
        <v>29</v>
      </c>
      <c r="AA151" s="1755"/>
      <c r="AB151" s="1755"/>
      <c r="AC151" s="1755"/>
      <c r="AD151" s="1755"/>
      <c r="AE151" s="1755"/>
      <c r="AF151" s="1755"/>
      <c r="AG151" s="1755"/>
      <c r="AH151" s="1755"/>
      <c r="AI151" s="1755">
        <v>0.15</v>
      </c>
      <c r="AJ151" s="55"/>
      <c r="AK151" s="334"/>
      <c r="AL151" s="334"/>
      <c r="AM151" s="334"/>
      <c r="AN151" s="334"/>
      <c r="AO151" s="122"/>
      <c r="AP151" s="156"/>
      <c r="AQ151" s="156"/>
      <c r="AR151" s="334"/>
      <c r="AS151" s="1755">
        <f>AZ239</f>
        <v>29</v>
      </c>
      <c r="AT151" s="1755"/>
      <c r="AU151" s="1755"/>
      <c r="AV151" s="1755"/>
      <c r="AW151" s="1755"/>
      <c r="AX151" s="1755"/>
      <c r="AY151" s="1755"/>
      <c r="AZ151" s="1755"/>
      <c r="BA151" s="1755"/>
      <c r="BB151" s="1755">
        <v>0.15</v>
      </c>
      <c r="BC151" s="55"/>
      <c r="BD151" s="334"/>
      <c r="BE151" s="334"/>
      <c r="BF151" s="334"/>
      <c r="BG151" s="334"/>
      <c r="BH151" s="317"/>
    </row>
    <row r="152" spans="2:60" s="28" customFormat="1" ht="17.100000000000001" hidden="1" customHeight="1" outlineLevel="1">
      <c r="B152" s="316"/>
      <c r="C152" s="489"/>
      <c r="D152" s="231"/>
      <c r="E152" s="231"/>
      <c r="F152" s="231"/>
      <c r="G152" s="231"/>
      <c r="H152" s="231"/>
      <c r="I152" s="231"/>
      <c r="J152" s="231"/>
      <c r="K152" s="231"/>
      <c r="L152" s="231"/>
      <c r="M152" s="231"/>
      <c r="N152" s="231"/>
      <c r="O152" s="231"/>
      <c r="P152" s="231"/>
      <c r="Q152" s="231"/>
      <c r="R152" s="231" t="s">
        <v>48</v>
      </c>
      <c r="S152" s="231"/>
      <c r="T152" s="231"/>
      <c r="U152" s="231"/>
      <c r="V152" s="231"/>
      <c r="W152" s="231"/>
      <c r="X152" s="55"/>
      <c r="Y152" s="231"/>
      <c r="Z152" s="1724">
        <f>IF(Z77&lt;0,0,INT(Z77/1000*Z151))</f>
        <v>0</v>
      </c>
      <c r="AA152" s="1724"/>
      <c r="AB152" s="1724"/>
      <c r="AC152" s="1724"/>
      <c r="AD152" s="1724"/>
      <c r="AE152" s="1724"/>
      <c r="AF152" s="1724"/>
      <c r="AG152" s="1724"/>
      <c r="AH152" s="1724"/>
      <c r="AI152" s="1724">
        <v>352800</v>
      </c>
      <c r="AJ152" s="55"/>
      <c r="AK152" s="334"/>
      <c r="AL152" s="334"/>
      <c r="AM152" s="334"/>
      <c r="AN152" s="334"/>
      <c r="AO152" s="122"/>
      <c r="AP152" s="156"/>
      <c r="AQ152" s="156"/>
      <c r="AR152" s="334"/>
      <c r="AS152" s="1724">
        <f>IF(AS77&lt;0,0,INT(AS77/1000*AS151))</f>
        <v>0</v>
      </c>
      <c r="AT152" s="1724"/>
      <c r="AU152" s="1724"/>
      <c r="AV152" s="1724"/>
      <c r="AW152" s="1724"/>
      <c r="AX152" s="1724"/>
      <c r="AY152" s="1724"/>
      <c r="AZ152" s="1724"/>
      <c r="BA152" s="1724"/>
      <c r="BB152" s="1724">
        <v>352800</v>
      </c>
      <c r="BC152" s="55"/>
      <c r="BD152" s="334"/>
      <c r="BE152" s="334"/>
      <c r="BF152" s="334"/>
      <c r="BG152" s="334"/>
      <c r="BH152" s="317"/>
    </row>
    <row r="153" spans="2:60" s="28" customFormat="1" ht="17.100000000000001" hidden="1" customHeight="1" outlineLevel="1">
      <c r="B153" s="316"/>
      <c r="C153" s="489"/>
      <c r="D153" s="231" t="s">
        <v>361</v>
      </c>
      <c r="E153" s="231"/>
      <c r="F153" s="231"/>
      <c r="G153" s="231"/>
      <c r="H153" s="231"/>
      <c r="I153" s="231"/>
      <c r="J153" s="231"/>
      <c r="K153" s="231"/>
      <c r="L153" s="231"/>
      <c r="M153" s="231"/>
      <c r="N153" s="231"/>
      <c r="O153" s="231"/>
      <c r="P153" s="231"/>
      <c r="Q153" s="231"/>
      <c r="R153" s="231"/>
      <c r="S153" s="231"/>
      <c r="T153" s="231"/>
      <c r="U153" s="231"/>
      <c r="V153" s="231"/>
      <c r="W153" s="231"/>
      <c r="X153" s="55"/>
      <c r="Y153" s="231"/>
      <c r="Z153" s="1725">
        <f>IF(LEN(Z152)&lt;3,0,IF(LEN(Z152)=3,-1,IF(LEN(Z152)=4,-2,-3)))</f>
        <v>0</v>
      </c>
      <c r="AA153" s="1725"/>
      <c r="AB153" s="1725"/>
      <c r="AC153" s="1725"/>
      <c r="AD153" s="1725"/>
      <c r="AE153" s="1725"/>
      <c r="AF153" s="1725"/>
      <c r="AG153" s="1725"/>
      <c r="AH153" s="1725"/>
      <c r="AI153" s="1725">
        <v>-3</v>
      </c>
      <c r="AJ153" s="55"/>
      <c r="AK153" s="334"/>
      <c r="AL153" s="334"/>
      <c r="AM153" s="334"/>
      <c r="AN153" s="334"/>
      <c r="AO153" s="122"/>
      <c r="AP153" s="156"/>
      <c r="AQ153" s="156"/>
      <c r="AR153" s="334"/>
      <c r="AS153" s="1725">
        <f>IF(LEN(AS152)&lt;3,0,IF(LEN(AS152)=3,-1,IF(LEN(AS152)=4,-2,-3)))</f>
        <v>0</v>
      </c>
      <c r="AT153" s="1725"/>
      <c r="AU153" s="1725"/>
      <c r="AV153" s="1725"/>
      <c r="AW153" s="1725"/>
      <c r="AX153" s="1725"/>
      <c r="AY153" s="1725"/>
      <c r="AZ153" s="1725"/>
      <c r="BA153" s="1725"/>
      <c r="BB153" s="1725">
        <v>-3</v>
      </c>
      <c r="BC153" s="55"/>
      <c r="BD153" s="334"/>
      <c r="BE153" s="334"/>
      <c r="BF153" s="334"/>
      <c r="BG153" s="334"/>
      <c r="BH153" s="317"/>
    </row>
    <row r="154" spans="2:60" s="28" customFormat="1" ht="17.100000000000001" customHeight="1" collapsed="1">
      <c r="B154" s="316"/>
      <c r="C154" s="489"/>
      <c r="D154" s="575" t="str">
        <f>X!$C$153</f>
        <v>Kompensationskosten</v>
      </c>
      <c r="E154" s="231"/>
      <c r="F154" s="231"/>
      <c r="G154" s="231"/>
      <c r="H154" s="231"/>
      <c r="I154" s="231"/>
      <c r="J154" s="231"/>
      <c r="K154" s="231"/>
      <c r="L154" s="231"/>
      <c r="M154" s="231"/>
      <c r="N154" s="231"/>
      <c r="O154" s="231"/>
      <c r="P154" s="231"/>
      <c r="Q154" s="231"/>
      <c r="R154" s="231" t="s">
        <v>48</v>
      </c>
      <c r="S154" s="231"/>
      <c r="T154" s="231"/>
      <c r="U154" s="231"/>
      <c r="V154" s="231"/>
      <c r="W154" s="231"/>
      <c r="X154" s="55"/>
      <c r="Y154" s="231"/>
      <c r="Z154" s="1740">
        <f>ROUND(Z152,Z153)</f>
        <v>0</v>
      </c>
      <c r="AA154" s="1740"/>
      <c r="AB154" s="1740"/>
      <c r="AC154" s="1740"/>
      <c r="AD154" s="1740"/>
      <c r="AE154" s="1740"/>
      <c r="AF154" s="1740"/>
      <c r="AG154" s="1740"/>
      <c r="AH154" s="1740"/>
      <c r="AI154" s="1740">
        <v>353000</v>
      </c>
      <c r="AJ154" s="55"/>
      <c r="AK154" s="334"/>
      <c r="AL154" s="334"/>
      <c r="AM154" s="334"/>
      <c r="AN154" s="334"/>
      <c r="AO154" s="122"/>
      <c r="AP154" s="156"/>
      <c r="AQ154" s="156"/>
      <c r="AR154" s="334"/>
      <c r="AS154" s="1740">
        <f>ROUND(AS152,AS153)</f>
        <v>0</v>
      </c>
      <c r="AT154" s="1740"/>
      <c r="AU154" s="1740"/>
      <c r="AV154" s="1740"/>
      <c r="AW154" s="1740"/>
      <c r="AX154" s="1740"/>
      <c r="AY154" s="1740"/>
      <c r="AZ154" s="1740"/>
      <c r="BA154" s="1740"/>
      <c r="BB154" s="1740">
        <v>353000</v>
      </c>
      <c r="BC154" s="55"/>
      <c r="BD154" s="334"/>
      <c r="BE154" s="334"/>
      <c r="BF154" s="334"/>
      <c r="BG154" s="334"/>
      <c r="BH154" s="317"/>
    </row>
    <row r="155" spans="2:60" ht="17.100000000000001" customHeight="1">
      <c r="B155" s="324"/>
      <c r="C155" s="490"/>
      <c r="D155" s="325"/>
      <c r="E155" s="325"/>
      <c r="F155" s="325"/>
      <c r="G155" s="325"/>
      <c r="H155" s="325"/>
      <c r="I155" s="325"/>
      <c r="J155" s="325"/>
      <c r="K155" s="325"/>
      <c r="L155" s="325"/>
      <c r="M155" s="325"/>
      <c r="N155" s="325"/>
      <c r="O155" s="325"/>
      <c r="P155" s="325"/>
      <c r="Q155" s="325"/>
      <c r="R155" s="325"/>
      <c r="S155" s="325"/>
      <c r="T155" s="325"/>
      <c r="U155" s="325"/>
      <c r="V155" s="325"/>
      <c r="W155" s="325"/>
      <c r="X155" s="325"/>
      <c r="Y155" s="325"/>
      <c r="Z155" s="325"/>
      <c r="AA155" s="325"/>
      <c r="AB155" s="325"/>
      <c r="AC155" s="325"/>
      <c r="AD155" s="325"/>
      <c r="AE155" s="325"/>
      <c r="AF155" s="325"/>
      <c r="AG155" s="325"/>
      <c r="AH155" s="325"/>
      <c r="AI155" s="326"/>
      <c r="AJ155" s="325"/>
      <c r="AK155" s="327"/>
      <c r="AL155" s="327"/>
      <c r="AM155" s="325"/>
      <c r="AN155" s="325"/>
      <c r="AO155" s="325"/>
      <c r="AP155" s="338"/>
      <c r="AQ155" s="338"/>
      <c r="AR155" s="338"/>
      <c r="AS155" s="325"/>
      <c r="AT155" s="325"/>
      <c r="AU155" s="325"/>
      <c r="AV155" s="325"/>
      <c r="AW155" s="325"/>
      <c r="AX155" s="325"/>
      <c r="AY155" s="325"/>
      <c r="AZ155" s="325"/>
      <c r="BA155" s="325"/>
      <c r="BB155" s="326"/>
      <c r="BC155" s="325"/>
      <c r="BD155" s="327"/>
      <c r="BE155" s="325"/>
      <c r="BF155" s="325"/>
      <c r="BG155" s="325"/>
      <c r="BH155" s="328"/>
    </row>
    <row r="156" spans="2:60" ht="17.100000000000001" customHeight="1">
      <c r="AP156" s="156"/>
      <c r="AQ156" s="156"/>
      <c r="AR156" s="156"/>
    </row>
    <row r="157" spans="2:60" ht="17.100000000000001" customHeight="1">
      <c r="AP157" s="156"/>
      <c r="AQ157" s="156"/>
      <c r="AR157" s="156"/>
      <c r="AX157" s="1439" t="str">
        <f>X!C291</f>
        <v>nach oben</v>
      </c>
      <c r="AY157" s="1439"/>
      <c r="AZ157" s="1439"/>
      <c r="BA157" s="1439"/>
      <c r="BB157" s="1439"/>
      <c r="BC157" s="1439"/>
      <c r="BD157" s="1439"/>
      <c r="BE157" s="1439"/>
      <c r="BF157" s="627" t="s">
        <v>670</v>
      </c>
    </row>
    <row r="158" spans="2:60" ht="17.100000000000001" hidden="1" customHeight="1" outlineLevel="1">
      <c r="B158" s="129"/>
      <c r="G158" s="129"/>
      <c r="H158" s="129"/>
      <c r="I158" s="129"/>
      <c r="J158" s="129"/>
      <c r="K158" s="129"/>
      <c r="L158" s="129"/>
      <c r="M158" s="351"/>
      <c r="N158" s="351"/>
      <c r="O158" s="351"/>
      <c r="R158" s="351"/>
      <c r="S158" s="351"/>
      <c r="T158" s="351"/>
    </row>
    <row r="159" spans="2:60" ht="17.100000000000001" hidden="1" customHeight="1" outlineLevel="1">
      <c r="B159" s="129"/>
      <c r="C159" s="496"/>
      <c r="D159" s="129"/>
      <c r="E159" s="129"/>
      <c r="F159" s="129"/>
      <c r="G159" s="129"/>
      <c r="H159" s="129"/>
      <c r="I159" s="129"/>
      <c r="J159" s="129"/>
      <c r="K159" s="129"/>
      <c r="L159" s="129"/>
      <c r="M159" s="351"/>
      <c r="N159" s="87"/>
      <c r="O159" s="87"/>
      <c r="R159" s="351"/>
      <c r="S159" s="87"/>
      <c r="T159" s="87"/>
    </row>
    <row r="160" spans="2:60" ht="17.100000000000001" hidden="1" customHeight="1" outlineLevel="1">
      <c r="B160" s="129"/>
      <c r="C160" s="496"/>
      <c r="D160" s="129"/>
      <c r="E160" s="129"/>
      <c r="F160" s="129"/>
      <c r="G160" s="129"/>
      <c r="H160" s="129"/>
      <c r="I160" s="129"/>
      <c r="J160" s="129"/>
      <c r="K160" s="129"/>
      <c r="L160" s="129"/>
    </row>
    <row r="161" spans="2:54" ht="17.100000000000001" hidden="1" customHeight="1" outlineLevel="1">
      <c r="B161" s="129"/>
      <c r="C161" s="496"/>
      <c r="D161" s="129"/>
      <c r="E161" s="129"/>
      <c r="F161" s="129"/>
      <c r="G161" s="129"/>
      <c r="H161" s="129"/>
      <c r="I161" s="129"/>
      <c r="J161" s="129"/>
      <c r="K161" s="129"/>
      <c r="L161" s="129"/>
    </row>
    <row r="162" spans="2:54" ht="17.100000000000001" hidden="1" customHeight="1" outlineLevel="1">
      <c r="B162" s="129"/>
      <c r="C162" s="496"/>
      <c r="D162" s="129"/>
      <c r="E162" s="129"/>
      <c r="F162" s="129"/>
      <c r="G162" s="129"/>
      <c r="H162" s="129"/>
      <c r="I162" s="129"/>
      <c r="J162" s="129"/>
      <c r="K162" s="129"/>
      <c r="L162" s="129"/>
    </row>
    <row r="163" spans="2:54" ht="17.100000000000001" hidden="1" customHeight="1" outlineLevel="1">
      <c r="B163" s="129"/>
      <c r="C163" s="496"/>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c r="AA163" s="129"/>
      <c r="AB163" s="129"/>
      <c r="AP163" s="129"/>
      <c r="AQ163" s="129"/>
      <c r="AR163" s="129"/>
      <c r="AS163" s="129"/>
      <c r="AT163" s="129"/>
      <c r="AU163" s="129"/>
    </row>
    <row r="164" spans="2:54" ht="17.100000000000001" hidden="1" customHeight="1" outlineLevel="1">
      <c r="B164" s="129"/>
      <c r="C164" s="496"/>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c r="AA164" s="129"/>
      <c r="AB164" s="129"/>
      <c r="AP164" s="129"/>
      <c r="AQ164" s="129"/>
      <c r="AR164" s="129"/>
      <c r="AS164" s="129"/>
      <c r="AT164" s="129"/>
      <c r="AU164" s="129"/>
    </row>
    <row r="165" spans="2:54" ht="17.100000000000001" hidden="1" customHeight="1" outlineLevel="1"/>
    <row r="166" spans="2:54" ht="17.100000000000001" hidden="1" customHeight="1" outlineLevel="1"/>
    <row r="167" spans="2:54" ht="17.100000000000001" hidden="1" customHeight="1" outlineLevel="1"/>
    <row r="168" spans="2:54" ht="17.100000000000001" hidden="1" customHeight="1" outlineLevel="1"/>
    <row r="169" spans="2:54" ht="17.100000000000001" hidden="1" customHeight="1" outlineLevel="1"/>
    <row r="170" spans="2:54" s="352" customFormat="1" ht="17.100000000000001" hidden="1" customHeight="1" outlineLevel="1">
      <c r="C170" s="497" t="s">
        <v>49</v>
      </c>
      <c r="AI170" s="353"/>
      <c r="BB170" s="353"/>
    </row>
    <row r="171" spans="2:54" s="354" customFormat="1" ht="17.100000000000001" hidden="1" customHeight="1" outlineLevel="1">
      <c r="C171" s="498" t="s">
        <v>99</v>
      </c>
      <c r="R171" s="354" t="s">
        <v>33</v>
      </c>
      <c r="Z171" s="355">
        <f>Z62</f>
        <v>0</v>
      </c>
      <c r="AA171" s="355"/>
      <c r="AB171" s="355"/>
      <c r="AC171" s="355"/>
      <c r="AD171" s="355"/>
      <c r="AE171" s="355"/>
      <c r="AF171" s="355"/>
      <c r="AG171" s="356"/>
      <c r="AH171" s="356"/>
      <c r="AI171" s="356"/>
      <c r="AS171" s="355">
        <f>AS62</f>
        <v>0</v>
      </c>
      <c r="AT171" s="355"/>
      <c r="AU171" s="355"/>
      <c r="AV171" s="355"/>
      <c r="AW171" s="355"/>
      <c r="AX171" s="355"/>
      <c r="AY171" s="355"/>
      <c r="AZ171" s="356"/>
      <c r="BA171" s="356"/>
      <c r="BB171" s="356"/>
    </row>
    <row r="172" spans="2:54" s="354" customFormat="1" ht="17.100000000000001" hidden="1" customHeight="1" outlineLevel="1">
      <c r="C172" s="498" t="s">
        <v>100</v>
      </c>
      <c r="R172" s="354" t="s">
        <v>33</v>
      </c>
      <c r="Z172" s="355">
        <f>Z63</f>
        <v>0</v>
      </c>
      <c r="AA172" s="355"/>
      <c r="AB172" s="355"/>
      <c r="AC172" s="355"/>
      <c r="AD172" s="355"/>
      <c r="AE172" s="355"/>
      <c r="AF172" s="355"/>
      <c r="AG172" s="356"/>
      <c r="AH172" s="356"/>
      <c r="AI172" s="356"/>
      <c r="AS172" s="355">
        <f>AS63</f>
        <v>0</v>
      </c>
      <c r="AT172" s="355"/>
      <c r="AU172" s="355"/>
      <c r="AV172" s="355"/>
      <c r="AW172" s="355"/>
      <c r="AX172" s="355"/>
      <c r="AY172" s="355"/>
      <c r="AZ172" s="356"/>
      <c r="BA172" s="356"/>
      <c r="BB172" s="356"/>
    </row>
    <row r="173" spans="2:54" s="354" customFormat="1" ht="17.100000000000001" hidden="1" customHeight="1" outlineLevel="1">
      <c r="C173" s="498" t="s">
        <v>101</v>
      </c>
      <c r="R173" s="354" t="s">
        <v>33</v>
      </c>
      <c r="Z173" s="355">
        <f>Z64</f>
        <v>0</v>
      </c>
      <c r="AA173" s="355"/>
      <c r="AB173" s="355"/>
      <c r="AC173" s="355"/>
      <c r="AD173" s="355"/>
      <c r="AE173" s="355"/>
      <c r="AF173" s="355"/>
      <c r="AG173" s="356"/>
      <c r="AH173" s="356"/>
      <c r="AI173" s="356"/>
      <c r="AS173" s="355">
        <f>AS64</f>
        <v>0</v>
      </c>
      <c r="AT173" s="355"/>
      <c r="AU173" s="355"/>
      <c r="AV173" s="355"/>
      <c r="AW173" s="355"/>
      <c r="AX173" s="355"/>
      <c r="AY173" s="355"/>
      <c r="AZ173" s="356"/>
      <c r="BA173" s="356"/>
      <c r="BB173" s="356"/>
    </row>
    <row r="174" spans="2:54" ht="17.100000000000001" hidden="1" customHeight="1" outlineLevel="1"/>
    <row r="175" spans="2:54" ht="17.100000000000001" hidden="1" customHeight="1" outlineLevel="1"/>
    <row r="176" spans="2:54" ht="17.100000000000001" hidden="1" customHeight="1" outlineLevel="1"/>
    <row r="177" spans="3:64" ht="17.100000000000001" hidden="1" customHeight="1" outlineLevel="1"/>
    <row r="178" spans="3:64" ht="17.100000000000001" hidden="1" customHeight="1" outlineLevel="1"/>
    <row r="179" spans="3:64" ht="17.100000000000001" hidden="1" customHeight="1" outlineLevel="1">
      <c r="C179" s="302" t="s">
        <v>50</v>
      </c>
    </row>
    <row r="180" spans="3:64" ht="17.100000000000001" hidden="1" customHeight="1" outlineLevel="1"/>
    <row r="181" spans="3:64" ht="17.100000000000001" hidden="1" customHeight="1" outlineLevel="1"/>
    <row r="182" spans="3:64" ht="17.100000000000001" hidden="1" customHeight="1" outlineLevel="1">
      <c r="C182" s="499" t="s">
        <v>84</v>
      </c>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5"/>
      <c r="AJ182" s="74"/>
      <c r="AK182" s="76"/>
      <c r="AL182" s="76"/>
      <c r="AM182" s="74"/>
      <c r="AP182" s="74"/>
      <c r="AQ182" s="74"/>
      <c r="AR182" s="74"/>
      <c r="AS182" s="74"/>
      <c r="AT182" s="74"/>
      <c r="AU182" s="74"/>
      <c r="AV182" s="74"/>
      <c r="AW182" s="74"/>
      <c r="AX182" s="74"/>
      <c r="AY182" s="74"/>
      <c r="AZ182" s="74"/>
      <c r="BA182" s="74"/>
      <c r="BB182" s="75"/>
      <c r="BC182" s="74"/>
      <c r="BD182" s="76"/>
      <c r="BE182" s="74"/>
    </row>
    <row r="183" spans="3:64" ht="17.100000000000001" hidden="1" customHeight="1" outlineLevel="1">
      <c r="C183" s="459" t="str">
        <f>'1 System specification'!D101</f>
        <v>Supermarkt</v>
      </c>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77"/>
      <c r="AJ183" s="36"/>
      <c r="AK183" s="78"/>
      <c r="AL183" s="78"/>
      <c r="AM183" s="36"/>
      <c r="AP183" s="36"/>
      <c r="AQ183" s="36"/>
      <c r="AR183" s="36"/>
      <c r="AS183" s="36"/>
      <c r="AT183" s="36"/>
      <c r="AU183" s="36"/>
      <c r="AV183" s="36"/>
      <c r="AW183" s="36"/>
      <c r="AX183" s="36"/>
      <c r="AY183" s="36"/>
      <c r="AZ183" s="36"/>
      <c r="BA183" s="36"/>
      <c r="BB183" s="77"/>
      <c r="BC183" s="36"/>
      <c r="BD183" s="78"/>
      <c r="BE183" s="36"/>
    </row>
    <row r="184" spans="3:64" ht="17.100000000000001" hidden="1" customHeight="1" outlineLevel="1">
      <c r="C184" s="528" t="str">
        <f>'1 System specification'!D102</f>
        <v>Industrie</v>
      </c>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3"/>
      <c r="AJ184" s="82"/>
      <c r="AK184" s="84"/>
      <c r="AL184" s="84"/>
      <c r="AM184" s="82"/>
      <c r="AP184" s="82"/>
      <c r="AQ184" s="82"/>
      <c r="AR184" s="82"/>
      <c r="AS184" s="82"/>
      <c r="AT184" s="82"/>
      <c r="AU184" s="82"/>
      <c r="AV184" s="82"/>
      <c r="AW184" s="82"/>
      <c r="AX184" s="82"/>
      <c r="AY184" s="82"/>
      <c r="AZ184" s="82"/>
      <c r="BA184" s="82"/>
      <c r="BB184" s="83"/>
      <c r="BC184" s="82"/>
      <c r="BD184" s="84"/>
      <c r="BE184" s="82"/>
    </row>
    <row r="185" spans="3:64" ht="17.100000000000001" hidden="1" customHeight="1" outlineLevel="1">
      <c r="C185" s="528" t="str">
        <f>'1 System specification'!D103</f>
        <v>Gewerbe</v>
      </c>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77"/>
      <c r="AJ185" s="36"/>
      <c r="AK185" s="78"/>
      <c r="AL185" s="78"/>
      <c r="AM185" s="36"/>
      <c r="AP185" s="36"/>
      <c r="AQ185" s="36"/>
      <c r="AR185" s="36"/>
      <c r="AS185" s="36"/>
      <c r="AT185" s="36"/>
      <c r="AU185" s="36"/>
      <c r="AV185" s="36"/>
      <c r="AW185" s="36"/>
      <c r="AX185" s="36"/>
      <c r="AY185" s="36"/>
      <c r="AZ185" s="36"/>
      <c r="BA185" s="36"/>
      <c r="BB185" s="77"/>
      <c r="BC185" s="36"/>
      <c r="BD185" s="78"/>
      <c r="BE185" s="36"/>
    </row>
    <row r="186" spans="3:64" ht="17.100000000000001" hidden="1" customHeight="1" outlineLevel="1">
      <c r="C186" s="528" t="str">
        <f>'1 System specification'!D104</f>
        <v>Klima-Kälte Direktverdampfung (VRV-, VRF-Systeme)</v>
      </c>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77"/>
      <c r="AJ186" s="36"/>
      <c r="AK186" s="78"/>
      <c r="AL186" s="78"/>
      <c r="AM186" s="36"/>
      <c r="AP186" s="36"/>
      <c r="AQ186" s="36"/>
      <c r="AR186" s="36"/>
      <c r="AS186" s="36"/>
      <c r="AT186" s="36"/>
      <c r="AU186" s="36"/>
      <c r="AV186" s="36"/>
      <c r="AW186" s="36"/>
      <c r="AX186" s="36"/>
      <c r="AY186" s="36"/>
      <c r="AZ186" s="36"/>
      <c r="BA186" s="36"/>
      <c r="BB186" s="77"/>
      <c r="BC186" s="36"/>
      <c r="BD186" s="78"/>
      <c r="BE186" s="36"/>
    </row>
    <row r="187" spans="3:64" ht="17.100000000000001" hidden="1" customHeight="1" outlineLevel="1">
      <c r="C187" s="528" t="str">
        <f>'1 System specification'!D105</f>
        <v>Klima-Kälte (wassergekühlte Kaltwassersätze)</v>
      </c>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77"/>
      <c r="AJ187" s="36"/>
      <c r="AK187" s="78"/>
      <c r="AL187" s="78"/>
      <c r="AM187" s="36"/>
      <c r="AP187" s="36"/>
      <c r="AQ187" s="36"/>
      <c r="AR187" s="36"/>
      <c r="AS187" s="36"/>
      <c r="AT187" s="36"/>
      <c r="AU187" s="36"/>
      <c r="AV187" s="36"/>
      <c r="AW187" s="36"/>
      <c r="AX187" s="36"/>
      <c r="AY187" s="36"/>
      <c r="AZ187" s="36"/>
      <c r="BA187" s="36"/>
      <c r="BB187" s="77"/>
      <c r="BC187" s="36"/>
      <c r="BD187" s="78"/>
      <c r="BE187" s="36"/>
    </row>
    <row r="188" spans="3:64" ht="17.100000000000001" hidden="1" customHeight="1" outlineLevel="1">
      <c r="C188" s="528" t="str">
        <f>'1 System specification'!D106</f>
        <v>Klima-Kälte (luftgekühlte Kaltwassersätze)</v>
      </c>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77"/>
      <c r="AJ188" s="36"/>
      <c r="AK188" s="78"/>
      <c r="AL188" s="78"/>
      <c r="AM188" s="36"/>
      <c r="AP188" s="36"/>
      <c r="AQ188" s="36"/>
      <c r="AR188" s="36"/>
      <c r="AS188" s="36"/>
      <c r="AT188" s="36"/>
      <c r="AU188" s="36"/>
      <c r="AV188" s="36"/>
      <c r="AW188" s="36"/>
      <c r="AX188" s="36"/>
      <c r="AY188" s="36"/>
      <c r="AZ188" s="36"/>
      <c r="BA188" s="36"/>
      <c r="BB188" s="77"/>
      <c r="BC188" s="36"/>
      <c r="BD188" s="78"/>
      <c r="BE188" s="36"/>
    </row>
    <row r="189" spans="3:64" ht="17.100000000000001" hidden="1" customHeight="1" outlineLevel="1"/>
    <row r="190" spans="3:64" ht="17.100000000000001" hidden="1" customHeight="1" outlineLevel="1"/>
    <row r="191" spans="3:64" ht="17.100000000000001" hidden="1" customHeight="1" outlineLevel="1">
      <c r="C191" s="499" t="s">
        <v>333</v>
      </c>
      <c r="D191" s="74"/>
      <c r="E191" s="74"/>
      <c r="F191" s="74"/>
      <c r="G191" s="74"/>
      <c r="H191" s="74"/>
      <c r="I191" s="74"/>
      <c r="J191" s="74"/>
      <c r="K191" s="74"/>
      <c r="L191" s="74"/>
      <c r="M191" s="74"/>
      <c r="N191" s="74"/>
      <c r="O191" s="74"/>
      <c r="P191" s="74"/>
      <c r="Q191" s="74"/>
      <c r="R191" s="74"/>
      <c r="S191" s="74"/>
      <c r="T191" s="74"/>
      <c r="U191" s="74"/>
      <c r="V191" s="74"/>
      <c r="W191" s="74"/>
      <c r="X191" s="74"/>
      <c r="Y191" s="499"/>
      <c r="Z191" s="499" t="s">
        <v>333</v>
      </c>
      <c r="AA191" s="74"/>
      <c r="AB191" s="74"/>
      <c r="AC191" s="74"/>
      <c r="AD191" s="74"/>
      <c r="AE191" s="74"/>
      <c r="AF191" s="74"/>
      <c r="AG191" s="74"/>
      <c r="AH191" s="74"/>
      <c r="AI191" s="75"/>
      <c r="AJ191" s="74"/>
      <c r="AK191" s="76"/>
      <c r="AL191" s="76"/>
      <c r="AM191" s="74"/>
      <c r="AP191" s="74"/>
      <c r="AQ191" s="74"/>
      <c r="AR191" s="74"/>
      <c r="AS191" s="499" t="s">
        <v>333</v>
      </c>
      <c r="AT191" s="74"/>
      <c r="AU191" s="74"/>
      <c r="AV191" s="74"/>
      <c r="AW191" s="74"/>
      <c r="AX191" s="74"/>
      <c r="AY191" s="74"/>
      <c r="AZ191" s="74"/>
      <c r="BA191" s="74"/>
      <c r="BB191" s="75"/>
      <c r="BC191" s="74"/>
      <c r="BD191" s="76"/>
      <c r="BE191" s="74"/>
    </row>
    <row r="192" spans="3:64" ht="17.100000000000001" hidden="1" customHeight="1" outlineLevel="1">
      <c r="C192" s="578" t="str">
        <f>X!$C$182</f>
        <v>Montage auf Platz</v>
      </c>
      <c r="D192" s="36"/>
      <c r="E192" s="36"/>
      <c r="F192" s="36"/>
      <c r="G192" s="36"/>
      <c r="H192" s="36"/>
      <c r="I192" s="36"/>
      <c r="J192" s="36"/>
      <c r="K192" s="36"/>
      <c r="L192" s="36"/>
      <c r="M192" s="36"/>
      <c r="N192" s="36"/>
      <c r="O192" s="36"/>
      <c r="P192" s="36"/>
      <c r="Q192" s="36"/>
      <c r="R192" s="36"/>
      <c r="S192" s="36"/>
      <c r="T192" s="36"/>
      <c r="U192" s="36"/>
      <c r="V192" s="36"/>
      <c r="W192" s="36"/>
      <c r="X192" s="36"/>
      <c r="Y192" s="36"/>
      <c r="Z192" s="1737" t="str">
        <f>C192</f>
        <v>Montage auf Platz</v>
      </c>
      <c r="AA192" s="1737"/>
      <c r="AB192" s="1737"/>
      <c r="AC192" s="1737"/>
      <c r="AD192" s="1737"/>
      <c r="AE192" s="1737"/>
      <c r="AF192" s="1737"/>
      <c r="AG192" s="1737"/>
      <c r="AH192" s="1737"/>
      <c r="AI192" s="1737"/>
      <c r="AJ192" s="55"/>
      <c r="AK192" s="334"/>
      <c r="AL192" s="334"/>
      <c r="AM192" s="334"/>
      <c r="AN192" s="334"/>
      <c r="AO192" s="122"/>
      <c r="AP192" s="156"/>
      <c r="AQ192" s="156"/>
      <c r="AR192" s="334"/>
      <c r="AS192" s="1737" t="str">
        <f>C192</f>
        <v>Montage auf Platz</v>
      </c>
      <c r="AT192" s="1737"/>
      <c r="AU192" s="1737"/>
      <c r="AV192" s="1737"/>
      <c r="AW192" s="1737"/>
      <c r="AX192" s="1737"/>
      <c r="AY192" s="1737"/>
      <c r="AZ192" s="1737"/>
      <c r="BA192" s="1737"/>
      <c r="BB192" s="1737"/>
      <c r="BC192" s="36"/>
      <c r="BD192" s="36"/>
      <c r="BE192" s="36"/>
      <c r="BF192" s="36"/>
      <c r="BL192" s="771" t="s">
        <v>861</v>
      </c>
    </row>
    <row r="193" spans="3:58" ht="17.100000000000001" hidden="1" customHeight="1" outlineLevel="1">
      <c r="C193" s="577" t="str">
        <f>X!$C$266</f>
        <v>Werksgefertigt</v>
      </c>
      <c r="D193" s="82"/>
      <c r="E193" s="82"/>
      <c r="F193" s="82"/>
      <c r="G193" s="82"/>
      <c r="H193" s="82"/>
      <c r="I193" s="82"/>
      <c r="J193" s="82"/>
      <c r="K193" s="82"/>
      <c r="L193" s="82"/>
      <c r="M193" s="82"/>
      <c r="N193" s="82"/>
      <c r="O193" s="82"/>
      <c r="P193" s="82"/>
      <c r="Q193" s="82"/>
      <c r="R193" s="82"/>
      <c r="S193" s="82"/>
      <c r="T193" s="82"/>
      <c r="U193" s="82"/>
      <c r="V193" s="82"/>
      <c r="W193" s="82"/>
      <c r="X193" s="82"/>
      <c r="Y193" s="476"/>
      <c r="Z193" s="1737" t="str">
        <f>IF(Y$42=$C$187,$C193,IF(Y$42=$C$188,$C193,"-"))</f>
        <v>-</v>
      </c>
      <c r="AA193" s="1737"/>
      <c r="AB193" s="1737"/>
      <c r="AC193" s="1737"/>
      <c r="AD193" s="1737"/>
      <c r="AE193" s="1737"/>
      <c r="AF193" s="1737"/>
      <c r="AG193" s="1737"/>
      <c r="AH193" s="1737"/>
      <c r="AI193" s="1737"/>
      <c r="AJ193" s="55"/>
      <c r="AK193" s="334"/>
      <c r="AL193" s="334"/>
      <c r="AM193" s="334"/>
      <c r="AN193" s="334"/>
      <c r="AO193" s="122"/>
      <c r="AP193" s="156"/>
      <c r="AQ193" s="156"/>
      <c r="AR193" s="334"/>
      <c r="AS193" s="1737" t="str">
        <f>IF(AR$42=$C$187,$C193,IF(AR$42=$C$188,$C193,"-"))</f>
        <v>-</v>
      </c>
      <c r="AT193" s="1737"/>
      <c r="AU193" s="1737"/>
      <c r="AV193" s="1737"/>
      <c r="AW193" s="1737"/>
      <c r="AX193" s="1737"/>
      <c r="AY193" s="1737"/>
      <c r="AZ193" s="1737"/>
      <c r="BA193" s="1737"/>
      <c r="BB193" s="1737"/>
      <c r="BC193" s="82"/>
      <c r="BD193" s="84"/>
      <c r="BE193" s="82"/>
    </row>
    <row r="194" spans="3:58" ht="17.100000000000001" hidden="1" customHeight="1" outlineLevel="1">
      <c r="C194" s="578" t="str">
        <f>X!$C$267</f>
        <v>Werksgefertigt hermetisiert</v>
      </c>
      <c r="D194" s="36"/>
      <c r="E194" s="36"/>
      <c r="F194" s="36"/>
      <c r="G194" s="36"/>
      <c r="H194" s="36"/>
      <c r="I194" s="36"/>
      <c r="J194" s="36"/>
      <c r="K194" s="36"/>
      <c r="L194" s="36"/>
      <c r="M194" s="36"/>
      <c r="N194" s="36"/>
      <c r="O194" s="36"/>
      <c r="P194" s="36"/>
      <c r="Q194" s="36"/>
      <c r="R194" s="36"/>
      <c r="S194" s="36"/>
      <c r="T194" s="36"/>
      <c r="U194" s="36"/>
      <c r="V194" s="36"/>
      <c r="W194" s="36"/>
      <c r="X194" s="36"/>
      <c r="Y194" s="36"/>
      <c r="Z194" s="1737" t="str">
        <f>IF(Y$42=$C$187,$C194,IF(Y$42=$C$188,$C194,"-"))</f>
        <v>-</v>
      </c>
      <c r="AA194" s="1737"/>
      <c r="AB194" s="1737"/>
      <c r="AC194" s="1737"/>
      <c r="AD194" s="1737"/>
      <c r="AE194" s="1737"/>
      <c r="AF194" s="1737"/>
      <c r="AG194" s="1737"/>
      <c r="AH194" s="1737"/>
      <c r="AI194" s="1737"/>
      <c r="AJ194" s="55"/>
      <c r="AK194" s="334"/>
      <c r="AL194" s="334"/>
      <c r="AM194" s="334"/>
      <c r="AN194" s="334"/>
      <c r="AO194" s="122"/>
      <c r="AP194" s="156"/>
      <c r="AQ194" s="156"/>
      <c r="AR194" s="334"/>
      <c r="AS194" s="1737" t="str">
        <f>IF(AR$42=$C$187,$C194,IF(AR$42=$C$188,$C194,"-"))</f>
        <v>-</v>
      </c>
      <c r="AT194" s="1737"/>
      <c r="AU194" s="1737"/>
      <c r="AV194" s="1737"/>
      <c r="AW194" s="1737"/>
      <c r="AX194" s="1737"/>
      <c r="AY194" s="1737"/>
      <c r="AZ194" s="1737"/>
      <c r="BA194" s="1737"/>
      <c r="BB194" s="1737"/>
      <c r="BC194" s="36"/>
      <c r="BD194" s="78"/>
      <c r="BE194" s="36"/>
    </row>
    <row r="195" spans="3:58" ht="17.100000000000001" hidden="1" customHeight="1" outlineLevel="1">
      <c r="C195" s="459" t="s">
        <v>95</v>
      </c>
      <c r="D195" s="36"/>
      <c r="E195" s="36"/>
      <c r="F195" s="36"/>
      <c r="G195" s="36"/>
      <c r="H195" s="36"/>
      <c r="I195" s="36"/>
      <c r="J195" s="36"/>
      <c r="K195" s="36"/>
      <c r="L195" s="36"/>
      <c r="M195" s="36"/>
      <c r="N195" s="36"/>
      <c r="O195" s="36"/>
      <c r="P195" s="36"/>
      <c r="Q195" s="36"/>
      <c r="R195" s="36"/>
      <c r="S195" s="36"/>
      <c r="T195" s="36"/>
      <c r="U195" s="36"/>
      <c r="V195" s="36"/>
      <c r="W195" s="36"/>
      <c r="X195" s="36"/>
      <c r="Y195" s="36"/>
      <c r="Z195" s="1737" t="str">
        <f>IF(Y$42=$C$188,$C195,"-")</f>
        <v>-</v>
      </c>
      <c r="AA195" s="1737"/>
      <c r="AB195" s="1737"/>
      <c r="AC195" s="1737"/>
      <c r="AD195" s="1737"/>
      <c r="AE195" s="1737"/>
      <c r="AF195" s="1737"/>
      <c r="AG195" s="1737"/>
      <c r="AH195" s="1737"/>
      <c r="AI195" s="1737"/>
      <c r="AJ195" s="55"/>
      <c r="AK195" s="334"/>
      <c r="AL195" s="334"/>
      <c r="AM195" s="334"/>
      <c r="AN195" s="334"/>
      <c r="AO195" s="122"/>
      <c r="AP195" s="156"/>
      <c r="AQ195" s="156"/>
      <c r="AR195" s="334"/>
      <c r="AS195" s="1737" t="str">
        <f>IF(AR$42=$C$188,$C195,"-")</f>
        <v>-</v>
      </c>
      <c r="AT195" s="1737"/>
      <c r="AU195" s="1737"/>
      <c r="AV195" s="1737"/>
      <c r="AW195" s="1737"/>
      <c r="AX195" s="1737"/>
      <c r="AY195" s="1737"/>
      <c r="AZ195" s="1737"/>
      <c r="BA195" s="1737"/>
      <c r="BB195" s="1737"/>
      <c r="BC195" s="36"/>
      <c r="BD195" s="36"/>
      <c r="BE195" s="36"/>
      <c r="BF195" s="36"/>
    </row>
    <row r="196" spans="3:58" ht="17.100000000000001" hidden="1" customHeight="1" outlineLevel="1"/>
    <row r="197" spans="3:58" ht="17.100000000000001" hidden="1" customHeight="1" outlineLevel="1"/>
    <row r="198" spans="3:58" ht="17.100000000000001" hidden="1" customHeight="1" outlineLevel="1">
      <c r="C198" s="499" t="s">
        <v>51</v>
      </c>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357"/>
      <c r="AG198" s="1739">
        <f>Y33</f>
        <v>0</v>
      </c>
      <c r="AH198" s="1739"/>
      <c r="AI198" s="1739"/>
      <c r="AJ198" s="1739"/>
      <c r="AK198" s="1739"/>
      <c r="AL198" s="358"/>
      <c r="AM198" s="74"/>
      <c r="AP198" s="74"/>
      <c r="AQ198" s="74"/>
      <c r="AR198" s="74"/>
      <c r="AS198" s="74"/>
      <c r="AT198" s="74"/>
      <c r="AU198" s="74"/>
      <c r="AV198" s="74"/>
      <c r="AW198" s="74"/>
      <c r="AX198" s="357"/>
      <c r="AZ198" s="1739">
        <f>AR33</f>
        <v>0</v>
      </c>
      <c r="BA198" s="1739"/>
      <c r="BB198" s="1739"/>
      <c r="BC198" s="1739"/>
      <c r="BD198" s="1739"/>
      <c r="BE198" s="74"/>
    </row>
    <row r="199" spans="3:58" ht="17.100000000000001" hidden="1" customHeight="1" outlineLevel="1">
      <c r="C199" s="460" t="s">
        <v>52</v>
      </c>
      <c r="D199" s="82"/>
      <c r="E199" s="82"/>
      <c r="F199" s="82"/>
      <c r="G199" s="82"/>
      <c r="H199" s="82"/>
      <c r="I199" s="82"/>
      <c r="J199" s="82"/>
      <c r="K199" s="82"/>
      <c r="L199" s="82"/>
      <c r="M199" s="82"/>
      <c r="N199" s="82"/>
      <c r="O199" s="82"/>
      <c r="P199" s="82"/>
      <c r="Q199" s="82"/>
      <c r="R199" s="82" t="s">
        <v>33</v>
      </c>
      <c r="S199" s="82"/>
      <c r="T199" s="82"/>
      <c r="U199" s="82"/>
      <c r="V199" s="82"/>
      <c r="W199" s="82"/>
      <c r="X199" s="82"/>
      <c r="Y199" s="82"/>
      <c r="Z199" s="82"/>
      <c r="AA199" s="1734">
        <v>675</v>
      </c>
      <c r="AB199" s="1734"/>
      <c r="AC199" s="1734"/>
      <c r="AD199" s="1734"/>
      <c r="AE199" s="1734"/>
      <c r="AG199" s="1734">
        <f t="shared" ref="AG199:AG221" si="2">IF(AG$198=C199,AA199,0)</f>
        <v>0</v>
      </c>
      <c r="AH199" s="1734"/>
      <c r="AI199" s="1734"/>
      <c r="AJ199" s="1734"/>
      <c r="AK199" s="1734"/>
      <c r="AL199" s="359"/>
      <c r="AM199" s="82"/>
      <c r="AP199" s="82"/>
      <c r="AQ199" s="82"/>
      <c r="AR199" s="82"/>
      <c r="AS199" s="82"/>
      <c r="AT199" s="1734"/>
      <c r="AU199" s="1734"/>
      <c r="AV199" s="1734"/>
      <c r="AW199" s="1734"/>
      <c r="AX199" s="1734"/>
      <c r="AZ199" s="1734">
        <f t="shared" ref="AZ199:AZ221" si="3">IF(C199=AZ$198,AA199,0)</f>
        <v>0</v>
      </c>
      <c r="BA199" s="1734"/>
      <c r="BB199" s="1734"/>
      <c r="BC199" s="1734"/>
      <c r="BD199" s="1734">
        <v>0</v>
      </c>
      <c r="BE199" s="82"/>
    </row>
    <row r="200" spans="3:58" ht="17.100000000000001" hidden="1" customHeight="1" outlineLevel="1">
      <c r="C200" s="460" t="s">
        <v>53</v>
      </c>
      <c r="D200" s="82"/>
      <c r="E200" s="82"/>
      <c r="F200" s="82"/>
      <c r="G200" s="82"/>
      <c r="H200" s="82"/>
      <c r="I200" s="82"/>
      <c r="J200" s="82"/>
      <c r="K200" s="82"/>
      <c r="L200" s="82"/>
      <c r="M200" s="82"/>
      <c r="N200" s="82"/>
      <c r="O200" s="82"/>
      <c r="P200" s="82"/>
      <c r="Q200" s="82"/>
      <c r="R200" s="82" t="s">
        <v>33</v>
      </c>
      <c r="S200" s="82"/>
      <c r="T200" s="82"/>
      <c r="U200" s="82"/>
      <c r="V200" s="82"/>
      <c r="W200" s="82"/>
      <c r="X200" s="82"/>
      <c r="Y200" s="82"/>
      <c r="Z200" s="82"/>
      <c r="AA200" s="1734">
        <v>1430</v>
      </c>
      <c r="AB200" s="1734"/>
      <c r="AC200" s="1734"/>
      <c r="AD200" s="1734"/>
      <c r="AE200" s="1734"/>
      <c r="AG200" s="1734">
        <f t="shared" si="2"/>
        <v>0</v>
      </c>
      <c r="AH200" s="1734"/>
      <c r="AI200" s="1734"/>
      <c r="AJ200" s="1734"/>
      <c r="AK200" s="1734"/>
      <c r="AL200" s="359"/>
      <c r="AM200" s="82"/>
      <c r="AP200" s="82"/>
      <c r="AQ200" s="82"/>
      <c r="AR200" s="82"/>
      <c r="AS200" s="82"/>
      <c r="AT200" s="1734"/>
      <c r="AU200" s="1734"/>
      <c r="AV200" s="1734"/>
      <c r="AW200" s="1734"/>
      <c r="AX200" s="1734"/>
      <c r="AZ200" s="1734">
        <f t="shared" si="3"/>
        <v>0</v>
      </c>
      <c r="BA200" s="1734"/>
      <c r="BB200" s="1734"/>
      <c r="BC200" s="1734"/>
      <c r="BD200" s="1734">
        <v>0</v>
      </c>
      <c r="BE200" s="82"/>
    </row>
    <row r="201" spans="3:58" ht="17.100000000000001" hidden="1" customHeight="1" outlineLevel="1">
      <c r="C201" s="577" t="s">
        <v>307</v>
      </c>
      <c r="D201" s="82"/>
      <c r="E201" s="82"/>
      <c r="F201" s="82"/>
      <c r="G201" s="82"/>
      <c r="H201" s="82"/>
      <c r="I201" s="82"/>
      <c r="J201" s="82"/>
      <c r="K201" s="82"/>
      <c r="L201" s="82"/>
      <c r="M201" s="82"/>
      <c r="N201" s="82"/>
      <c r="O201" s="82"/>
      <c r="P201" s="82"/>
      <c r="Q201" s="82"/>
      <c r="R201" s="82" t="s">
        <v>33</v>
      </c>
      <c r="S201" s="82"/>
      <c r="T201" s="82"/>
      <c r="U201" s="82"/>
      <c r="V201" s="82"/>
      <c r="W201" s="82"/>
      <c r="X201" s="82"/>
      <c r="Y201" s="82"/>
      <c r="Z201" s="82"/>
      <c r="AA201" s="1734">
        <v>3</v>
      </c>
      <c r="AB201" s="1734"/>
      <c r="AC201" s="1734"/>
      <c r="AD201" s="1734"/>
      <c r="AE201" s="1734"/>
      <c r="AG201" s="1734">
        <f>IF(AG$198=C201,AA201,0)</f>
        <v>0</v>
      </c>
      <c r="AH201" s="1734"/>
      <c r="AI201" s="1734"/>
      <c r="AJ201" s="1734"/>
      <c r="AK201" s="1734"/>
      <c r="AL201" s="446"/>
      <c r="AM201" s="82"/>
      <c r="AP201" s="82"/>
      <c r="AQ201" s="82"/>
      <c r="AR201" s="82"/>
      <c r="AS201" s="82"/>
      <c r="AT201" s="1734"/>
      <c r="AU201" s="1734"/>
      <c r="AV201" s="1734"/>
      <c r="AW201" s="1734"/>
      <c r="AX201" s="1734"/>
      <c r="AZ201" s="1734">
        <f>IF(C201=AZ$198,AA201,0)</f>
        <v>0</v>
      </c>
      <c r="BA201" s="1734"/>
      <c r="BB201" s="1734"/>
      <c r="BC201" s="1734"/>
      <c r="BD201" s="1734">
        <v>0</v>
      </c>
      <c r="BE201" s="82"/>
    </row>
    <row r="202" spans="3:58" ht="17.100000000000001" hidden="1" customHeight="1" outlineLevel="1">
      <c r="C202" s="460" t="s">
        <v>19</v>
      </c>
      <c r="D202" s="82"/>
      <c r="E202" s="82"/>
      <c r="F202" s="82"/>
      <c r="G202" s="82"/>
      <c r="H202" s="82"/>
      <c r="I202" s="82"/>
      <c r="J202" s="82"/>
      <c r="K202" s="82"/>
      <c r="L202" s="82"/>
      <c r="M202" s="82"/>
      <c r="N202" s="82"/>
      <c r="O202" s="82"/>
      <c r="P202" s="82"/>
      <c r="Q202" s="82"/>
      <c r="R202" s="82" t="s">
        <v>33</v>
      </c>
      <c r="S202" s="82"/>
      <c r="T202" s="82"/>
      <c r="U202" s="82"/>
      <c r="V202" s="82"/>
      <c r="W202" s="82"/>
      <c r="X202" s="82"/>
      <c r="Y202" s="82"/>
      <c r="Z202" s="82"/>
      <c r="AA202" s="1734">
        <v>3920</v>
      </c>
      <c r="AB202" s="1734"/>
      <c r="AC202" s="1734"/>
      <c r="AD202" s="1734"/>
      <c r="AE202" s="1734"/>
      <c r="AG202" s="1734">
        <f t="shared" si="2"/>
        <v>0</v>
      </c>
      <c r="AH202" s="1734"/>
      <c r="AI202" s="1734"/>
      <c r="AJ202" s="1734"/>
      <c r="AK202" s="1734"/>
      <c r="AL202" s="359"/>
      <c r="AM202" s="82"/>
      <c r="AP202" s="82"/>
      <c r="AQ202" s="82"/>
      <c r="AR202" s="82"/>
      <c r="AS202" s="82"/>
      <c r="AT202" s="1734"/>
      <c r="AU202" s="1734"/>
      <c r="AV202" s="1734"/>
      <c r="AW202" s="1734"/>
      <c r="AX202" s="1734"/>
      <c r="AZ202" s="1734">
        <f t="shared" si="3"/>
        <v>0</v>
      </c>
      <c r="BA202" s="1734"/>
      <c r="BB202" s="1734"/>
      <c r="BC202" s="1734"/>
      <c r="BD202" s="1734">
        <v>0</v>
      </c>
      <c r="BE202" s="82"/>
    </row>
    <row r="203" spans="3:58" ht="17.100000000000001" hidden="1" customHeight="1" outlineLevel="1">
      <c r="C203" s="460" t="s">
        <v>54</v>
      </c>
      <c r="D203" s="82"/>
      <c r="E203" s="82"/>
      <c r="F203" s="82"/>
      <c r="G203" s="82"/>
      <c r="H203" s="82"/>
      <c r="I203" s="82"/>
      <c r="J203" s="82"/>
      <c r="K203" s="82"/>
      <c r="L203" s="82"/>
      <c r="M203" s="82"/>
      <c r="N203" s="82"/>
      <c r="O203" s="82"/>
      <c r="P203" s="82"/>
      <c r="Q203" s="82"/>
      <c r="R203" s="82" t="s">
        <v>33</v>
      </c>
      <c r="S203" s="82"/>
      <c r="T203" s="82"/>
      <c r="U203" s="82"/>
      <c r="V203" s="82"/>
      <c r="W203" s="82"/>
      <c r="X203" s="82"/>
      <c r="Y203" s="82"/>
      <c r="Z203" s="82"/>
      <c r="AA203" s="1734">
        <v>1770</v>
      </c>
      <c r="AB203" s="1734"/>
      <c r="AC203" s="1734"/>
      <c r="AD203" s="1734"/>
      <c r="AE203" s="1734"/>
      <c r="AG203" s="1734">
        <f t="shared" si="2"/>
        <v>0</v>
      </c>
      <c r="AH203" s="1734"/>
      <c r="AI203" s="1734"/>
      <c r="AJ203" s="1734"/>
      <c r="AK203" s="1734"/>
      <c r="AL203" s="359"/>
      <c r="AM203" s="82"/>
      <c r="AP203" s="82"/>
      <c r="AQ203" s="82"/>
      <c r="AR203" s="82"/>
      <c r="AS203" s="82"/>
      <c r="AT203" s="1734"/>
      <c r="AU203" s="1734"/>
      <c r="AV203" s="1734"/>
      <c r="AW203" s="1734"/>
      <c r="AX203" s="1734"/>
      <c r="AZ203" s="1734">
        <f t="shared" si="3"/>
        <v>0</v>
      </c>
      <c r="BA203" s="1734"/>
      <c r="BB203" s="1734"/>
      <c r="BC203" s="1734"/>
      <c r="BD203" s="1734">
        <v>0</v>
      </c>
      <c r="BE203" s="82"/>
    </row>
    <row r="204" spans="3:58" ht="17.100000000000001" hidden="1" customHeight="1" outlineLevel="1">
      <c r="C204" s="460" t="s">
        <v>55</v>
      </c>
      <c r="D204" s="82"/>
      <c r="E204" s="82"/>
      <c r="F204" s="82"/>
      <c r="G204" s="82"/>
      <c r="H204" s="82"/>
      <c r="I204" s="82"/>
      <c r="J204" s="82"/>
      <c r="K204" s="82"/>
      <c r="L204" s="82"/>
      <c r="M204" s="82"/>
      <c r="N204" s="82"/>
      <c r="O204" s="82"/>
      <c r="P204" s="82"/>
      <c r="Q204" s="82"/>
      <c r="R204" s="82" t="s">
        <v>33</v>
      </c>
      <c r="S204" s="82"/>
      <c r="T204" s="82"/>
      <c r="U204" s="82"/>
      <c r="V204" s="82"/>
      <c r="W204" s="82"/>
      <c r="X204" s="82"/>
      <c r="Y204" s="82"/>
      <c r="Z204" s="82"/>
      <c r="AA204" s="1734">
        <v>1825</v>
      </c>
      <c r="AB204" s="1734"/>
      <c r="AC204" s="1734"/>
      <c r="AD204" s="1734"/>
      <c r="AE204" s="1734"/>
      <c r="AG204" s="1734">
        <f t="shared" si="2"/>
        <v>0</v>
      </c>
      <c r="AH204" s="1734"/>
      <c r="AI204" s="1734"/>
      <c r="AJ204" s="1734"/>
      <c r="AK204" s="1734"/>
      <c r="AL204" s="359"/>
      <c r="AM204" s="82"/>
      <c r="AP204" s="82"/>
      <c r="AQ204" s="82"/>
      <c r="AR204" s="82"/>
      <c r="AS204" s="82"/>
      <c r="AT204" s="1734"/>
      <c r="AU204" s="1734"/>
      <c r="AV204" s="1734"/>
      <c r="AW204" s="1734"/>
      <c r="AX204" s="1734"/>
      <c r="AZ204" s="1734">
        <f t="shared" si="3"/>
        <v>0</v>
      </c>
      <c r="BA204" s="1734"/>
      <c r="BB204" s="1734"/>
      <c r="BC204" s="1734"/>
      <c r="BD204" s="1734">
        <v>0</v>
      </c>
      <c r="BE204" s="82"/>
    </row>
    <row r="205" spans="3:58" ht="17.100000000000001" hidden="1" customHeight="1" outlineLevel="1">
      <c r="C205" s="460" t="s">
        <v>56</v>
      </c>
      <c r="D205" s="82"/>
      <c r="E205" s="82"/>
      <c r="F205" s="82"/>
      <c r="G205" s="82"/>
      <c r="H205" s="82"/>
      <c r="I205" s="82"/>
      <c r="J205" s="82"/>
      <c r="K205" s="82"/>
      <c r="L205" s="82"/>
      <c r="M205" s="82"/>
      <c r="N205" s="82"/>
      <c r="O205" s="82"/>
      <c r="P205" s="82"/>
      <c r="Q205" s="82"/>
      <c r="R205" s="82" t="s">
        <v>33</v>
      </c>
      <c r="S205" s="82"/>
      <c r="T205" s="82"/>
      <c r="U205" s="82"/>
      <c r="V205" s="82"/>
      <c r="W205" s="82"/>
      <c r="X205" s="82"/>
      <c r="Y205" s="82"/>
      <c r="Z205" s="82"/>
      <c r="AA205" s="1734">
        <v>2090</v>
      </c>
      <c r="AB205" s="1734"/>
      <c r="AC205" s="1734"/>
      <c r="AD205" s="1734"/>
      <c r="AE205" s="1734"/>
      <c r="AG205" s="1734">
        <f t="shared" si="2"/>
        <v>0</v>
      </c>
      <c r="AH205" s="1734"/>
      <c r="AI205" s="1734"/>
      <c r="AJ205" s="1734"/>
      <c r="AK205" s="1734"/>
      <c r="AL205" s="359"/>
      <c r="AM205" s="82"/>
      <c r="AP205" s="82"/>
      <c r="AQ205" s="82"/>
      <c r="AR205" s="82"/>
      <c r="AS205" s="82"/>
      <c r="AT205" s="1734"/>
      <c r="AU205" s="1734"/>
      <c r="AV205" s="1734"/>
      <c r="AW205" s="1734"/>
      <c r="AX205" s="1734"/>
      <c r="AZ205" s="1734">
        <f t="shared" si="3"/>
        <v>0</v>
      </c>
      <c r="BA205" s="1734"/>
      <c r="BB205" s="1734"/>
      <c r="BC205" s="1734"/>
      <c r="BD205" s="1734">
        <v>0</v>
      </c>
      <c r="BE205" s="82"/>
    </row>
    <row r="206" spans="3:58" ht="17.100000000000001" hidden="1" customHeight="1" outlineLevel="1">
      <c r="C206" s="460" t="s">
        <v>57</v>
      </c>
      <c r="D206" s="82"/>
      <c r="E206" s="82"/>
      <c r="F206" s="82"/>
      <c r="G206" s="82"/>
      <c r="H206" s="82"/>
      <c r="I206" s="82"/>
      <c r="J206" s="82"/>
      <c r="K206" s="82"/>
      <c r="L206" s="82"/>
      <c r="M206" s="82"/>
      <c r="N206" s="82"/>
      <c r="O206" s="82"/>
      <c r="P206" s="82"/>
      <c r="Q206" s="82"/>
      <c r="R206" s="82" t="s">
        <v>33</v>
      </c>
      <c r="S206" s="82"/>
      <c r="T206" s="82"/>
      <c r="U206" s="82"/>
      <c r="V206" s="82"/>
      <c r="W206" s="82"/>
      <c r="X206" s="82"/>
      <c r="Y206" s="82"/>
      <c r="Z206" s="82"/>
      <c r="AA206" s="1734">
        <v>2340</v>
      </c>
      <c r="AB206" s="1734"/>
      <c r="AC206" s="1734"/>
      <c r="AD206" s="1734"/>
      <c r="AE206" s="1734"/>
      <c r="AG206" s="1734">
        <f t="shared" si="2"/>
        <v>0</v>
      </c>
      <c r="AH206" s="1734"/>
      <c r="AI206" s="1734"/>
      <c r="AJ206" s="1734"/>
      <c r="AK206" s="1734"/>
      <c r="AL206" s="359"/>
      <c r="AM206" s="82"/>
      <c r="AP206" s="82"/>
      <c r="AQ206" s="82"/>
      <c r="AR206" s="82"/>
      <c r="AS206" s="82"/>
      <c r="AT206" s="1734"/>
      <c r="AU206" s="1734"/>
      <c r="AV206" s="1734"/>
      <c r="AW206" s="1734"/>
      <c r="AX206" s="1734"/>
      <c r="AZ206" s="1734">
        <f t="shared" si="3"/>
        <v>0</v>
      </c>
      <c r="BA206" s="1734"/>
      <c r="BB206" s="1734"/>
      <c r="BC206" s="1734"/>
      <c r="BD206" s="1734">
        <v>0</v>
      </c>
      <c r="BE206" s="82"/>
    </row>
    <row r="207" spans="3:58" ht="17.100000000000001" hidden="1" customHeight="1" outlineLevel="1">
      <c r="C207" s="460" t="s">
        <v>58</v>
      </c>
      <c r="D207" s="82"/>
      <c r="E207" s="82"/>
      <c r="F207" s="82"/>
      <c r="G207" s="82"/>
      <c r="H207" s="82"/>
      <c r="I207" s="82"/>
      <c r="J207" s="82"/>
      <c r="K207" s="82"/>
      <c r="L207" s="82"/>
      <c r="M207" s="82"/>
      <c r="N207" s="82"/>
      <c r="O207" s="82"/>
      <c r="P207" s="82"/>
      <c r="Q207" s="82"/>
      <c r="R207" s="82" t="s">
        <v>33</v>
      </c>
      <c r="S207" s="82"/>
      <c r="T207" s="82"/>
      <c r="U207" s="82"/>
      <c r="V207" s="82"/>
      <c r="W207" s="82"/>
      <c r="X207" s="82"/>
      <c r="Y207" s="82"/>
      <c r="Z207" s="82"/>
      <c r="AA207" s="1734">
        <v>3140</v>
      </c>
      <c r="AB207" s="1734"/>
      <c r="AC207" s="1734"/>
      <c r="AD207" s="1734"/>
      <c r="AE207" s="1734"/>
      <c r="AG207" s="1734">
        <f t="shared" si="2"/>
        <v>0</v>
      </c>
      <c r="AH207" s="1734"/>
      <c r="AI207" s="1734"/>
      <c r="AJ207" s="1734"/>
      <c r="AK207" s="1734"/>
      <c r="AL207" s="359"/>
      <c r="AM207" s="82"/>
      <c r="AP207" s="82"/>
      <c r="AQ207" s="82"/>
      <c r="AR207" s="82"/>
      <c r="AS207" s="82"/>
      <c r="AT207" s="1734"/>
      <c r="AU207" s="1734"/>
      <c r="AV207" s="1734"/>
      <c r="AW207" s="1734"/>
      <c r="AX207" s="1734"/>
      <c r="AZ207" s="1734">
        <f t="shared" si="3"/>
        <v>0</v>
      </c>
      <c r="BA207" s="1734"/>
      <c r="BB207" s="1734"/>
      <c r="BC207" s="1734"/>
      <c r="BD207" s="1734">
        <v>0</v>
      </c>
      <c r="BE207" s="82"/>
    </row>
    <row r="208" spans="3:58" ht="17.100000000000001" hidden="1" customHeight="1" outlineLevel="1">
      <c r="C208" s="460" t="s">
        <v>59</v>
      </c>
      <c r="D208" s="82"/>
      <c r="E208" s="82"/>
      <c r="F208" s="82"/>
      <c r="G208" s="82"/>
      <c r="H208" s="82"/>
      <c r="I208" s="82"/>
      <c r="J208" s="82"/>
      <c r="K208" s="82"/>
      <c r="L208" s="82"/>
      <c r="M208" s="82"/>
      <c r="N208" s="82"/>
      <c r="O208" s="82"/>
      <c r="P208" s="82"/>
      <c r="Q208" s="82"/>
      <c r="R208" s="82" t="s">
        <v>33</v>
      </c>
      <c r="S208" s="82"/>
      <c r="T208" s="82"/>
      <c r="U208" s="82"/>
      <c r="V208" s="82"/>
      <c r="W208" s="82"/>
      <c r="X208" s="82"/>
      <c r="Y208" s="82"/>
      <c r="Z208" s="82"/>
      <c r="AA208" s="1734">
        <v>2730</v>
      </c>
      <c r="AB208" s="1734"/>
      <c r="AC208" s="1734"/>
      <c r="AD208" s="1734"/>
      <c r="AE208" s="1734"/>
      <c r="AG208" s="1734">
        <f t="shared" si="2"/>
        <v>0</v>
      </c>
      <c r="AH208" s="1734"/>
      <c r="AI208" s="1734"/>
      <c r="AJ208" s="1734"/>
      <c r="AK208" s="1734"/>
      <c r="AL208" s="359"/>
      <c r="AM208" s="82"/>
      <c r="AP208" s="82"/>
      <c r="AQ208" s="82"/>
      <c r="AR208" s="82"/>
      <c r="AS208" s="82"/>
      <c r="AT208" s="1734"/>
      <c r="AU208" s="1734"/>
      <c r="AV208" s="1734"/>
      <c r="AW208" s="1734"/>
      <c r="AX208" s="1734"/>
      <c r="AZ208" s="1734">
        <f t="shared" si="3"/>
        <v>0</v>
      </c>
      <c r="BA208" s="1734"/>
      <c r="BB208" s="1734"/>
      <c r="BC208" s="1734"/>
      <c r="BD208" s="1734">
        <v>0</v>
      </c>
      <c r="BE208" s="82"/>
    </row>
    <row r="209" spans="3:57" ht="17.100000000000001" hidden="1" customHeight="1" outlineLevel="1">
      <c r="C209" s="460" t="s">
        <v>60</v>
      </c>
      <c r="D209" s="82"/>
      <c r="E209" s="82"/>
      <c r="F209" s="82"/>
      <c r="G209" s="82"/>
      <c r="H209" s="82"/>
      <c r="I209" s="82"/>
      <c r="J209" s="82"/>
      <c r="K209" s="82"/>
      <c r="L209" s="82"/>
      <c r="M209" s="82"/>
      <c r="N209" s="82"/>
      <c r="O209" s="82"/>
      <c r="P209" s="82"/>
      <c r="Q209" s="82"/>
      <c r="R209" s="82" t="s">
        <v>33</v>
      </c>
      <c r="S209" s="82"/>
      <c r="T209" s="82"/>
      <c r="U209" s="82"/>
      <c r="V209" s="82"/>
      <c r="W209" s="82"/>
      <c r="X209" s="82"/>
      <c r="Y209" s="82"/>
      <c r="Z209" s="82"/>
      <c r="AA209" s="1734">
        <v>2140</v>
      </c>
      <c r="AB209" s="1734"/>
      <c r="AC209" s="1734"/>
      <c r="AD209" s="1734"/>
      <c r="AE209" s="1734"/>
      <c r="AG209" s="1734">
        <f t="shared" si="2"/>
        <v>0</v>
      </c>
      <c r="AH209" s="1734"/>
      <c r="AI209" s="1734"/>
      <c r="AJ209" s="1734"/>
      <c r="AK209" s="1734"/>
      <c r="AL209" s="359"/>
      <c r="AM209" s="82"/>
      <c r="AP209" s="82"/>
      <c r="AQ209" s="82"/>
      <c r="AR209" s="82"/>
      <c r="AS209" s="82"/>
      <c r="AT209" s="1734"/>
      <c r="AU209" s="1734"/>
      <c r="AV209" s="1734"/>
      <c r="AW209" s="1734"/>
      <c r="AX209" s="1734"/>
      <c r="AZ209" s="1734">
        <f t="shared" si="3"/>
        <v>0</v>
      </c>
      <c r="BA209" s="1734"/>
      <c r="BB209" s="1734"/>
      <c r="BC209" s="1734"/>
      <c r="BD209" s="1734">
        <v>0</v>
      </c>
      <c r="BE209" s="82"/>
    </row>
    <row r="210" spans="3:57" ht="17.100000000000001" hidden="1" customHeight="1" outlineLevel="1">
      <c r="C210" s="460" t="s">
        <v>61</v>
      </c>
      <c r="D210" s="82"/>
      <c r="E210" s="82"/>
      <c r="F210" s="82"/>
      <c r="G210" s="82"/>
      <c r="H210" s="82"/>
      <c r="I210" s="82"/>
      <c r="J210" s="82"/>
      <c r="K210" s="82"/>
      <c r="L210" s="82"/>
      <c r="M210" s="82"/>
      <c r="N210" s="82"/>
      <c r="O210" s="82"/>
      <c r="P210" s="82"/>
      <c r="Q210" s="82"/>
      <c r="R210" s="82" t="s">
        <v>33</v>
      </c>
      <c r="S210" s="82"/>
      <c r="T210" s="82"/>
      <c r="U210" s="82"/>
      <c r="V210" s="82"/>
      <c r="W210" s="82"/>
      <c r="X210" s="82"/>
      <c r="Y210" s="82"/>
      <c r="Z210" s="82"/>
      <c r="AA210" s="1734">
        <v>1386</v>
      </c>
      <c r="AB210" s="1734"/>
      <c r="AC210" s="1734"/>
      <c r="AD210" s="1734"/>
      <c r="AE210" s="1734"/>
      <c r="AG210" s="1734">
        <f t="shared" si="2"/>
        <v>0</v>
      </c>
      <c r="AH210" s="1734"/>
      <c r="AI210" s="1734"/>
      <c r="AJ210" s="1734"/>
      <c r="AK210" s="1734"/>
      <c r="AL210" s="359"/>
      <c r="AM210" s="82"/>
      <c r="AP210" s="82"/>
      <c r="AQ210" s="82"/>
      <c r="AR210" s="82"/>
      <c r="AS210" s="82"/>
      <c r="AT210" s="1734"/>
      <c r="AU210" s="1734"/>
      <c r="AV210" s="1734"/>
      <c r="AW210" s="1734"/>
      <c r="AX210" s="1734"/>
      <c r="AZ210" s="1734">
        <f t="shared" si="3"/>
        <v>0</v>
      </c>
      <c r="BA210" s="1734"/>
      <c r="BB210" s="1734"/>
      <c r="BC210" s="1734"/>
      <c r="BD210" s="1734">
        <v>0</v>
      </c>
      <c r="BE210" s="82"/>
    </row>
    <row r="211" spans="3:57" ht="17.100000000000001" hidden="1" customHeight="1" outlineLevel="1">
      <c r="C211" s="460" t="s">
        <v>62</v>
      </c>
      <c r="D211" s="82"/>
      <c r="E211" s="82"/>
      <c r="F211" s="82"/>
      <c r="G211" s="82"/>
      <c r="H211" s="82"/>
      <c r="I211" s="82"/>
      <c r="J211" s="82"/>
      <c r="K211" s="82"/>
      <c r="L211" s="82"/>
      <c r="M211" s="82"/>
      <c r="N211" s="82"/>
      <c r="O211" s="82"/>
      <c r="P211" s="82"/>
      <c r="Q211" s="82"/>
      <c r="R211" s="82" t="s">
        <v>33</v>
      </c>
      <c r="S211" s="82"/>
      <c r="T211" s="82"/>
      <c r="U211" s="82"/>
      <c r="V211" s="82"/>
      <c r="W211" s="82"/>
      <c r="X211" s="82"/>
      <c r="Y211" s="82"/>
      <c r="Z211" s="82"/>
      <c r="AA211" s="1734">
        <v>1397</v>
      </c>
      <c r="AB211" s="1734"/>
      <c r="AC211" s="1734"/>
      <c r="AD211" s="1734"/>
      <c r="AE211" s="1734"/>
      <c r="AG211" s="1734">
        <f t="shared" si="2"/>
        <v>0</v>
      </c>
      <c r="AH211" s="1734"/>
      <c r="AI211" s="1734"/>
      <c r="AJ211" s="1734"/>
      <c r="AK211" s="1734"/>
      <c r="AL211" s="359"/>
      <c r="AM211" s="82"/>
      <c r="AP211" s="82"/>
      <c r="AQ211" s="82"/>
      <c r="AR211" s="82"/>
      <c r="AS211" s="82"/>
      <c r="AT211" s="1734"/>
      <c r="AU211" s="1734"/>
      <c r="AV211" s="1734"/>
      <c r="AW211" s="1734"/>
      <c r="AX211" s="1734"/>
      <c r="AZ211" s="1734">
        <f t="shared" si="3"/>
        <v>0</v>
      </c>
      <c r="BA211" s="1734"/>
      <c r="BB211" s="1734"/>
      <c r="BC211" s="1734"/>
      <c r="BD211" s="1734">
        <v>0</v>
      </c>
      <c r="BE211" s="82"/>
    </row>
    <row r="212" spans="3:57" ht="17.100000000000001" hidden="1" customHeight="1" outlineLevel="1">
      <c r="C212" s="460" t="s">
        <v>63</v>
      </c>
      <c r="D212" s="82"/>
      <c r="E212" s="82"/>
      <c r="F212" s="82"/>
      <c r="G212" s="82"/>
      <c r="H212" s="82"/>
      <c r="I212" s="82"/>
      <c r="J212" s="82"/>
      <c r="K212" s="82"/>
      <c r="L212" s="82"/>
      <c r="M212" s="82"/>
      <c r="N212" s="82"/>
      <c r="O212" s="82"/>
      <c r="P212" s="82"/>
      <c r="Q212" s="82"/>
      <c r="R212" s="82" t="s">
        <v>33</v>
      </c>
      <c r="S212" s="82"/>
      <c r="T212" s="82"/>
      <c r="U212" s="82"/>
      <c r="V212" s="82"/>
      <c r="W212" s="82"/>
      <c r="X212" s="82"/>
      <c r="Y212" s="82"/>
      <c r="Z212" s="82"/>
      <c r="AA212" s="1734">
        <v>601</v>
      </c>
      <c r="AB212" s="1734"/>
      <c r="AC212" s="1734"/>
      <c r="AD212" s="1734"/>
      <c r="AE212" s="1734"/>
      <c r="AG212" s="1734">
        <f t="shared" si="2"/>
        <v>0</v>
      </c>
      <c r="AH212" s="1734"/>
      <c r="AI212" s="1734"/>
      <c r="AJ212" s="1734"/>
      <c r="AK212" s="1734"/>
      <c r="AL212" s="359"/>
      <c r="AM212" s="82"/>
      <c r="AP212" s="82"/>
      <c r="AQ212" s="82"/>
      <c r="AR212" s="82"/>
      <c r="AS212" s="82"/>
      <c r="AT212" s="1734"/>
      <c r="AU212" s="1734"/>
      <c r="AV212" s="1734"/>
      <c r="AW212" s="1734"/>
      <c r="AX212" s="1734"/>
      <c r="AZ212" s="1734">
        <f t="shared" si="3"/>
        <v>0</v>
      </c>
      <c r="BA212" s="1734"/>
      <c r="BB212" s="1734"/>
      <c r="BC212" s="1734"/>
      <c r="BD212" s="1734">
        <v>0</v>
      </c>
      <c r="BE212" s="82"/>
    </row>
    <row r="213" spans="3:57" ht="17.100000000000001" hidden="1" customHeight="1" outlineLevel="1">
      <c r="C213" s="460" t="s">
        <v>64</v>
      </c>
      <c r="D213" s="82"/>
      <c r="E213" s="82"/>
      <c r="F213" s="82"/>
      <c r="G213" s="82"/>
      <c r="H213" s="82"/>
      <c r="I213" s="82"/>
      <c r="J213" s="82"/>
      <c r="K213" s="82"/>
      <c r="L213" s="82"/>
      <c r="M213" s="82"/>
      <c r="N213" s="82"/>
      <c r="O213" s="82"/>
      <c r="P213" s="82"/>
      <c r="Q213" s="82"/>
      <c r="R213" s="82" t="s">
        <v>33</v>
      </c>
      <c r="S213" s="82"/>
      <c r="T213" s="82"/>
      <c r="U213" s="82"/>
      <c r="V213" s="82"/>
      <c r="W213" s="82"/>
      <c r="X213" s="82"/>
      <c r="Y213" s="82"/>
      <c r="Z213" s="82"/>
      <c r="AA213" s="1734">
        <v>3990</v>
      </c>
      <c r="AB213" s="1734"/>
      <c r="AC213" s="1734"/>
      <c r="AD213" s="1734"/>
      <c r="AE213" s="1734"/>
      <c r="AG213" s="1734">
        <f t="shared" si="2"/>
        <v>0</v>
      </c>
      <c r="AH213" s="1734"/>
      <c r="AI213" s="1734"/>
      <c r="AJ213" s="1734"/>
      <c r="AK213" s="1734"/>
      <c r="AL213" s="359"/>
      <c r="AM213" s="82"/>
      <c r="AP213" s="82"/>
      <c r="AQ213" s="82"/>
      <c r="AR213" s="82"/>
      <c r="AS213" s="82"/>
      <c r="AT213" s="1734"/>
      <c r="AU213" s="1734"/>
      <c r="AV213" s="1734"/>
      <c r="AW213" s="1734"/>
      <c r="AX213" s="1734"/>
      <c r="AZ213" s="1734">
        <f t="shared" si="3"/>
        <v>0</v>
      </c>
      <c r="BA213" s="1734"/>
      <c r="BB213" s="1734"/>
      <c r="BC213" s="1734"/>
      <c r="BD213" s="1734">
        <v>0</v>
      </c>
      <c r="BE213" s="82"/>
    </row>
    <row r="214" spans="3:57" ht="17.100000000000001" hidden="1" customHeight="1" outlineLevel="1">
      <c r="C214" s="460" t="s">
        <v>65</v>
      </c>
      <c r="D214" s="82"/>
      <c r="E214" s="82"/>
      <c r="F214" s="82"/>
      <c r="G214" s="82"/>
      <c r="H214" s="82"/>
      <c r="I214" s="82"/>
      <c r="J214" s="82"/>
      <c r="K214" s="82"/>
      <c r="L214" s="82"/>
      <c r="M214" s="82"/>
      <c r="N214" s="82"/>
      <c r="O214" s="82"/>
      <c r="P214" s="82"/>
      <c r="Q214" s="82"/>
      <c r="R214" s="82" t="s">
        <v>33</v>
      </c>
      <c r="S214" s="82"/>
      <c r="T214" s="82"/>
      <c r="U214" s="82"/>
      <c r="V214" s="82"/>
      <c r="W214" s="82"/>
      <c r="X214" s="82"/>
      <c r="Y214" s="82"/>
      <c r="Z214" s="82"/>
      <c r="AA214" s="1734">
        <v>631</v>
      </c>
      <c r="AB214" s="1734"/>
      <c r="AC214" s="1734"/>
      <c r="AD214" s="1734"/>
      <c r="AE214" s="1734"/>
      <c r="AG214" s="1734">
        <f t="shared" si="2"/>
        <v>0</v>
      </c>
      <c r="AH214" s="1734"/>
      <c r="AI214" s="1734"/>
      <c r="AJ214" s="1734"/>
      <c r="AK214" s="1734"/>
      <c r="AL214" s="359"/>
      <c r="AM214" s="82"/>
      <c r="AP214" s="82"/>
      <c r="AQ214" s="82"/>
      <c r="AR214" s="82"/>
      <c r="AS214" s="82"/>
      <c r="AT214" s="1734"/>
      <c r="AU214" s="1734"/>
      <c r="AV214" s="1734"/>
      <c r="AW214" s="1734"/>
      <c r="AX214" s="1734"/>
      <c r="AZ214" s="1734">
        <f t="shared" si="3"/>
        <v>0</v>
      </c>
      <c r="BA214" s="1734"/>
      <c r="BB214" s="1734"/>
      <c r="BC214" s="1734"/>
      <c r="BD214" s="1734">
        <v>0</v>
      </c>
      <c r="BE214" s="82"/>
    </row>
    <row r="215" spans="3:57" ht="17.100000000000001" hidden="1" customHeight="1" outlineLevel="1">
      <c r="C215" s="577" t="s">
        <v>359</v>
      </c>
      <c r="D215" s="82"/>
      <c r="E215" s="82"/>
      <c r="F215" s="82"/>
      <c r="G215" s="82"/>
      <c r="H215" s="82"/>
      <c r="I215" s="82"/>
      <c r="J215" s="82"/>
      <c r="K215" s="82"/>
      <c r="L215" s="82"/>
      <c r="M215" s="82"/>
      <c r="N215" s="82"/>
      <c r="O215" s="82"/>
      <c r="P215" s="82"/>
      <c r="Q215" s="82"/>
      <c r="R215" s="82" t="s">
        <v>33</v>
      </c>
      <c r="S215" s="82"/>
      <c r="T215" s="82"/>
      <c r="U215" s="82"/>
      <c r="V215" s="82"/>
      <c r="W215" s="82"/>
      <c r="X215" s="82"/>
      <c r="Y215" s="82"/>
      <c r="Z215" s="82"/>
      <c r="AA215" s="1734">
        <v>1</v>
      </c>
      <c r="AB215" s="1734"/>
      <c r="AC215" s="1734"/>
      <c r="AD215" s="1734"/>
      <c r="AE215" s="1734"/>
      <c r="AG215" s="1734">
        <f t="shared" si="2"/>
        <v>0</v>
      </c>
      <c r="AH215" s="1734"/>
      <c r="AI215" s="1734"/>
      <c r="AJ215" s="1734"/>
      <c r="AK215" s="1734"/>
      <c r="AL215" s="359"/>
      <c r="AM215" s="82"/>
      <c r="AP215" s="82"/>
      <c r="AQ215" s="82"/>
      <c r="AR215" s="82"/>
      <c r="AS215" s="82"/>
      <c r="AT215" s="1734"/>
      <c r="AU215" s="1734"/>
      <c r="AV215" s="1734"/>
      <c r="AW215" s="1734"/>
      <c r="AX215" s="1734"/>
      <c r="AZ215" s="1734">
        <f t="shared" si="3"/>
        <v>0</v>
      </c>
      <c r="BA215" s="1734"/>
      <c r="BB215" s="1734"/>
      <c r="BC215" s="1734"/>
      <c r="BD215" s="1734">
        <v>0</v>
      </c>
      <c r="BE215" s="82"/>
    </row>
    <row r="216" spans="3:57" ht="17.100000000000001" hidden="1" customHeight="1" outlineLevel="1">
      <c r="C216" s="460" t="s">
        <v>66</v>
      </c>
      <c r="D216" s="82"/>
      <c r="E216" s="82"/>
      <c r="F216" s="82"/>
      <c r="G216" s="82"/>
      <c r="H216" s="82"/>
      <c r="I216" s="82"/>
      <c r="J216" s="82"/>
      <c r="K216" s="82"/>
      <c r="L216" s="82"/>
      <c r="M216" s="82"/>
      <c r="N216" s="82"/>
      <c r="O216" s="82"/>
      <c r="P216" s="82"/>
      <c r="Q216" s="82"/>
      <c r="R216" s="82" t="s">
        <v>33</v>
      </c>
      <c r="S216" s="82"/>
      <c r="T216" s="82"/>
      <c r="U216" s="82"/>
      <c r="V216" s="82"/>
      <c r="W216" s="82"/>
      <c r="X216" s="82"/>
      <c r="Y216" s="82"/>
      <c r="Z216" s="82"/>
      <c r="AA216" s="1734">
        <v>3</v>
      </c>
      <c r="AB216" s="1734"/>
      <c r="AC216" s="1734"/>
      <c r="AD216" s="1734"/>
      <c r="AE216" s="1734"/>
      <c r="AG216" s="1734">
        <f t="shared" si="2"/>
        <v>0</v>
      </c>
      <c r="AH216" s="1734"/>
      <c r="AI216" s="1734"/>
      <c r="AJ216" s="1734"/>
      <c r="AK216" s="1734"/>
      <c r="AL216" s="359"/>
      <c r="AM216" s="82"/>
      <c r="AP216" s="82"/>
      <c r="AQ216" s="82"/>
      <c r="AR216" s="82"/>
      <c r="AS216" s="82"/>
      <c r="AT216" s="1734"/>
      <c r="AU216" s="1734"/>
      <c r="AV216" s="1734"/>
      <c r="AW216" s="1734"/>
      <c r="AX216" s="1734"/>
      <c r="AZ216" s="1734">
        <f t="shared" si="3"/>
        <v>0</v>
      </c>
      <c r="BA216" s="1734"/>
      <c r="BB216" s="1734"/>
      <c r="BC216" s="1734"/>
      <c r="BD216" s="1734">
        <v>0</v>
      </c>
      <c r="BE216" s="82"/>
    </row>
    <row r="217" spans="3:57" ht="17.100000000000001" hidden="1" customHeight="1" outlineLevel="1">
      <c r="C217" s="577" t="s">
        <v>67</v>
      </c>
      <c r="D217" s="82"/>
      <c r="E217" s="82"/>
      <c r="F217" s="82"/>
      <c r="G217" s="82"/>
      <c r="H217" s="82"/>
      <c r="I217" s="82"/>
      <c r="J217" s="82"/>
      <c r="K217" s="82"/>
      <c r="L217" s="82"/>
      <c r="M217" s="82"/>
      <c r="N217" s="82"/>
      <c r="O217" s="82"/>
      <c r="P217" s="82"/>
      <c r="Q217" s="82"/>
      <c r="R217" s="82" t="s">
        <v>33</v>
      </c>
      <c r="S217" s="82"/>
      <c r="T217" s="82"/>
      <c r="U217" s="82"/>
      <c r="V217" s="82"/>
      <c r="W217" s="82"/>
      <c r="X217" s="82"/>
      <c r="Y217" s="82"/>
      <c r="Z217" s="82"/>
      <c r="AA217" s="1734">
        <v>1</v>
      </c>
      <c r="AB217" s="1734"/>
      <c r="AC217" s="1734"/>
      <c r="AD217" s="1734"/>
      <c r="AE217" s="1734"/>
      <c r="AG217" s="1734">
        <f t="shared" si="2"/>
        <v>0</v>
      </c>
      <c r="AH217" s="1734"/>
      <c r="AI217" s="1734"/>
      <c r="AJ217" s="1734"/>
      <c r="AK217" s="1734"/>
      <c r="AL217" s="359"/>
      <c r="AM217" s="82"/>
      <c r="AP217" s="82"/>
      <c r="AQ217" s="82"/>
      <c r="AR217" s="82"/>
      <c r="AS217" s="82"/>
      <c r="AT217" s="1734"/>
      <c r="AU217" s="1734"/>
      <c r="AV217" s="1734"/>
      <c r="AW217" s="1734"/>
      <c r="AX217" s="1734"/>
      <c r="AZ217" s="1734">
        <f t="shared" si="3"/>
        <v>0</v>
      </c>
      <c r="BA217" s="1734"/>
      <c r="BB217" s="1734"/>
      <c r="BC217" s="1734"/>
      <c r="BD217" s="1734">
        <v>0</v>
      </c>
      <c r="BE217" s="82"/>
    </row>
    <row r="218" spans="3:57" ht="17.100000000000001" hidden="1" customHeight="1" outlineLevel="1">
      <c r="C218" s="577" t="s">
        <v>308</v>
      </c>
      <c r="D218" s="82"/>
      <c r="E218" s="82"/>
      <c r="F218" s="82"/>
      <c r="G218" s="82"/>
      <c r="H218" s="82"/>
      <c r="I218" s="82"/>
      <c r="J218" s="82"/>
      <c r="K218" s="82"/>
      <c r="L218" s="82"/>
      <c r="M218" s="82"/>
      <c r="N218" s="82"/>
      <c r="O218" s="82"/>
      <c r="P218" s="82"/>
      <c r="Q218" s="82"/>
      <c r="R218" s="82" t="s">
        <v>33</v>
      </c>
      <c r="S218" s="82"/>
      <c r="T218" s="82"/>
      <c r="U218" s="82"/>
      <c r="V218" s="82"/>
      <c r="W218" s="82"/>
      <c r="X218" s="82"/>
      <c r="Y218" s="82"/>
      <c r="Z218" s="82"/>
      <c r="AA218" s="1734">
        <v>8</v>
      </c>
      <c r="AB218" s="1734"/>
      <c r="AC218" s="1734"/>
      <c r="AD218" s="1734"/>
      <c r="AE218" s="1734"/>
      <c r="AG218" s="1734">
        <f t="shared" si="2"/>
        <v>0</v>
      </c>
      <c r="AH218" s="1734"/>
      <c r="AI218" s="1734"/>
      <c r="AJ218" s="1734"/>
      <c r="AK218" s="1734"/>
      <c r="AL218" s="359"/>
      <c r="AM218" s="82"/>
      <c r="AP218" s="82"/>
      <c r="AQ218" s="82"/>
      <c r="AR218" s="82"/>
      <c r="AS218" s="82"/>
      <c r="AT218" s="1734"/>
      <c r="AU218" s="1734"/>
      <c r="AV218" s="1734"/>
      <c r="AW218" s="1734"/>
      <c r="AX218" s="1734"/>
      <c r="AZ218" s="1734">
        <f t="shared" si="3"/>
        <v>0</v>
      </c>
      <c r="BA218" s="1734"/>
      <c r="BB218" s="1734"/>
      <c r="BC218" s="1734"/>
      <c r="BD218" s="1734">
        <v>0</v>
      </c>
      <c r="BE218" s="82"/>
    </row>
    <row r="219" spans="3:57" ht="17.100000000000001" hidden="1" customHeight="1" outlineLevel="1">
      <c r="C219" s="460" t="s">
        <v>91</v>
      </c>
      <c r="D219" s="82"/>
      <c r="E219" s="82"/>
      <c r="F219" s="82"/>
      <c r="G219" s="82"/>
      <c r="H219" s="82"/>
      <c r="I219" s="82" t="s">
        <v>93</v>
      </c>
      <c r="J219" s="82"/>
      <c r="K219" s="82"/>
      <c r="L219" s="82"/>
      <c r="M219" s="82"/>
      <c r="N219" s="82"/>
      <c r="O219" s="82"/>
      <c r="P219" s="82"/>
      <c r="Q219" s="82"/>
      <c r="R219" s="82" t="s">
        <v>33</v>
      </c>
      <c r="S219" s="82"/>
      <c r="T219" s="82"/>
      <c r="U219" s="82"/>
      <c r="V219" s="82"/>
      <c r="W219" s="82"/>
      <c r="X219" s="82"/>
      <c r="Y219" s="82"/>
      <c r="Z219" s="82"/>
      <c r="AA219" s="1734">
        <v>1</v>
      </c>
      <c r="AB219" s="1734"/>
      <c r="AC219" s="1734"/>
      <c r="AD219" s="1734"/>
      <c r="AE219" s="1734"/>
      <c r="AG219" s="1734">
        <f t="shared" si="2"/>
        <v>0</v>
      </c>
      <c r="AH219" s="1734"/>
      <c r="AI219" s="1734"/>
      <c r="AJ219" s="1734"/>
      <c r="AK219" s="1734"/>
      <c r="AL219" s="359"/>
      <c r="AM219" s="82"/>
      <c r="AP219" s="82"/>
      <c r="AQ219" s="82"/>
      <c r="AR219" s="82"/>
      <c r="AS219" s="82"/>
      <c r="AT219" s="1734"/>
      <c r="AU219" s="1734"/>
      <c r="AV219" s="1734"/>
      <c r="AW219" s="1734"/>
      <c r="AX219" s="1734"/>
      <c r="AZ219" s="1734">
        <f t="shared" si="3"/>
        <v>0</v>
      </c>
      <c r="BA219" s="1734"/>
      <c r="BB219" s="1734"/>
      <c r="BC219" s="1734"/>
      <c r="BD219" s="1734">
        <v>0</v>
      </c>
      <c r="BE219" s="82"/>
    </row>
    <row r="220" spans="3:57" ht="17.100000000000001" hidden="1" customHeight="1" outlineLevel="1">
      <c r="C220" s="460" t="s">
        <v>90</v>
      </c>
      <c r="D220" s="82"/>
      <c r="E220" s="82"/>
      <c r="F220" s="82"/>
      <c r="G220" s="82"/>
      <c r="H220" s="82"/>
      <c r="I220" s="82"/>
      <c r="J220" s="82"/>
      <c r="K220" s="82"/>
      <c r="L220" s="82"/>
      <c r="M220" s="82"/>
      <c r="N220" s="82"/>
      <c r="O220" s="82"/>
      <c r="P220" s="82"/>
      <c r="Q220" s="82"/>
      <c r="R220" s="82" t="s">
        <v>33</v>
      </c>
      <c r="S220" s="82"/>
      <c r="T220" s="82"/>
      <c r="U220" s="82"/>
      <c r="V220" s="82"/>
      <c r="W220" s="82"/>
      <c r="X220" s="82"/>
      <c r="Y220" s="82"/>
      <c r="Z220" s="82"/>
      <c r="AA220" s="1734">
        <v>6</v>
      </c>
      <c r="AB220" s="1734"/>
      <c r="AC220" s="1734"/>
      <c r="AD220" s="1734"/>
      <c r="AE220" s="1734"/>
      <c r="AG220" s="1734">
        <f t="shared" si="2"/>
        <v>0</v>
      </c>
      <c r="AH220" s="1734"/>
      <c r="AI220" s="1734"/>
      <c r="AJ220" s="1734"/>
      <c r="AK220" s="1734"/>
      <c r="AL220" s="359"/>
      <c r="AM220" s="82"/>
      <c r="AP220" s="82"/>
      <c r="AQ220" s="82"/>
      <c r="AR220" s="82"/>
      <c r="AS220" s="82"/>
      <c r="AT220" s="1734"/>
      <c r="AU220" s="1734"/>
      <c r="AV220" s="1734"/>
      <c r="AW220" s="1734"/>
      <c r="AX220" s="1734"/>
      <c r="AZ220" s="1734">
        <f t="shared" si="3"/>
        <v>0</v>
      </c>
      <c r="BA220" s="1734"/>
      <c r="BB220" s="1734"/>
      <c r="BC220" s="1734"/>
      <c r="BD220" s="1734">
        <v>0</v>
      </c>
      <c r="BE220" s="82"/>
    </row>
    <row r="221" spans="3:57" ht="17.100000000000001" hidden="1" customHeight="1" outlineLevel="1">
      <c r="C221" s="460" t="s">
        <v>92</v>
      </c>
      <c r="D221" s="82"/>
      <c r="E221" s="82"/>
      <c r="F221" s="82"/>
      <c r="G221" s="82"/>
      <c r="H221" s="82"/>
      <c r="I221" s="82" t="s">
        <v>94</v>
      </c>
      <c r="J221" s="82"/>
      <c r="K221" s="82"/>
      <c r="L221" s="82"/>
      <c r="M221" s="82"/>
      <c r="N221" s="82"/>
      <c r="O221" s="82"/>
      <c r="P221" s="82"/>
      <c r="Q221" s="82"/>
      <c r="R221" s="82" t="s">
        <v>33</v>
      </c>
      <c r="S221" s="82"/>
      <c r="T221" s="82"/>
      <c r="U221" s="82"/>
      <c r="V221" s="82"/>
      <c r="W221" s="82"/>
      <c r="X221" s="82"/>
      <c r="Y221" s="82"/>
      <c r="Z221" s="82"/>
      <c r="AA221" s="1734">
        <v>4</v>
      </c>
      <c r="AB221" s="1734"/>
      <c r="AC221" s="1734"/>
      <c r="AD221" s="1734"/>
      <c r="AE221" s="1734"/>
      <c r="AG221" s="1734">
        <f t="shared" si="2"/>
        <v>0</v>
      </c>
      <c r="AH221" s="1734"/>
      <c r="AI221" s="1734"/>
      <c r="AJ221" s="1734"/>
      <c r="AK221" s="1734"/>
      <c r="AL221" s="359"/>
      <c r="AM221" s="82"/>
      <c r="AP221" s="82"/>
      <c r="AQ221" s="82"/>
      <c r="AR221" s="82"/>
      <c r="AS221" s="82"/>
      <c r="AT221" s="1734"/>
      <c r="AU221" s="1734"/>
      <c r="AV221" s="1734"/>
      <c r="AW221" s="1734"/>
      <c r="AX221" s="1734"/>
      <c r="AZ221" s="1734">
        <f t="shared" si="3"/>
        <v>0</v>
      </c>
      <c r="BA221" s="1734"/>
      <c r="BB221" s="1734"/>
      <c r="BC221" s="1734"/>
      <c r="BD221" s="1734">
        <v>0</v>
      </c>
      <c r="BE221" s="82"/>
    </row>
    <row r="222" spans="3:57" s="360" customFormat="1" ht="17.100000000000001" hidden="1" customHeight="1" outlineLevel="1">
      <c r="C222" s="500" t="s">
        <v>89</v>
      </c>
      <c r="D222" s="256"/>
      <c r="E222" s="256"/>
      <c r="F222" s="256"/>
      <c r="G222" s="256"/>
      <c r="H222" s="256"/>
      <c r="I222" s="256"/>
      <c r="J222" s="256"/>
      <c r="K222" s="256"/>
      <c r="L222" s="256"/>
      <c r="M222" s="256"/>
      <c r="N222" s="256"/>
      <c r="O222" s="256"/>
      <c r="P222" s="256"/>
      <c r="Q222" s="256"/>
      <c r="R222" s="256" t="s">
        <v>33</v>
      </c>
      <c r="S222" s="256"/>
      <c r="T222" s="256"/>
      <c r="U222" s="256"/>
      <c r="V222" s="256"/>
      <c r="W222" s="256"/>
      <c r="X222" s="256"/>
      <c r="Y222" s="256"/>
      <c r="Z222" s="256"/>
      <c r="AA222" s="1733"/>
      <c r="AB222" s="1733"/>
      <c r="AC222" s="1733"/>
      <c r="AD222" s="1733"/>
      <c r="AE222" s="1733"/>
      <c r="AG222" s="1733">
        <f>SUM(AG199:AK220)</f>
        <v>0</v>
      </c>
      <c r="AH222" s="1733"/>
      <c r="AI222" s="1733"/>
      <c r="AJ222" s="1733"/>
      <c r="AK222" s="1733"/>
      <c r="AL222" s="361"/>
      <c r="AM222" s="256"/>
      <c r="AP222" s="256"/>
      <c r="AQ222" s="256"/>
      <c r="AR222" s="256"/>
      <c r="AS222" s="256"/>
      <c r="AT222" s="1733"/>
      <c r="AU222" s="1733"/>
      <c r="AV222" s="1733"/>
      <c r="AW222" s="1733"/>
      <c r="AX222" s="1733"/>
      <c r="AZ222" s="1733">
        <f>SUM(AZ199:BD220)</f>
        <v>0</v>
      </c>
      <c r="BA222" s="1733"/>
      <c r="BB222" s="1733"/>
      <c r="BC222" s="1733"/>
      <c r="BD222" s="1733"/>
      <c r="BE222" s="256"/>
    </row>
    <row r="223" spans="3:57" ht="17.100000000000001" hidden="1" customHeight="1" outlineLevel="1"/>
    <row r="224" spans="3:57" ht="17.100000000000001" hidden="1" customHeight="1" outlineLevel="1"/>
    <row r="225" spans="3:59" ht="17.100000000000001" hidden="1" customHeight="1" outlineLevel="1">
      <c r="C225" s="499" t="s">
        <v>23</v>
      </c>
      <c r="D225" s="74"/>
      <c r="E225" s="74"/>
      <c r="F225" s="74"/>
      <c r="G225" s="74"/>
      <c r="H225" s="74"/>
      <c r="I225" s="74"/>
      <c r="J225" s="74"/>
      <c r="K225" s="74"/>
      <c r="L225" s="74"/>
      <c r="M225" s="74"/>
      <c r="N225" s="74"/>
      <c r="O225" s="74"/>
      <c r="P225" s="74"/>
      <c r="Q225" s="74"/>
      <c r="R225" s="74"/>
      <c r="S225" s="74"/>
      <c r="T225" s="74"/>
      <c r="U225" s="74"/>
      <c r="V225" s="74"/>
      <c r="W225" s="74"/>
      <c r="X225" s="74"/>
      <c r="Y225" s="74"/>
      <c r="Z225" s="74"/>
      <c r="AA225" s="74"/>
      <c r="AB225" s="74"/>
      <c r="AC225" s="74"/>
      <c r="AD225" s="74"/>
      <c r="AE225" s="357"/>
      <c r="AG225" s="1739">
        <f>Y38</f>
        <v>0</v>
      </c>
      <c r="AH225" s="1739"/>
      <c r="AI225" s="1739"/>
      <c r="AJ225" s="1739"/>
      <c r="AK225" s="1739" t="s">
        <v>24</v>
      </c>
      <c r="AL225" s="358"/>
      <c r="AM225" s="74"/>
      <c r="AP225" s="74"/>
      <c r="AQ225" s="74"/>
      <c r="AR225" s="74"/>
      <c r="AS225" s="74"/>
      <c r="AT225" s="74"/>
      <c r="AU225" s="74"/>
      <c r="AV225" s="74"/>
      <c r="AW225" s="74"/>
      <c r="AX225" s="357"/>
      <c r="AZ225" s="1739">
        <f>AR38</f>
        <v>0</v>
      </c>
      <c r="BA225" s="1739"/>
      <c r="BB225" s="1739"/>
      <c r="BC225" s="1739"/>
      <c r="BD225" s="1739" t="s">
        <v>24</v>
      </c>
      <c r="BE225" s="74"/>
    </row>
    <row r="226" spans="3:59" ht="17.100000000000001" hidden="1" customHeight="1" outlineLevel="1">
      <c r="C226" s="577" t="str">
        <f>X!$C$208</f>
        <v>Schweizer Verbrauchsmix</v>
      </c>
      <c r="D226" s="82"/>
      <c r="E226" s="82"/>
      <c r="F226" s="82"/>
      <c r="G226" s="82"/>
      <c r="H226" s="82"/>
      <c r="I226" s="82"/>
      <c r="J226" s="82"/>
      <c r="K226" s="82"/>
      <c r="L226" s="82"/>
      <c r="M226" s="82"/>
      <c r="N226" s="82"/>
      <c r="O226" s="82"/>
      <c r="P226" s="82"/>
      <c r="Q226" s="82"/>
      <c r="R226" s="82" t="s">
        <v>37</v>
      </c>
      <c r="S226" s="82"/>
      <c r="T226" s="82"/>
      <c r="U226" s="82"/>
      <c r="V226" s="82"/>
      <c r="W226" s="82"/>
      <c r="X226" s="82"/>
      <c r="Y226" s="82"/>
      <c r="Z226" s="82"/>
      <c r="AA226" s="1734">
        <v>0.18149999999999999</v>
      </c>
      <c r="AB226" s="1734"/>
      <c r="AC226" s="1734"/>
      <c r="AD226" s="1734"/>
      <c r="AE226" s="1734"/>
      <c r="AG226" s="1734">
        <f t="shared" ref="AG226:AG231" si="4">IF(C226=AG$225,AA226,0)</f>
        <v>0</v>
      </c>
      <c r="AH226" s="1734"/>
      <c r="AI226" s="1734"/>
      <c r="AJ226" s="1734"/>
      <c r="AK226" s="1734">
        <v>0</v>
      </c>
      <c r="AL226" s="359"/>
      <c r="AM226" s="82"/>
      <c r="AP226" s="82"/>
      <c r="AQ226" s="82"/>
      <c r="AR226" s="82"/>
      <c r="AS226" s="82"/>
      <c r="AT226" s="1734"/>
      <c r="AU226" s="1734"/>
      <c r="AV226" s="1734"/>
      <c r="AW226" s="1734"/>
      <c r="AX226" s="1734"/>
      <c r="AZ226" s="1734">
        <f t="shared" ref="AZ226:AZ231" si="5">IF(C226=AZ$225,AA226,0)</f>
        <v>0</v>
      </c>
      <c r="BA226" s="1734"/>
      <c r="BB226" s="1734"/>
      <c r="BC226" s="1734"/>
      <c r="BD226" s="1734">
        <v>0</v>
      </c>
      <c r="BE226" s="82"/>
    </row>
    <row r="227" spans="3:59" ht="17.100000000000001" hidden="1" customHeight="1" outlineLevel="1">
      <c r="C227" s="577" t="str">
        <f>X!C300</f>
        <v>Schweizer Produktionsmix</v>
      </c>
      <c r="D227" s="82"/>
      <c r="E227" s="82"/>
      <c r="F227" s="82"/>
      <c r="G227" s="82"/>
      <c r="H227" s="82"/>
      <c r="I227" s="82"/>
      <c r="J227" s="82"/>
      <c r="K227" s="82"/>
      <c r="L227" s="82"/>
      <c r="M227" s="82"/>
      <c r="N227" s="82"/>
      <c r="O227" s="82"/>
      <c r="P227" s="82"/>
      <c r="Q227" s="82"/>
      <c r="R227" s="82" t="s">
        <v>37</v>
      </c>
      <c r="S227" s="82"/>
      <c r="T227" s="82"/>
      <c r="U227" s="82"/>
      <c r="V227" s="82"/>
      <c r="W227" s="82"/>
      <c r="X227" s="82"/>
      <c r="Y227" s="82"/>
      <c r="Z227" s="82"/>
      <c r="AA227" s="1734">
        <v>2.98E-2</v>
      </c>
      <c r="AB227" s="1734"/>
      <c r="AC227" s="1734"/>
      <c r="AD227" s="1734"/>
      <c r="AE227" s="1734"/>
      <c r="AG227" s="1734">
        <f t="shared" si="4"/>
        <v>0</v>
      </c>
      <c r="AH227" s="1734"/>
      <c r="AI227" s="1734"/>
      <c r="AJ227" s="1734"/>
      <c r="AK227" s="1734">
        <v>0</v>
      </c>
      <c r="AL227" s="675"/>
      <c r="AM227" s="82"/>
      <c r="AP227" s="82"/>
      <c r="AQ227" s="82"/>
      <c r="AR227" s="82"/>
      <c r="AS227" s="82"/>
      <c r="AT227" s="1734"/>
      <c r="AU227" s="1734"/>
      <c r="AV227" s="1734"/>
      <c r="AW227" s="1734"/>
      <c r="AX227" s="1734"/>
      <c r="AZ227" s="1734">
        <f t="shared" si="5"/>
        <v>0</v>
      </c>
      <c r="BA227" s="1734"/>
      <c r="BB227" s="1734"/>
      <c r="BC227" s="1734"/>
      <c r="BD227" s="1734">
        <v>0</v>
      </c>
      <c r="BE227" s="82"/>
    </row>
    <row r="228" spans="3:59" ht="17.100000000000001" hidden="1" customHeight="1" outlineLevel="1">
      <c r="C228" s="577" t="str">
        <f>X!$C$108</f>
        <v>EU-Strommix</v>
      </c>
      <c r="D228" s="82"/>
      <c r="E228" s="82"/>
      <c r="F228" s="82"/>
      <c r="G228" s="82"/>
      <c r="H228" s="82"/>
      <c r="I228" s="82"/>
      <c r="J228" s="82"/>
      <c r="K228" s="82"/>
      <c r="L228" s="82"/>
      <c r="M228" s="82"/>
      <c r="N228" s="82"/>
      <c r="O228" s="82"/>
      <c r="P228" s="82"/>
      <c r="Q228" s="82"/>
      <c r="R228" s="82" t="s">
        <v>37</v>
      </c>
      <c r="S228" s="82"/>
      <c r="T228" s="82"/>
      <c r="U228" s="82"/>
      <c r="V228" s="82"/>
      <c r="W228" s="82"/>
      <c r="X228" s="82"/>
      <c r="Y228" s="82"/>
      <c r="Z228" s="82"/>
      <c r="AA228" s="1734">
        <v>0.59399999999999997</v>
      </c>
      <c r="AB228" s="1734"/>
      <c r="AC228" s="1734"/>
      <c r="AD228" s="1734"/>
      <c r="AE228" s="1734"/>
      <c r="AG228" s="1734">
        <f t="shared" si="4"/>
        <v>0</v>
      </c>
      <c r="AH228" s="1734"/>
      <c r="AI228" s="1734"/>
      <c r="AJ228" s="1734"/>
      <c r="AK228" s="1734">
        <v>0</v>
      </c>
      <c r="AL228" s="359"/>
      <c r="AM228" s="82"/>
      <c r="AP228" s="82"/>
      <c r="AQ228" s="82"/>
      <c r="AR228" s="82"/>
      <c r="AS228" s="82"/>
      <c r="AT228" s="1734"/>
      <c r="AU228" s="1734"/>
      <c r="AV228" s="1734"/>
      <c r="AW228" s="1734"/>
      <c r="AX228" s="1734"/>
      <c r="AZ228" s="1734">
        <f t="shared" si="5"/>
        <v>0</v>
      </c>
      <c r="BA228" s="1734"/>
      <c r="BB228" s="1734"/>
      <c r="BC228" s="1734"/>
      <c r="BD228" s="1734">
        <v>0</v>
      </c>
      <c r="BE228" s="82"/>
    </row>
    <row r="229" spans="3:59" ht="17.100000000000001" hidden="1" customHeight="1" outlineLevel="1">
      <c r="C229" s="577" t="str">
        <f>X!$C$186</f>
        <v>Naturmade Star Wasserkraft</v>
      </c>
      <c r="D229" s="82"/>
      <c r="E229" s="82"/>
      <c r="F229" s="82"/>
      <c r="G229" s="82"/>
      <c r="H229" s="82"/>
      <c r="I229" s="82"/>
      <c r="J229" s="82"/>
      <c r="K229" s="82"/>
      <c r="L229" s="82"/>
      <c r="M229" s="82"/>
      <c r="N229" s="82"/>
      <c r="O229" s="82"/>
      <c r="P229" s="82"/>
      <c r="Q229" s="82"/>
      <c r="R229" s="82" t="s">
        <v>37</v>
      </c>
      <c r="S229" s="82"/>
      <c r="T229" s="82"/>
      <c r="U229" s="82"/>
      <c r="V229" s="82"/>
      <c r="W229" s="82"/>
      <c r="X229" s="82"/>
      <c r="Y229" s="82"/>
      <c r="Z229" s="82"/>
      <c r="AA229" s="1734">
        <v>1.0999999999999999E-2</v>
      </c>
      <c r="AB229" s="1734"/>
      <c r="AC229" s="1734"/>
      <c r="AD229" s="1734"/>
      <c r="AE229" s="1734"/>
      <c r="AG229" s="1734">
        <f t="shared" si="4"/>
        <v>0</v>
      </c>
      <c r="AH229" s="1734"/>
      <c r="AI229" s="1734"/>
      <c r="AJ229" s="1734"/>
      <c r="AK229" s="1734">
        <v>0</v>
      </c>
      <c r="AL229" s="359"/>
      <c r="AM229" s="82"/>
      <c r="AP229" s="82"/>
      <c r="AQ229" s="82"/>
      <c r="AR229" s="82"/>
      <c r="AS229" s="82"/>
      <c r="AT229" s="1734"/>
      <c r="AU229" s="1734"/>
      <c r="AV229" s="1734"/>
      <c r="AW229" s="1734"/>
      <c r="AX229" s="1734"/>
      <c r="AZ229" s="1734">
        <f t="shared" si="5"/>
        <v>0</v>
      </c>
      <c r="BA229" s="1734"/>
      <c r="BB229" s="1734"/>
      <c r="BC229" s="1734"/>
      <c r="BD229" s="1734">
        <v>0</v>
      </c>
      <c r="BE229" s="82"/>
    </row>
    <row r="230" spans="3:59" ht="17.100000000000001" hidden="1" customHeight="1" outlineLevel="1">
      <c r="C230" s="577" t="str">
        <f>X!$C$187</f>
        <v>Naturmade Star Windkraft</v>
      </c>
      <c r="D230" s="82"/>
      <c r="E230" s="82"/>
      <c r="F230" s="82"/>
      <c r="G230" s="82"/>
      <c r="H230" s="82"/>
      <c r="I230" s="82"/>
      <c r="J230" s="82"/>
      <c r="K230" s="82"/>
      <c r="L230" s="82"/>
      <c r="M230" s="82"/>
      <c r="N230" s="82"/>
      <c r="O230" s="82"/>
      <c r="P230" s="82"/>
      <c r="Q230" s="82"/>
      <c r="R230" s="82" t="s">
        <v>37</v>
      </c>
      <c r="S230" s="82"/>
      <c r="T230" s="82"/>
      <c r="U230" s="82"/>
      <c r="V230" s="82"/>
      <c r="W230" s="82"/>
      <c r="X230" s="82"/>
      <c r="Y230" s="82"/>
      <c r="Z230" s="82"/>
      <c r="AA230" s="1734">
        <v>2.8800000000000003E-2</v>
      </c>
      <c r="AB230" s="1734"/>
      <c r="AC230" s="1734"/>
      <c r="AD230" s="1734"/>
      <c r="AE230" s="1734"/>
      <c r="AG230" s="1734">
        <f t="shared" si="4"/>
        <v>0</v>
      </c>
      <c r="AH230" s="1734"/>
      <c r="AI230" s="1734"/>
      <c r="AJ230" s="1734"/>
      <c r="AK230" s="1734">
        <v>0</v>
      </c>
      <c r="AL230" s="359"/>
      <c r="AM230" s="82"/>
      <c r="AP230" s="82"/>
      <c r="AQ230" s="82"/>
      <c r="AR230" s="82"/>
      <c r="AS230" s="82"/>
      <c r="AT230" s="1734"/>
      <c r="AU230" s="1734"/>
      <c r="AV230" s="1734"/>
      <c r="AW230" s="1734"/>
      <c r="AX230" s="1734"/>
      <c r="AZ230" s="1734">
        <f t="shared" si="5"/>
        <v>0</v>
      </c>
      <c r="BA230" s="1734"/>
      <c r="BB230" s="1734"/>
      <c r="BC230" s="1734"/>
      <c r="BD230" s="1734">
        <v>0</v>
      </c>
      <c r="BE230" s="82"/>
    </row>
    <row r="231" spans="3:59" ht="17.100000000000001" hidden="1" customHeight="1" outlineLevel="1">
      <c r="C231" s="577" t="str">
        <f>X!$C$185</f>
        <v>Naturmade Star Photovoltaik</v>
      </c>
      <c r="D231" s="82"/>
      <c r="E231" s="82"/>
      <c r="F231" s="82"/>
      <c r="G231" s="82"/>
      <c r="H231" s="82"/>
      <c r="I231" s="82"/>
      <c r="J231" s="82"/>
      <c r="K231" s="82"/>
      <c r="L231" s="82"/>
      <c r="M231" s="82"/>
      <c r="N231" s="82"/>
      <c r="O231" s="82"/>
      <c r="P231" s="82"/>
      <c r="Q231" s="82"/>
      <c r="R231" s="82" t="s">
        <v>37</v>
      </c>
      <c r="S231" s="82"/>
      <c r="T231" s="82"/>
      <c r="U231" s="82"/>
      <c r="V231" s="82"/>
      <c r="W231" s="82"/>
      <c r="X231" s="82"/>
      <c r="Y231" s="82"/>
      <c r="Z231" s="82"/>
      <c r="AA231" s="1734">
        <v>0.09</v>
      </c>
      <c r="AB231" s="1734"/>
      <c r="AC231" s="1734"/>
      <c r="AD231" s="1734"/>
      <c r="AE231" s="1734"/>
      <c r="AG231" s="1734">
        <f t="shared" si="4"/>
        <v>0</v>
      </c>
      <c r="AH231" s="1734"/>
      <c r="AI231" s="1734"/>
      <c r="AJ231" s="1734"/>
      <c r="AK231" s="1734">
        <v>0</v>
      </c>
      <c r="AL231" s="359"/>
      <c r="AM231" s="82"/>
      <c r="AP231" s="82"/>
      <c r="AQ231" s="82"/>
      <c r="AR231" s="82"/>
      <c r="AS231" s="82"/>
      <c r="AT231" s="1734"/>
      <c r="AU231" s="1734"/>
      <c r="AV231" s="1734"/>
      <c r="AW231" s="1734"/>
      <c r="AX231" s="1734"/>
      <c r="AZ231" s="1734">
        <f t="shared" si="5"/>
        <v>0</v>
      </c>
      <c r="BA231" s="1734"/>
      <c r="BB231" s="1734"/>
      <c r="BC231" s="1734"/>
      <c r="BD231" s="1734">
        <v>0</v>
      </c>
      <c r="BE231" s="82"/>
    </row>
    <row r="232" spans="3:59" s="360" customFormat="1" ht="17.100000000000001" hidden="1" customHeight="1" outlineLevel="1">
      <c r="C232" s="500" t="s">
        <v>89</v>
      </c>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c r="AA232" s="1733"/>
      <c r="AB232" s="1733"/>
      <c r="AC232" s="1733"/>
      <c r="AD232" s="1733"/>
      <c r="AE232" s="1733"/>
      <c r="AG232" s="1733">
        <f>SUM(AG226:AK231)</f>
        <v>0</v>
      </c>
      <c r="AH232" s="1733"/>
      <c r="AI232" s="1733"/>
      <c r="AJ232" s="1733"/>
      <c r="AK232" s="1733"/>
      <c r="AL232" s="361"/>
      <c r="AM232" s="256"/>
      <c r="AP232" s="256"/>
      <c r="AQ232" s="256"/>
      <c r="AR232" s="256"/>
      <c r="AS232" s="256"/>
      <c r="AT232" s="1733"/>
      <c r="AU232" s="1733"/>
      <c r="AV232" s="1733"/>
      <c r="AW232" s="1733"/>
      <c r="AX232" s="1733"/>
      <c r="AZ232" s="1733">
        <f>SUM(AZ226:BD231)</f>
        <v>0</v>
      </c>
      <c r="BA232" s="1733"/>
      <c r="BB232" s="1733"/>
      <c r="BC232" s="1733"/>
      <c r="BD232" s="1733"/>
      <c r="BE232" s="256"/>
    </row>
    <row r="233" spans="3:59" ht="17.100000000000001" hidden="1" customHeight="1" outlineLevel="1"/>
    <row r="234" spans="3:59" ht="17.100000000000001" hidden="1" customHeight="1" outlineLevel="1"/>
    <row r="235" spans="3:59" ht="17.100000000000001" hidden="1" customHeight="1" outlineLevel="1">
      <c r="C235" s="499" t="s">
        <v>791</v>
      </c>
      <c r="D235" s="74"/>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357"/>
      <c r="AG235" s="1754" t="str">
        <f>IF(Y40="",$C236,Y40)</f>
        <v>Kompensation mit ausländischen Zertifikaten</v>
      </c>
      <c r="AH235" s="1754"/>
      <c r="AI235" s="1754"/>
      <c r="AJ235" s="1754"/>
      <c r="AK235" s="1754" t="s">
        <v>24</v>
      </c>
      <c r="AL235" s="358"/>
      <c r="AM235" s="74"/>
      <c r="AP235" s="74"/>
      <c r="AQ235" s="74"/>
      <c r="AR235" s="74"/>
      <c r="AS235" s="74"/>
      <c r="AT235" s="74"/>
      <c r="AU235" s="74"/>
      <c r="AV235" s="74"/>
      <c r="AW235" s="74"/>
      <c r="AX235" s="357"/>
      <c r="AZ235" s="1754" t="str">
        <f>IF(AR40="",$C236,AR40)</f>
        <v>Kompensation mit ausländischen Zertifikaten</v>
      </c>
      <c r="BA235" s="1754"/>
      <c r="BB235" s="1754"/>
      <c r="BC235" s="1754"/>
      <c r="BD235" s="1754" t="s">
        <v>24</v>
      </c>
      <c r="BE235" s="74"/>
    </row>
    <row r="236" spans="3:59" ht="17.100000000000001" hidden="1" customHeight="1" outlineLevel="1">
      <c r="C236" s="577" t="str">
        <f>X!C302</f>
        <v>Kompensation mit ausländischen Zertifikaten</v>
      </c>
      <c r="D236" s="82"/>
      <c r="E236" s="82"/>
      <c r="F236" s="82"/>
      <c r="G236" s="82"/>
      <c r="H236" s="82"/>
      <c r="I236" s="82"/>
      <c r="J236" s="82"/>
      <c r="K236" s="82"/>
      <c r="L236" s="82"/>
      <c r="M236" s="82"/>
      <c r="N236" s="82"/>
      <c r="O236" s="82"/>
      <c r="P236" s="82"/>
      <c r="Q236" s="82"/>
      <c r="R236" s="82" t="s">
        <v>82</v>
      </c>
      <c r="S236" s="82"/>
      <c r="T236" s="82"/>
      <c r="U236" s="82"/>
      <c r="V236" s="82"/>
      <c r="W236" s="82"/>
      <c r="X236" s="82"/>
      <c r="Y236" s="82"/>
      <c r="Z236" s="82"/>
      <c r="AA236" s="1752">
        <v>29</v>
      </c>
      <c r="AB236" s="1752"/>
      <c r="AC236" s="1752"/>
      <c r="AD236" s="1752"/>
      <c r="AE236" s="1752"/>
      <c r="AG236" s="1752">
        <f>IF(C236=AG$235,AA236,0)</f>
        <v>29</v>
      </c>
      <c r="AH236" s="1752"/>
      <c r="AI236" s="1752"/>
      <c r="AJ236" s="1752"/>
      <c r="AK236" s="1752"/>
      <c r="AL236" s="678"/>
      <c r="AM236" s="82"/>
      <c r="AP236" s="82"/>
      <c r="AQ236" s="82"/>
      <c r="AR236" s="82"/>
      <c r="AS236" s="82"/>
      <c r="AT236" s="1734"/>
      <c r="AU236" s="1734"/>
      <c r="AV236" s="1734"/>
      <c r="AW236" s="1734"/>
      <c r="AX236" s="1734"/>
      <c r="AZ236" s="1752">
        <f>IF(C236=AZ$235,AA236,0)</f>
        <v>29</v>
      </c>
      <c r="BA236" s="1752"/>
      <c r="BB236" s="1752"/>
      <c r="BC236" s="1752"/>
      <c r="BD236" s="1752"/>
      <c r="BE236" s="82"/>
      <c r="BG236" s="31" t="s">
        <v>789</v>
      </c>
    </row>
    <row r="237" spans="3:59" ht="17.100000000000001" hidden="1" customHeight="1" outlineLevel="1">
      <c r="C237" s="577" t="str">
        <f>X!C303</f>
        <v>Aktueller CO2-Abgabesatz der Schweiz</v>
      </c>
      <c r="D237" s="82"/>
      <c r="E237" s="82"/>
      <c r="F237" s="82"/>
      <c r="G237" s="82"/>
      <c r="H237" s="82"/>
      <c r="I237" s="82"/>
      <c r="J237" s="82"/>
      <c r="K237" s="82"/>
      <c r="L237" s="82"/>
      <c r="M237" s="82"/>
      <c r="N237" s="82"/>
      <c r="O237" s="82"/>
      <c r="P237" s="82"/>
      <c r="Q237" s="82"/>
      <c r="R237" s="82" t="s">
        <v>82</v>
      </c>
      <c r="S237" s="82"/>
      <c r="T237" s="82"/>
      <c r="U237" s="82"/>
      <c r="V237" s="82"/>
      <c r="W237" s="82"/>
      <c r="X237" s="82"/>
      <c r="Y237" s="82"/>
      <c r="Z237" s="82"/>
      <c r="AA237" s="1752">
        <v>84</v>
      </c>
      <c r="AB237" s="1752"/>
      <c r="AC237" s="1752"/>
      <c r="AD237" s="1752"/>
      <c r="AE237" s="1752"/>
      <c r="AG237" s="1752">
        <f>IF(C237=AG$235,AA237,0)</f>
        <v>0</v>
      </c>
      <c r="AH237" s="1752"/>
      <c r="AI237" s="1752"/>
      <c r="AJ237" s="1752"/>
      <c r="AK237" s="1752"/>
      <c r="AL237" s="678"/>
      <c r="AM237" s="82"/>
      <c r="AP237" s="82"/>
      <c r="AQ237" s="82"/>
      <c r="AR237" s="82"/>
      <c r="AS237" s="82"/>
      <c r="AT237" s="1734"/>
      <c r="AU237" s="1734"/>
      <c r="AV237" s="1734"/>
      <c r="AW237" s="1734"/>
      <c r="AX237" s="1734"/>
      <c r="AZ237" s="1752">
        <f>IF(C237=AZ$235,AA237,0)</f>
        <v>0</v>
      </c>
      <c r="BA237" s="1752"/>
      <c r="BB237" s="1752"/>
      <c r="BC237" s="1752"/>
      <c r="BD237" s="1752"/>
      <c r="BE237" s="82"/>
    </row>
    <row r="238" spans="3:59" ht="17.100000000000001" hidden="1" customHeight="1" outlineLevel="1">
      <c r="C238" s="577" t="str">
        <f>X!C304</f>
        <v>Globale Vermeidungskosten</v>
      </c>
      <c r="D238" s="82"/>
      <c r="E238" s="82"/>
      <c r="F238" s="82"/>
      <c r="G238" s="82"/>
      <c r="H238" s="82"/>
      <c r="I238" s="82"/>
      <c r="J238" s="82"/>
      <c r="K238" s="82"/>
      <c r="L238" s="82"/>
      <c r="M238" s="82"/>
      <c r="N238" s="82"/>
      <c r="O238" s="82"/>
      <c r="P238" s="82"/>
      <c r="Q238" s="82"/>
      <c r="R238" s="82" t="s">
        <v>82</v>
      </c>
      <c r="S238" s="82"/>
      <c r="T238" s="82"/>
      <c r="U238" s="82"/>
      <c r="V238" s="82"/>
      <c r="W238" s="82"/>
      <c r="X238" s="82"/>
      <c r="Y238" s="82"/>
      <c r="Z238" s="82"/>
      <c r="AA238" s="1752">
        <v>117</v>
      </c>
      <c r="AB238" s="1752"/>
      <c r="AC238" s="1752"/>
      <c r="AD238" s="1752"/>
      <c r="AE238" s="1752"/>
      <c r="AG238" s="1752">
        <f>IF(C238=AG$235,AA238,0)</f>
        <v>0</v>
      </c>
      <c r="AH238" s="1752"/>
      <c r="AI238" s="1752"/>
      <c r="AJ238" s="1752"/>
      <c r="AK238" s="1752"/>
      <c r="AL238" s="678"/>
      <c r="AM238" s="82"/>
      <c r="AP238" s="82"/>
      <c r="AQ238" s="82"/>
      <c r="AR238" s="82"/>
      <c r="AS238" s="82"/>
      <c r="AT238" s="1734"/>
      <c r="AU238" s="1734"/>
      <c r="AV238" s="1734"/>
      <c r="AW238" s="1734"/>
      <c r="AX238" s="1734"/>
      <c r="AZ238" s="1752">
        <f>IF(C238=AZ$235,AA238,0)</f>
        <v>0</v>
      </c>
      <c r="BA238" s="1752"/>
      <c r="BB238" s="1752"/>
      <c r="BC238" s="1752"/>
      <c r="BD238" s="1752"/>
      <c r="BE238" s="82"/>
    </row>
    <row r="239" spans="3:59" s="360" customFormat="1" ht="17.100000000000001" hidden="1" customHeight="1" outlineLevel="1">
      <c r="C239" s="500" t="s">
        <v>89</v>
      </c>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c r="AA239" s="1733"/>
      <c r="AB239" s="1733"/>
      <c r="AC239" s="1733"/>
      <c r="AD239" s="1733"/>
      <c r="AE239" s="1733"/>
      <c r="AG239" s="1753">
        <f>SUM(AG236:AK238)</f>
        <v>29</v>
      </c>
      <c r="AH239" s="1753"/>
      <c r="AI239" s="1753"/>
      <c r="AJ239" s="1753"/>
      <c r="AK239" s="1753"/>
      <c r="AL239" s="679"/>
      <c r="AM239" s="680"/>
      <c r="AN239" s="681"/>
      <c r="AO239" s="681"/>
      <c r="AP239" s="680"/>
      <c r="AQ239" s="680"/>
      <c r="AR239" s="680"/>
      <c r="AS239" s="680"/>
      <c r="AT239" s="1753"/>
      <c r="AU239" s="1753"/>
      <c r="AV239" s="1753"/>
      <c r="AW239" s="1753"/>
      <c r="AX239" s="1753"/>
      <c r="AY239" s="681"/>
      <c r="AZ239" s="1753">
        <f>SUM(AZ236:BD238)</f>
        <v>29</v>
      </c>
      <c r="BA239" s="1753"/>
      <c r="BB239" s="1753"/>
      <c r="BC239" s="1753"/>
      <c r="BD239" s="1753"/>
      <c r="BE239" s="256"/>
    </row>
    <row r="240" spans="3:59" ht="17.100000000000001" hidden="1" customHeight="1" outlineLevel="1"/>
    <row r="241" spans="3:142" ht="17.100000000000001" hidden="1" customHeight="1" outlineLevel="1"/>
    <row r="242" spans="3:142" ht="17.100000000000001" hidden="1" customHeight="1" outlineLevel="1">
      <c r="C242" s="499" t="s">
        <v>69</v>
      </c>
      <c r="D242" s="74"/>
      <c r="E242" s="74"/>
      <c r="F242" s="74"/>
      <c r="G242" s="74"/>
      <c r="H242" s="74"/>
      <c r="I242" s="74"/>
      <c r="J242" s="74"/>
      <c r="K242" s="74"/>
      <c r="L242" s="74"/>
      <c r="M242" s="74"/>
      <c r="N242" s="74"/>
      <c r="O242" s="74"/>
      <c r="P242" s="74"/>
      <c r="Q242" s="74"/>
      <c r="R242" s="74"/>
      <c r="S242" s="74"/>
      <c r="T242" s="74"/>
      <c r="U242" s="74"/>
      <c r="V242" s="74"/>
      <c r="W242" s="74"/>
      <c r="X242" s="74"/>
      <c r="Y242" s="74"/>
      <c r="Z242" s="74"/>
      <c r="AA242" s="74"/>
      <c r="AB242" s="74"/>
      <c r="AC242" s="74"/>
      <c r="AD242" s="74"/>
      <c r="AE242" s="357"/>
      <c r="AG242" s="1739">
        <f>Z90</f>
        <v>0</v>
      </c>
      <c r="AH242" s="1739"/>
      <c r="AI242" s="1739"/>
      <c r="AJ242" s="1739"/>
      <c r="AK242" s="1739"/>
      <c r="AL242" s="358"/>
      <c r="AM242" s="74"/>
      <c r="AP242" s="74"/>
      <c r="AQ242" s="74"/>
      <c r="AR242" s="74"/>
      <c r="AS242" s="74"/>
      <c r="AT242" s="74"/>
      <c r="AU242" s="74"/>
      <c r="AV242" s="74"/>
      <c r="AW242" s="74"/>
      <c r="AX242" s="357"/>
      <c r="AZ242" s="1739">
        <f>AG242</f>
        <v>0</v>
      </c>
      <c r="BA242" s="1739"/>
      <c r="BB242" s="1739"/>
      <c r="BC242" s="1739"/>
      <c r="BD242" s="1739"/>
      <c r="BE242" s="74"/>
    </row>
    <row r="243" spans="3:142" ht="17.100000000000001" hidden="1" customHeight="1" outlineLevel="1">
      <c r="C243" s="460" t="str">
        <f t="shared" ref="C243:C248" si="6">C183</f>
        <v>Supermarkt</v>
      </c>
      <c r="D243" s="82"/>
      <c r="E243" s="82"/>
      <c r="F243" s="82"/>
      <c r="G243" s="82"/>
      <c r="H243" s="82"/>
      <c r="I243" s="82"/>
      <c r="J243" s="82"/>
      <c r="K243" s="82"/>
      <c r="L243" s="82"/>
      <c r="M243" s="82"/>
      <c r="N243" s="82"/>
      <c r="O243" s="82"/>
      <c r="P243" s="82"/>
      <c r="Q243" s="82"/>
      <c r="R243" s="82" t="s">
        <v>27</v>
      </c>
      <c r="S243" s="82"/>
      <c r="T243" s="82"/>
      <c r="U243" s="82"/>
      <c r="V243" s="82"/>
      <c r="W243" s="82"/>
      <c r="X243" s="82"/>
      <c r="Y243" s="82"/>
      <c r="Z243" s="82"/>
      <c r="AA243" s="1734">
        <v>12</v>
      </c>
      <c r="AB243" s="1734"/>
      <c r="AC243" s="1734"/>
      <c r="AD243" s="1734">
        <v>12</v>
      </c>
      <c r="AE243" s="1734"/>
      <c r="AG243" s="1734">
        <f t="shared" ref="AG243:AG248" si="7">IF(C243=AG$242,AA243,0)</f>
        <v>0</v>
      </c>
      <c r="AH243" s="1734"/>
      <c r="AI243" s="1734"/>
      <c r="AJ243" s="1734"/>
      <c r="AK243" s="1734">
        <v>0</v>
      </c>
      <c r="AL243" s="359"/>
      <c r="AM243" s="82"/>
      <c r="AP243" s="82"/>
      <c r="AQ243" s="82"/>
      <c r="AR243" s="82"/>
      <c r="AS243" s="82"/>
      <c r="AT243" s="1734">
        <v>12</v>
      </c>
      <c r="AU243" s="1734"/>
      <c r="AV243" s="1734"/>
      <c r="AW243" s="1734">
        <v>12</v>
      </c>
      <c r="AX243" s="1734"/>
      <c r="AZ243" s="1734">
        <f t="shared" ref="AZ243:AZ248" si="8">IF(C243=AZ$242,AA243,0)</f>
        <v>0</v>
      </c>
      <c r="BA243" s="1734"/>
      <c r="BB243" s="1734"/>
      <c r="BC243" s="1734"/>
      <c r="BD243" s="1734">
        <v>0</v>
      </c>
      <c r="BE243" s="82"/>
    </row>
    <row r="244" spans="3:142" ht="17.100000000000001" hidden="1" customHeight="1" outlineLevel="1">
      <c r="C244" s="460" t="str">
        <f t="shared" si="6"/>
        <v>Industrie</v>
      </c>
      <c r="D244" s="82"/>
      <c r="E244" s="82"/>
      <c r="F244" s="82"/>
      <c r="G244" s="82"/>
      <c r="H244" s="82"/>
      <c r="I244" s="82"/>
      <c r="J244" s="82"/>
      <c r="K244" s="82"/>
      <c r="L244" s="82"/>
      <c r="M244" s="82"/>
      <c r="N244" s="82"/>
      <c r="O244" s="82"/>
      <c r="P244" s="82"/>
      <c r="Q244" s="82"/>
      <c r="R244" s="82" t="s">
        <v>27</v>
      </c>
      <c r="S244" s="82"/>
      <c r="T244" s="82"/>
      <c r="U244" s="82"/>
      <c r="V244" s="82"/>
      <c r="W244" s="82"/>
      <c r="X244" s="82"/>
      <c r="Y244" s="82"/>
      <c r="Z244" s="82"/>
      <c r="AA244" s="1734">
        <v>20</v>
      </c>
      <c r="AB244" s="1734"/>
      <c r="AC244" s="1734"/>
      <c r="AD244" s="1734">
        <v>20</v>
      </c>
      <c r="AE244" s="1734"/>
      <c r="AG244" s="1734">
        <f t="shared" si="7"/>
        <v>0</v>
      </c>
      <c r="AH244" s="1734"/>
      <c r="AI244" s="1734"/>
      <c r="AJ244" s="1734"/>
      <c r="AK244" s="1734">
        <v>0</v>
      </c>
      <c r="AL244" s="359"/>
      <c r="AM244" s="82"/>
      <c r="AP244" s="82"/>
      <c r="AQ244" s="82"/>
      <c r="AR244" s="82"/>
      <c r="AS244" s="82"/>
      <c r="AT244" s="1734">
        <v>20</v>
      </c>
      <c r="AU244" s="1734"/>
      <c r="AV244" s="1734"/>
      <c r="AW244" s="1734">
        <v>20</v>
      </c>
      <c r="AX244" s="1734"/>
      <c r="AZ244" s="1734">
        <f t="shared" si="8"/>
        <v>0</v>
      </c>
      <c r="BA244" s="1734"/>
      <c r="BB244" s="1734"/>
      <c r="BC244" s="1734"/>
      <c r="BD244" s="1734">
        <v>0</v>
      </c>
      <c r="BE244" s="82"/>
    </row>
    <row r="245" spans="3:142" ht="17.100000000000001" hidden="1" customHeight="1" outlineLevel="1">
      <c r="C245" s="460" t="str">
        <f t="shared" si="6"/>
        <v>Gewerbe</v>
      </c>
      <c r="D245" s="82"/>
      <c r="E245" s="82"/>
      <c r="F245" s="82"/>
      <c r="G245" s="82"/>
      <c r="H245" s="82"/>
      <c r="I245" s="82"/>
      <c r="J245" s="82"/>
      <c r="K245" s="82"/>
      <c r="L245" s="82"/>
      <c r="M245" s="82"/>
      <c r="N245" s="82"/>
      <c r="O245" s="82"/>
      <c r="P245" s="82"/>
      <c r="Q245" s="82"/>
      <c r="R245" s="82" t="s">
        <v>27</v>
      </c>
      <c r="S245" s="82"/>
      <c r="T245" s="82"/>
      <c r="U245" s="82"/>
      <c r="V245" s="82"/>
      <c r="W245" s="82"/>
      <c r="X245" s="82"/>
      <c r="Y245" s="82"/>
      <c r="Z245" s="82"/>
      <c r="AA245" s="1734">
        <v>15</v>
      </c>
      <c r="AB245" s="1734"/>
      <c r="AC245" s="1734"/>
      <c r="AD245" s="1734">
        <v>15</v>
      </c>
      <c r="AE245" s="1734"/>
      <c r="AG245" s="1734">
        <f t="shared" si="7"/>
        <v>0</v>
      </c>
      <c r="AH245" s="1734"/>
      <c r="AI245" s="1734"/>
      <c r="AJ245" s="1734"/>
      <c r="AK245" s="1734">
        <v>0</v>
      </c>
      <c r="AL245" s="359"/>
      <c r="AM245" s="82"/>
      <c r="AP245" s="82"/>
      <c r="AQ245" s="82"/>
      <c r="AR245" s="82"/>
      <c r="AS245" s="82"/>
      <c r="AT245" s="1734">
        <v>15</v>
      </c>
      <c r="AU245" s="1734"/>
      <c r="AV245" s="1734"/>
      <c r="AW245" s="1734">
        <v>15</v>
      </c>
      <c r="AX245" s="1734"/>
      <c r="AZ245" s="1734">
        <f t="shared" si="8"/>
        <v>0</v>
      </c>
      <c r="BA245" s="1734"/>
      <c r="BB245" s="1734"/>
      <c r="BC245" s="1734"/>
      <c r="BD245" s="1734">
        <v>0</v>
      </c>
      <c r="BE245" s="82"/>
    </row>
    <row r="246" spans="3:142" ht="17.100000000000001" hidden="1" customHeight="1" outlineLevel="1">
      <c r="C246" s="460" t="str">
        <f t="shared" si="6"/>
        <v>Klima-Kälte Direktverdampfung (VRV-, VRF-Systeme)</v>
      </c>
      <c r="D246" s="82"/>
      <c r="E246" s="82"/>
      <c r="F246" s="82"/>
      <c r="G246" s="82"/>
      <c r="H246" s="82"/>
      <c r="I246" s="82"/>
      <c r="J246" s="82"/>
      <c r="K246" s="82"/>
      <c r="L246" s="82"/>
      <c r="M246" s="82"/>
      <c r="N246" s="82"/>
      <c r="O246" s="82"/>
      <c r="P246" s="82"/>
      <c r="Q246" s="82"/>
      <c r="R246" s="82" t="s">
        <v>27</v>
      </c>
      <c r="S246" s="82"/>
      <c r="T246" s="82"/>
      <c r="U246" s="82"/>
      <c r="V246" s="82"/>
      <c r="W246" s="82"/>
      <c r="X246" s="82"/>
      <c r="Y246" s="82"/>
      <c r="Z246" s="82"/>
      <c r="AA246" s="1734">
        <v>15</v>
      </c>
      <c r="AB246" s="1734"/>
      <c r="AC246" s="1734"/>
      <c r="AD246" s="1734">
        <v>15</v>
      </c>
      <c r="AE246" s="1734"/>
      <c r="AG246" s="1734">
        <f t="shared" si="7"/>
        <v>0</v>
      </c>
      <c r="AH246" s="1734"/>
      <c r="AI246" s="1734"/>
      <c r="AJ246" s="1734"/>
      <c r="AK246" s="1734">
        <v>0</v>
      </c>
      <c r="AL246" s="359"/>
      <c r="AM246" s="82"/>
      <c r="AP246" s="82"/>
      <c r="AQ246" s="82"/>
      <c r="AR246" s="82"/>
      <c r="AS246" s="82"/>
      <c r="AT246" s="1734">
        <v>15</v>
      </c>
      <c r="AU246" s="1734"/>
      <c r="AV246" s="1734"/>
      <c r="AW246" s="1734">
        <v>15</v>
      </c>
      <c r="AX246" s="1734"/>
      <c r="AZ246" s="1734">
        <f t="shared" si="8"/>
        <v>0</v>
      </c>
      <c r="BA246" s="1734"/>
      <c r="BB246" s="1734"/>
      <c r="BC246" s="1734"/>
      <c r="BD246" s="1734">
        <v>0</v>
      </c>
      <c r="BE246" s="82"/>
    </row>
    <row r="247" spans="3:142" ht="17.100000000000001" hidden="1" customHeight="1" outlineLevel="1">
      <c r="C247" s="460" t="str">
        <f t="shared" si="6"/>
        <v>Klima-Kälte (wassergekühlte Kaltwassersätze)</v>
      </c>
      <c r="D247" s="82"/>
      <c r="E247" s="82"/>
      <c r="F247" s="82"/>
      <c r="G247" s="82"/>
      <c r="H247" s="82"/>
      <c r="I247" s="82"/>
      <c r="J247" s="82"/>
      <c r="K247" s="82"/>
      <c r="L247" s="82"/>
      <c r="M247" s="82"/>
      <c r="N247" s="82"/>
      <c r="O247" s="82"/>
      <c r="P247" s="82"/>
      <c r="Q247" s="82"/>
      <c r="R247" s="82" t="s">
        <v>27</v>
      </c>
      <c r="S247" s="82"/>
      <c r="T247" s="82"/>
      <c r="U247" s="82"/>
      <c r="V247" s="82"/>
      <c r="W247" s="82"/>
      <c r="X247" s="82"/>
      <c r="Y247" s="82"/>
      <c r="Z247" s="82"/>
      <c r="AA247" s="1756">
        <v>15</v>
      </c>
      <c r="AB247" s="1756"/>
      <c r="AC247" s="1756"/>
      <c r="AD247" s="1756">
        <v>15</v>
      </c>
      <c r="AE247" s="1756"/>
      <c r="AG247" s="1734">
        <f t="shared" si="7"/>
        <v>0</v>
      </c>
      <c r="AH247" s="1734"/>
      <c r="AI247" s="1734"/>
      <c r="AJ247" s="1734"/>
      <c r="AK247" s="1734">
        <v>0</v>
      </c>
      <c r="AL247" s="446"/>
      <c r="AM247" s="82"/>
      <c r="AP247" s="82"/>
      <c r="AQ247" s="82"/>
      <c r="AR247" s="82"/>
      <c r="AS247" s="82"/>
      <c r="AT247" s="1734">
        <v>15</v>
      </c>
      <c r="AU247" s="1734"/>
      <c r="AV247" s="1734"/>
      <c r="AW247" s="1734">
        <v>15</v>
      </c>
      <c r="AX247" s="1734"/>
      <c r="AZ247" s="1734">
        <f>IF(C247=AZ$242,AA247,0)</f>
        <v>0</v>
      </c>
      <c r="BA247" s="1734"/>
      <c r="BB247" s="1734"/>
      <c r="BC247" s="1734"/>
      <c r="BD247" s="1734">
        <v>0</v>
      </c>
      <c r="BE247" s="82"/>
    </row>
    <row r="248" spans="3:142" ht="17.100000000000001" hidden="1" customHeight="1" outlineLevel="1">
      <c r="C248" s="460" t="str">
        <f t="shared" si="6"/>
        <v>Klima-Kälte (luftgekühlte Kaltwassersätze)</v>
      </c>
      <c r="D248" s="82"/>
      <c r="E248" s="82"/>
      <c r="F248" s="82"/>
      <c r="G248" s="82"/>
      <c r="H248" s="82"/>
      <c r="I248" s="82"/>
      <c r="J248" s="82"/>
      <c r="K248" s="82"/>
      <c r="L248" s="82"/>
      <c r="M248" s="82"/>
      <c r="N248" s="82"/>
      <c r="O248" s="82"/>
      <c r="P248" s="82"/>
      <c r="Q248" s="82"/>
      <c r="R248" s="82" t="s">
        <v>27</v>
      </c>
      <c r="S248" s="82"/>
      <c r="T248" s="82"/>
      <c r="U248" s="82"/>
      <c r="V248" s="82"/>
      <c r="W248" s="82"/>
      <c r="X248" s="82"/>
      <c r="Y248" s="82"/>
      <c r="Z248" s="82"/>
      <c r="AA248" s="1756">
        <v>15</v>
      </c>
      <c r="AB248" s="1756"/>
      <c r="AC248" s="1756"/>
      <c r="AD248" s="1756">
        <v>15</v>
      </c>
      <c r="AE248" s="1756"/>
      <c r="AG248" s="1734">
        <f t="shared" si="7"/>
        <v>0</v>
      </c>
      <c r="AH248" s="1734"/>
      <c r="AI248" s="1734"/>
      <c r="AJ248" s="1734"/>
      <c r="AK248" s="1734">
        <v>0</v>
      </c>
      <c r="AL248" s="359"/>
      <c r="AM248" s="82"/>
      <c r="AP248" s="82"/>
      <c r="AQ248" s="82"/>
      <c r="AR248" s="82"/>
      <c r="AS248" s="82"/>
      <c r="AT248" s="1734">
        <v>15</v>
      </c>
      <c r="AU248" s="1734"/>
      <c r="AV248" s="1734"/>
      <c r="AW248" s="1734">
        <v>15</v>
      </c>
      <c r="AX248" s="1734"/>
      <c r="AZ248" s="1734">
        <f t="shared" si="8"/>
        <v>0</v>
      </c>
      <c r="BA248" s="1734"/>
      <c r="BB248" s="1734"/>
      <c r="BC248" s="1734"/>
      <c r="BD248" s="1734">
        <v>0</v>
      </c>
      <c r="BE248" s="82"/>
    </row>
    <row r="249" spans="3:142" s="360" customFormat="1" ht="17.100000000000001" hidden="1" customHeight="1" outlineLevel="1">
      <c r="C249" s="500" t="s">
        <v>89</v>
      </c>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c r="Z249" s="256"/>
      <c r="AA249" s="1733"/>
      <c r="AB249" s="1733"/>
      <c r="AC249" s="1733"/>
      <c r="AD249" s="1733"/>
      <c r="AE249" s="1733"/>
      <c r="AG249" s="1733">
        <f>SUM(AG243:AK248)</f>
        <v>0</v>
      </c>
      <c r="AH249" s="1733"/>
      <c r="AI249" s="1733"/>
      <c r="AJ249" s="1733"/>
      <c r="AK249" s="1733"/>
      <c r="AL249" s="361"/>
      <c r="AM249" s="256"/>
      <c r="AP249" s="256"/>
      <c r="AQ249" s="256"/>
      <c r="AR249" s="256"/>
      <c r="AS249" s="256"/>
      <c r="AT249" s="1733"/>
      <c r="AU249" s="1733"/>
      <c r="AV249" s="1733"/>
      <c r="AW249" s="1733"/>
      <c r="AX249" s="1733"/>
      <c r="AZ249" s="1733">
        <f>SUM(AZ243:BD248)</f>
        <v>0</v>
      </c>
      <c r="BA249" s="1733"/>
      <c r="BB249" s="1733"/>
      <c r="BC249" s="1733"/>
      <c r="BD249" s="1733"/>
      <c r="BE249" s="256"/>
    </row>
    <row r="250" spans="3:142" ht="17.100000000000001" hidden="1" customHeight="1" outlineLevel="1"/>
    <row r="251" spans="3:142" hidden="1" outlineLevel="1"/>
    <row r="252" spans="3:142" ht="17.100000000000001" hidden="1" customHeight="1" outlineLevel="1">
      <c r="AG252" s="273"/>
      <c r="AH252" s="273"/>
      <c r="AJ252" s="273"/>
      <c r="AK252" s="1134"/>
    </row>
    <row r="253" spans="3:142" ht="17.100000000000001" hidden="1" customHeight="1" outlineLevel="1">
      <c r="C253" s="499" t="s">
        <v>935</v>
      </c>
      <c r="D253" s="74"/>
      <c r="E253" s="74"/>
      <c r="F253" s="74"/>
      <c r="G253" s="74"/>
      <c r="H253" s="74"/>
      <c r="I253" s="74"/>
      <c r="J253" s="74"/>
      <c r="K253" s="74"/>
      <c r="L253" s="74"/>
      <c r="M253" s="74"/>
      <c r="N253" s="74"/>
      <c r="O253" s="74"/>
      <c r="P253" s="74"/>
      <c r="Q253" s="74"/>
      <c r="R253" s="74"/>
      <c r="S253" s="74"/>
      <c r="T253" s="74"/>
      <c r="U253" s="74"/>
      <c r="V253" s="74"/>
      <c r="W253" s="74"/>
      <c r="X253" s="74"/>
      <c r="Y253" s="74"/>
      <c r="Z253" s="74"/>
      <c r="AA253" s="74"/>
      <c r="AB253" s="74"/>
      <c r="AC253" s="74" t="s">
        <v>1133</v>
      </c>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row>
    <row r="254" spans="3:142" hidden="1" outlineLevel="1">
      <c r="C254" s="31"/>
      <c r="J254" s="302"/>
      <c r="K254" s="302"/>
      <c r="L254" s="302"/>
      <c r="AG254" s="273"/>
      <c r="AH254" s="273"/>
      <c r="AJ254" s="273"/>
      <c r="AK254" s="1134"/>
    </row>
    <row r="255" spans="3:142" hidden="1" outlineLevel="1">
      <c r="C255" s="31"/>
      <c r="J255" s="302"/>
      <c r="K255" s="302"/>
      <c r="L255" s="302"/>
      <c r="AI255" s="31"/>
      <c r="AK255" s="31"/>
      <c r="AL255" s="31"/>
      <c r="BB255" s="31"/>
      <c r="BD255" s="31"/>
    </row>
    <row r="256" spans="3:142" s="28" customFormat="1" ht="17.100000000000001" hidden="1" customHeight="1" outlineLevel="1">
      <c r="C256" s="227"/>
      <c r="D256" s="227"/>
      <c r="E256" s="227"/>
      <c r="F256" s="227"/>
      <c r="G256" s="227"/>
      <c r="H256" s="227"/>
      <c r="I256" s="227"/>
      <c r="J256" s="887"/>
      <c r="K256" s="887"/>
      <c r="L256" s="887"/>
      <c r="M256" s="398"/>
      <c r="N256" s="1090" t="str">
        <f>C192</f>
        <v>Montage auf Platz</v>
      </c>
      <c r="O256" s="31"/>
      <c r="P256" s="31"/>
      <c r="Q256" s="31"/>
      <c r="R256" s="31"/>
      <c r="S256" s="31"/>
      <c r="T256" s="31"/>
      <c r="U256" s="1109" t="str">
        <f>C193</f>
        <v>Werksgefertigt</v>
      </c>
      <c r="V256" s="31"/>
      <c r="W256" s="31"/>
      <c r="X256" s="31"/>
      <c r="Y256" s="31"/>
      <c r="Z256" s="31"/>
      <c r="AA256" s="31"/>
      <c r="AB256" s="1109" t="str">
        <f>C194</f>
        <v>Werksgefertigt hermetisiert</v>
      </c>
      <c r="AC256" s="31"/>
      <c r="AD256" s="31"/>
      <c r="AE256" s="31"/>
      <c r="AF256" s="31"/>
      <c r="AG256" s="31"/>
      <c r="AH256" s="31"/>
      <c r="AN256" s="31"/>
      <c r="AO256" s="31"/>
      <c r="AP256" s="31"/>
      <c r="AQ256" s="31"/>
      <c r="AR256" s="31"/>
      <c r="AS256" s="31"/>
      <c r="AT256" s="31"/>
      <c r="AU256" s="31"/>
      <c r="AV256" s="31"/>
      <c r="AZ256" s="31"/>
      <c r="BA256" s="31"/>
      <c r="BB256" s="31"/>
      <c r="BC256" s="31"/>
      <c r="BD256" s="31"/>
      <c r="BE256" s="31"/>
      <c r="BF256" s="31"/>
      <c r="BG256" s="31"/>
      <c r="BH256" s="31"/>
      <c r="BJ256" s="31"/>
      <c r="BK256" s="31"/>
      <c r="BL256" s="31"/>
      <c r="BM256" s="31"/>
      <c r="BN256" s="31"/>
      <c r="BO256" s="31"/>
      <c r="BP256" s="31"/>
      <c r="BQ256" s="31"/>
      <c r="BR256" s="31"/>
      <c r="BS256" s="31"/>
      <c r="BT256" s="31"/>
      <c r="BU256" s="31"/>
      <c r="BV256" s="31"/>
      <c r="BW256" s="31"/>
      <c r="BX256" s="31"/>
      <c r="BY256" s="31"/>
      <c r="BZ256" s="31"/>
      <c r="CA256" s="31"/>
      <c r="CB256" s="31"/>
      <c r="CC256" s="31"/>
      <c r="CD256" s="31"/>
      <c r="CE256" s="31"/>
      <c r="CF256" s="31"/>
      <c r="CG256" s="31"/>
      <c r="CH256" s="31"/>
      <c r="CI256" s="31"/>
      <c r="CJ256" s="31"/>
      <c r="CK256" s="31"/>
      <c r="CL256" s="31"/>
      <c r="CM256" s="31"/>
      <c r="CN256" s="31"/>
      <c r="CO256" s="31"/>
      <c r="CP256" s="31"/>
      <c r="CQ256" s="31"/>
      <c r="CR256" s="31"/>
      <c r="CS256" s="31"/>
      <c r="CT256" s="31"/>
      <c r="CU256" s="31"/>
      <c r="CV256" s="31"/>
      <c r="CW256" s="31"/>
      <c r="CX256" s="31"/>
      <c r="CY256" s="31"/>
      <c r="CZ256" s="31"/>
      <c r="DA256" s="31"/>
      <c r="DB256" s="31"/>
      <c r="DC256" s="31"/>
      <c r="DD256" s="31"/>
      <c r="DE256" s="31"/>
      <c r="DF256" s="31"/>
      <c r="DG256" s="31"/>
      <c r="DH256" s="31"/>
      <c r="DI256" s="31"/>
      <c r="DJ256" s="31"/>
      <c r="DK256" s="31"/>
      <c r="DL256" s="31"/>
      <c r="DM256" s="31"/>
      <c r="DN256" s="31"/>
      <c r="DO256" s="31"/>
      <c r="DP256" s="31"/>
      <c r="DQ256" s="31"/>
      <c r="DR256" s="31"/>
      <c r="DS256" s="31"/>
      <c r="DT256" s="31"/>
      <c r="DU256" s="31"/>
      <c r="DV256" s="31"/>
      <c r="DW256" s="31"/>
      <c r="DX256" s="31"/>
      <c r="DY256" s="31"/>
      <c r="DZ256" s="31"/>
      <c r="EA256" s="31"/>
      <c r="EB256" s="31"/>
      <c r="EC256" s="31"/>
      <c r="ED256" s="31"/>
      <c r="EE256" s="31"/>
      <c r="EF256" s="31"/>
      <c r="EG256" s="31"/>
      <c r="EH256" s="31"/>
      <c r="EI256" s="31"/>
      <c r="EJ256" s="31"/>
      <c r="EK256" s="31"/>
      <c r="EL256" s="31"/>
    </row>
    <row r="257" spans="3:142" s="1089" customFormat="1" ht="71.099999999999994" hidden="1" customHeight="1" outlineLevel="1">
      <c r="C257" s="1115" t="s">
        <v>18</v>
      </c>
      <c r="D257" s="1116"/>
      <c r="E257" s="1116"/>
      <c r="F257" s="1116"/>
      <c r="G257" s="1116"/>
      <c r="H257" s="1116"/>
      <c r="I257" s="1116"/>
      <c r="J257" s="1112" t="s">
        <v>1004</v>
      </c>
      <c r="K257" s="1113"/>
      <c r="L257" s="1114"/>
      <c r="M257" s="1114"/>
      <c r="N257" s="1111" t="str">
        <f>C183</f>
        <v>Supermarkt</v>
      </c>
      <c r="O257" s="1111" t="str">
        <f>C184</f>
        <v>Industrie</v>
      </c>
      <c r="P257" s="1111" t="str">
        <f>C185</f>
        <v>Gewerbe</v>
      </c>
      <c r="Q257" s="1111" t="str">
        <f>C186</f>
        <v>Klima-Kälte Direktverdampfung (VRV-, VRF-Systeme)</v>
      </c>
      <c r="R257" s="1111" t="str">
        <f>C187</f>
        <v>Klima-Kälte (wassergekühlte Kaltwassersätze)</v>
      </c>
      <c r="S257" s="1111" t="str">
        <f>C188</f>
        <v>Klima-Kälte (luftgekühlte Kaltwassersätze)</v>
      </c>
      <c r="T257" s="31"/>
      <c r="U257" s="1100" t="str">
        <f>N257</f>
        <v>Supermarkt</v>
      </c>
      <c r="V257" s="1100" t="str">
        <f t="shared" ref="V257:Z257" si="9">O257</f>
        <v>Industrie</v>
      </c>
      <c r="W257" s="1100" t="str">
        <f t="shared" si="9"/>
        <v>Gewerbe</v>
      </c>
      <c r="X257" s="1100" t="str">
        <f t="shared" si="9"/>
        <v>Klima-Kälte Direktverdampfung (VRV-, VRF-Systeme)</v>
      </c>
      <c r="Y257" s="1100" t="str">
        <f t="shared" si="9"/>
        <v>Klima-Kälte (wassergekühlte Kaltwassersätze)</v>
      </c>
      <c r="Z257" s="1100" t="str">
        <f t="shared" si="9"/>
        <v>Klima-Kälte (luftgekühlte Kaltwassersätze)</v>
      </c>
      <c r="AA257" s="31"/>
      <c r="AB257" s="1100" t="str">
        <f>N257</f>
        <v>Supermarkt</v>
      </c>
      <c r="AC257" s="1100" t="str">
        <f t="shared" ref="AC257:AG257" si="10">O257</f>
        <v>Industrie</v>
      </c>
      <c r="AD257" s="1100" t="str">
        <f t="shared" si="10"/>
        <v>Gewerbe</v>
      </c>
      <c r="AE257" s="1100" t="str">
        <f t="shared" si="10"/>
        <v>Klima-Kälte Direktverdampfung (VRV-, VRF-Systeme)</v>
      </c>
      <c r="AF257" s="1100" t="str">
        <f t="shared" si="10"/>
        <v>Klima-Kälte (wassergekühlte Kaltwassersätze)</v>
      </c>
      <c r="AG257" s="1100" t="str">
        <f t="shared" si="10"/>
        <v>Klima-Kälte (luftgekühlte Kaltwassersätze)</v>
      </c>
      <c r="AJ257" s="302" t="s">
        <v>3</v>
      </c>
      <c r="AN257" s="31"/>
      <c r="AO257" s="31"/>
      <c r="AP257" s="31"/>
      <c r="AQ257" s="31"/>
      <c r="AR257" s="31"/>
      <c r="AS257" s="31"/>
      <c r="AT257" s="31"/>
      <c r="AU257" s="31"/>
      <c r="AV257" s="31"/>
      <c r="AZ257" s="31"/>
      <c r="BA257" s="31"/>
      <c r="BB257" s="31"/>
      <c r="BC257" s="31"/>
      <c r="BD257" s="31"/>
      <c r="BE257" s="31"/>
      <c r="BF257" s="31"/>
      <c r="BG257" s="31"/>
      <c r="BH257" s="31"/>
      <c r="BJ257" s="31"/>
      <c r="BK257" s="31"/>
      <c r="BL257" s="31"/>
      <c r="BM257" s="31"/>
      <c r="BN257" s="31"/>
      <c r="BO257" s="31"/>
      <c r="BP257" s="31"/>
      <c r="BQ257" s="31"/>
      <c r="BR257" s="31"/>
      <c r="BS257" s="31"/>
      <c r="BT257" s="31"/>
      <c r="BU257" s="31"/>
      <c r="BV257" s="31"/>
      <c r="BW257" s="31"/>
      <c r="BX257" s="31"/>
      <c r="BY257" s="31"/>
      <c r="BZ257" s="31"/>
      <c r="CA257" s="31"/>
      <c r="CB257" s="31"/>
      <c r="CC257" s="31"/>
      <c r="CD257" s="31"/>
      <c r="CE257" s="31"/>
      <c r="CF257" s="31"/>
      <c r="CG257" s="31"/>
      <c r="CH257" s="31"/>
      <c r="CI257" s="31"/>
      <c r="CJ257" s="31"/>
      <c r="CK257" s="31"/>
      <c r="CL257" s="31"/>
      <c r="CM257" s="31"/>
      <c r="CN257" s="31"/>
      <c r="CO257" s="31"/>
      <c r="CP257" s="31"/>
      <c r="CQ257" s="31"/>
      <c r="CR257" s="31"/>
      <c r="CS257" s="31"/>
      <c r="CT257" s="31"/>
      <c r="CU257" s="31"/>
      <c r="CV257" s="31"/>
      <c r="CW257" s="31"/>
      <c r="CX257" s="31"/>
      <c r="CY257" s="31"/>
      <c r="CZ257" s="31"/>
      <c r="DA257" s="31"/>
      <c r="DB257" s="31"/>
      <c r="DC257" s="31"/>
      <c r="DD257" s="31"/>
      <c r="DE257" s="31"/>
      <c r="DF257" s="31"/>
      <c r="DG257" s="31"/>
      <c r="DH257" s="31"/>
      <c r="DI257" s="31"/>
      <c r="DJ257" s="31"/>
      <c r="DK257" s="31"/>
      <c r="DL257" s="31"/>
      <c r="DM257" s="31"/>
      <c r="DN257" s="31"/>
      <c r="DO257" s="31"/>
      <c r="DP257" s="31"/>
      <c r="DQ257" s="31"/>
      <c r="DR257" s="31"/>
      <c r="DS257" s="31"/>
      <c r="DT257" s="31"/>
      <c r="DU257" s="31"/>
      <c r="DV257" s="31"/>
      <c r="DW257" s="31"/>
      <c r="DX257" s="31"/>
      <c r="DY257" s="31"/>
      <c r="DZ257" s="31"/>
      <c r="EA257" s="31"/>
      <c r="EB257" s="31"/>
      <c r="EC257" s="31"/>
      <c r="ED257" s="31"/>
      <c r="EE257" s="31"/>
      <c r="EF257" s="31"/>
      <c r="EG257" s="31"/>
      <c r="EH257" s="31"/>
      <c r="EI257" s="31"/>
      <c r="EJ257" s="31"/>
      <c r="EK257" s="31"/>
      <c r="EL257" s="31"/>
    </row>
    <row r="258" spans="3:142" s="28" customFormat="1" ht="17.100000000000001" hidden="1" customHeight="1" outlineLevel="1">
      <c r="M258" s="52"/>
      <c r="N258" s="694"/>
      <c r="O258" s="694"/>
      <c r="P258" s="694"/>
      <c r="Q258" s="694"/>
      <c r="R258" s="694"/>
      <c r="S258" s="694"/>
      <c r="T258" s="31"/>
      <c r="U258" s="694"/>
      <c r="V258" s="694"/>
      <c r="W258" s="694"/>
      <c r="X258" s="694"/>
      <c r="Y258" s="694"/>
      <c r="Z258" s="694"/>
      <c r="AA258" s="31"/>
      <c r="AB258" s="694"/>
      <c r="AC258" s="694"/>
      <c r="AD258" s="694"/>
      <c r="AE258" s="694"/>
      <c r="AF258" s="694"/>
      <c r="AG258" s="694"/>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31"/>
      <c r="BU258" s="31"/>
      <c r="BV258" s="31"/>
      <c r="BW258" s="31"/>
      <c r="BX258" s="31"/>
      <c r="BY258" s="31"/>
      <c r="BZ258" s="31"/>
      <c r="CA258" s="31"/>
      <c r="CB258" s="31"/>
      <c r="CC258" s="31"/>
      <c r="CD258" s="31"/>
      <c r="CE258" s="31"/>
      <c r="CF258" s="31"/>
      <c r="CG258" s="31"/>
      <c r="CH258" s="31"/>
      <c r="CI258" s="31"/>
      <c r="CJ258" s="31"/>
      <c r="CK258" s="31"/>
      <c r="CL258" s="31"/>
      <c r="CM258" s="31"/>
      <c r="CN258" s="31"/>
      <c r="CO258" s="31"/>
      <c r="CP258" s="31"/>
      <c r="CQ258" s="31"/>
      <c r="CR258" s="31"/>
      <c r="CS258" s="31"/>
      <c r="CT258" s="31"/>
      <c r="CU258" s="31"/>
      <c r="CV258" s="31"/>
      <c r="CW258" s="31"/>
      <c r="CX258" s="31"/>
      <c r="CY258" s="31"/>
      <c r="CZ258" s="31"/>
      <c r="DA258" s="31"/>
      <c r="DB258" s="31"/>
      <c r="DC258" s="31"/>
      <c r="DD258" s="31"/>
      <c r="DE258" s="31"/>
      <c r="DF258" s="31"/>
      <c r="DG258" s="31"/>
      <c r="DH258" s="31"/>
      <c r="DI258" s="31"/>
      <c r="DJ258" s="31"/>
      <c r="DK258" s="31"/>
      <c r="DL258" s="31"/>
      <c r="DM258" s="31"/>
      <c r="DN258" s="31"/>
      <c r="DO258" s="31"/>
      <c r="DP258" s="31"/>
      <c r="DQ258" s="31"/>
      <c r="DR258" s="31"/>
      <c r="DS258" s="31"/>
      <c r="DT258" s="31"/>
      <c r="DU258" s="31"/>
      <c r="DV258" s="31"/>
      <c r="DW258" s="31"/>
      <c r="DX258" s="31"/>
      <c r="DY258" s="31"/>
      <c r="DZ258" s="31"/>
      <c r="EA258" s="31"/>
      <c r="EB258" s="31"/>
      <c r="EC258" s="31"/>
      <c r="ED258" s="31"/>
      <c r="EE258" s="31"/>
      <c r="EF258" s="31"/>
      <c r="EG258" s="31"/>
      <c r="EH258" s="31"/>
      <c r="EI258" s="31"/>
      <c r="EJ258" s="31"/>
      <c r="EK258" s="31"/>
      <c r="EL258" s="31"/>
    </row>
    <row r="259" spans="3:142" s="28" customFormat="1" ht="21.95" hidden="1" customHeight="1" outlineLevel="1">
      <c r="C259" s="1101" t="str">
        <f>C199</f>
        <v>R 32</v>
      </c>
      <c r="D259" s="1102"/>
      <c r="E259" s="1102"/>
      <c r="F259" s="1102"/>
      <c r="G259" s="1102"/>
      <c r="H259" s="1102"/>
      <c r="I259" s="1102"/>
      <c r="J259" s="1103" t="s">
        <v>52</v>
      </c>
      <c r="K259" s="1103"/>
      <c r="L259" s="1103"/>
      <c r="M259" s="640"/>
      <c r="N259" s="1091">
        <v>0.15</v>
      </c>
      <c r="O259" s="1091">
        <v>0.12</v>
      </c>
      <c r="P259" s="1091">
        <v>0.2</v>
      </c>
      <c r="Q259" s="1091">
        <v>0.2</v>
      </c>
      <c r="R259" s="1091">
        <v>0.15</v>
      </c>
      <c r="S259" s="1091">
        <v>0.15</v>
      </c>
      <c r="T259" s="1092"/>
      <c r="U259" s="1091">
        <v>0.15</v>
      </c>
      <c r="V259" s="1091">
        <v>0.12</v>
      </c>
      <c r="W259" s="1091">
        <v>0.2</v>
      </c>
      <c r="X259" s="1091">
        <v>0.2</v>
      </c>
      <c r="Y259" s="1091">
        <v>0.15</v>
      </c>
      <c r="Z259" s="1091">
        <v>0.15</v>
      </c>
      <c r="AA259" s="1092"/>
      <c r="AB259" s="1091">
        <v>0.15</v>
      </c>
      <c r="AC259" s="1091">
        <v>0.12</v>
      </c>
      <c r="AD259" s="1091">
        <v>0.2</v>
      </c>
      <c r="AE259" s="1091">
        <v>0.2</v>
      </c>
      <c r="AF259" s="1091">
        <v>0.15</v>
      </c>
      <c r="AG259" s="1091">
        <v>0.15</v>
      </c>
      <c r="AJ259" s="1031" t="s">
        <v>1000</v>
      </c>
      <c r="AN259" s="31"/>
      <c r="AO259" s="31"/>
      <c r="AP259" s="31"/>
      <c r="AQ259" s="31"/>
      <c r="AR259" s="31"/>
      <c r="AS259" s="31"/>
      <c r="AT259" s="31"/>
      <c r="AU259" s="31"/>
      <c r="AV259" s="31"/>
      <c r="AW259" s="1086"/>
      <c r="AX259" s="1086"/>
      <c r="AY259" s="1086"/>
      <c r="AZ259" s="31"/>
      <c r="BA259" s="31"/>
      <c r="BB259" s="31"/>
      <c r="BC259" s="31"/>
      <c r="BD259" s="31"/>
      <c r="BE259" s="31"/>
      <c r="BF259" s="31"/>
      <c r="BG259" s="31"/>
      <c r="BH259" s="31"/>
      <c r="BI259" s="1086"/>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c r="CH259" s="31"/>
      <c r="CI259" s="31"/>
      <c r="CJ259" s="31"/>
      <c r="CK259" s="31"/>
      <c r="CL259" s="31"/>
      <c r="CM259" s="31"/>
      <c r="CN259" s="31"/>
      <c r="CO259" s="31"/>
      <c r="CP259" s="31"/>
      <c r="CQ259" s="31"/>
      <c r="CR259" s="31"/>
      <c r="CS259" s="31"/>
      <c r="CT259" s="31"/>
      <c r="CU259" s="31"/>
      <c r="CV259" s="31"/>
      <c r="CW259" s="31"/>
      <c r="CX259" s="31"/>
      <c r="CY259" s="31"/>
      <c r="CZ259" s="31"/>
      <c r="DA259" s="31"/>
      <c r="DB259" s="31"/>
      <c r="DC259" s="31"/>
      <c r="DD259" s="31"/>
      <c r="DE259" s="31"/>
      <c r="DF259" s="31"/>
      <c r="DG259" s="31"/>
      <c r="DH259" s="31"/>
      <c r="DI259" s="31"/>
      <c r="DJ259" s="31"/>
      <c r="DK259" s="31"/>
      <c r="DL259" s="31"/>
      <c r="DM259" s="31"/>
      <c r="DN259" s="31"/>
      <c r="DO259" s="31"/>
      <c r="DP259" s="31"/>
      <c r="DQ259" s="31"/>
      <c r="DR259" s="31"/>
      <c r="DS259" s="31"/>
      <c r="DT259" s="31"/>
      <c r="DU259" s="31"/>
      <c r="DV259" s="31"/>
      <c r="DW259" s="31"/>
      <c r="DX259" s="31"/>
      <c r="DY259" s="31"/>
      <c r="DZ259" s="31"/>
      <c r="EA259" s="31"/>
      <c r="EB259" s="31"/>
      <c r="EC259" s="31"/>
      <c r="ED259" s="31"/>
      <c r="EE259" s="31"/>
      <c r="EF259" s="31"/>
      <c r="EG259" s="31"/>
      <c r="EH259" s="31"/>
      <c r="EI259" s="31"/>
      <c r="EJ259" s="31"/>
      <c r="EK259" s="31"/>
      <c r="EL259" s="31"/>
    </row>
    <row r="260" spans="3:142" s="28" customFormat="1" ht="21.95" hidden="1" customHeight="1" outlineLevel="1">
      <c r="C260" s="1101" t="str">
        <f t="shared" ref="C260:C281" si="11">C200</f>
        <v>R134a</v>
      </c>
      <c r="D260" s="1102"/>
      <c r="E260" s="1102"/>
      <c r="F260" s="1102"/>
      <c r="G260" s="1102"/>
      <c r="H260" s="1102"/>
      <c r="I260" s="1102"/>
      <c r="J260" s="1103" t="s">
        <v>53</v>
      </c>
      <c r="K260" s="1103"/>
      <c r="L260" s="1103"/>
      <c r="M260" s="640"/>
      <c r="N260" s="1091">
        <v>0.15</v>
      </c>
      <c r="O260" s="1091">
        <v>0.12</v>
      </c>
      <c r="P260" s="1091">
        <v>0.2</v>
      </c>
      <c r="Q260" s="1091">
        <v>0.2</v>
      </c>
      <c r="R260" s="1091">
        <v>0.15</v>
      </c>
      <c r="S260" s="1091">
        <v>0.15</v>
      </c>
      <c r="T260" s="1092"/>
      <c r="U260" s="1091">
        <v>0.15</v>
      </c>
      <c r="V260" s="1091">
        <v>0.12</v>
      </c>
      <c r="W260" s="1091">
        <v>0.2</v>
      </c>
      <c r="X260" s="1091">
        <v>0.2</v>
      </c>
      <c r="Y260" s="1091">
        <v>0.15</v>
      </c>
      <c r="Z260" s="1091">
        <v>0.15</v>
      </c>
      <c r="AA260" s="1092"/>
      <c r="AB260" s="1091">
        <v>0.15</v>
      </c>
      <c r="AC260" s="1091">
        <v>0.12</v>
      </c>
      <c r="AD260" s="1091">
        <v>0.2</v>
      </c>
      <c r="AE260" s="1091">
        <v>0.2</v>
      </c>
      <c r="AF260" s="1091">
        <v>0.15</v>
      </c>
      <c r="AG260" s="1091">
        <v>0.15</v>
      </c>
      <c r="AJ260" s="1031" t="s">
        <v>1000</v>
      </c>
      <c r="AN260" s="31"/>
      <c r="AO260" s="31"/>
      <c r="AP260" s="31"/>
      <c r="AQ260" s="31"/>
      <c r="AR260" s="31"/>
      <c r="AS260" s="31"/>
      <c r="AT260" s="31"/>
      <c r="AU260" s="31"/>
      <c r="AV260" s="31"/>
      <c r="AW260" s="1086"/>
      <c r="AX260" s="1086"/>
      <c r="AY260" s="1086"/>
      <c r="AZ260" s="31"/>
      <c r="BA260" s="31"/>
      <c r="BB260" s="31"/>
      <c r="BC260" s="31"/>
      <c r="BD260" s="31"/>
      <c r="BE260" s="31"/>
      <c r="BF260" s="31"/>
      <c r="BG260" s="31"/>
      <c r="BH260" s="31"/>
      <c r="BI260" s="1086"/>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c r="CH260" s="31"/>
      <c r="CI260" s="31"/>
      <c r="CJ260" s="31"/>
      <c r="CK260" s="31"/>
      <c r="CL260" s="31"/>
      <c r="CM260" s="31"/>
      <c r="CN260" s="31"/>
      <c r="CO260" s="31"/>
      <c r="CP260" s="31"/>
      <c r="CQ260" s="31"/>
      <c r="CR260" s="31"/>
      <c r="CS260" s="31"/>
      <c r="CT260" s="31"/>
      <c r="CU260" s="31"/>
      <c r="CV260" s="31"/>
      <c r="CW260" s="31"/>
      <c r="CX260" s="31"/>
      <c r="CY260" s="31"/>
      <c r="CZ260" s="31"/>
      <c r="DA260" s="31"/>
      <c r="DB260" s="31"/>
      <c r="DC260" s="31"/>
      <c r="DD260" s="31"/>
      <c r="DE260" s="31"/>
      <c r="DF260" s="31"/>
      <c r="DG260" s="31"/>
      <c r="DH260" s="31"/>
      <c r="DI260" s="31"/>
      <c r="DJ260" s="31"/>
      <c r="DK260" s="31"/>
      <c r="DL260" s="31"/>
      <c r="DM260" s="31"/>
      <c r="DN260" s="31"/>
      <c r="DO260" s="31"/>
      <c r="DP260" s="31"/>
      <c r="DQ260" s="31"/>
      <c r="DR260" s="31"/>
      <c r="DS260" s="31"/>
      <c r="DT260" s="31"/>
      <c r="DU260" s="31"/>
      <c r="DV260" s="31"/>
      <c r="DW260" s="31"/>
      <c r="DX260" s="31"/>
      <c r="DY260" s="31"/>
      <c r="DZ260" s="31"/>
      <c r="EA260" s="31"/>
      <c r="EB260" s="31"/>
      <c r="EC260" s="31"/>
      <c r="ED260" s="31"/>
      <c r="EE260" s="31"/>
      <c r="EF260" s="31"/>
      <c r="EG260" s="31"/>
      <c r="EH260" s="31"/>
      <c r="EI260" s="31"/>
      <c r="EJ260" s="31"/>
      <c r="EK260" s="31"/>
      <c r="EL260" s="31"/>
    </row>
    <row r="261" spans="3:142" s="28" customFormat="1" ht="21.95" hidden="1" customHeight="1" outlineLevel="1">
      <c r="C261" s="1123" t="str">
        <f t="shared" si="11"/>
        <v>R290 (Propan)</v>
      </c>
      <c r="D261" s="1104"/>
      <c r="E261" s="1104"/>
      <c r="F261" s="1104"/>
      <c r="G261" s="1104"/>
      <c r="H261" s="1104"/>
      <c r="I261" s="1104"/>
      <c r="J261" s="1103" t="s">
        <v>307</v>
      </c>
      <c r="K261" s="1103"/>
      <c r="L261" s="1103"/>
      <c r="M261" s="640"/>
      <c r="N261" s="1093">
        <v>0.1</v>
      </c>
      <c r="O261" s="1093">
        <v>0.1</v>
      </c>
      <c r="P261" s="1093">
        <v>0.1</v>
      </c>
      <c r="Q261" s="1093">
        <v>0.1</v>
      </c>
      <c r="R261" s="1093">
        <v>0.1</v>
      </c>
      <c r="S261" s="1093">
        <v>0.1</v>
      </c>
      <c r="T261" s="1092"/>
      <c r="U261" s="1094">
        <v>0.1</v>
      </c>
      <c r="V261" s="1094">
        <v>0.1</v>
      </c>
      <c r="W261" s="1094">
        <v>0.1</v>
      </c>
      <c r="X261" s="1094">
        <v>0.1</v>
      </c>
      <c r="Y261" s="1093">
        <v>0.1</v>
      </c>
      <c r="Z261" s="1093">
        <v>0.1</v>
      </c>
      <c r="AA261" s="1092"/>
      <c r="AB261" s="1094">
        <v>0.1</v>
      </c>
      <c r="AC261" s="1094">
        <v>0.1</v>
      </c>
      <c r="AD261" s="1094">
        <v>0.1</v>
      </c>
      <c r="AE261" s="1094">
        <v>0.1</v>
      </c>
      <c r="AF261" s="1093">
        <v>0.1</v>
      </c>
      <c r="AG261" s="1093">
        <v>0.1</v>
      </c>
      <c r="AJ261" s="1124" t="s">
        <v>1002</v>
      </c>
      <c r="AK261" s="973"/>
      <c r="AL261" s="973"/>
      <c r="AM261" s="973"/>
      <c r="AN261" s="972"/>
      <c r="AO261" s="972"/>
      <c r="AP261" s="972"/>
      <c r="AQ261" s="972"/>
      <c r="AR261" s="972"/>
      <c r="AS261" s="264"/>
      <c r="AT261" s="264"/>
      <c r="AU261" s="31"/>
      <c r="AV261" s="31"/>
      <c r="AW261" s="1087"/>
      <c r="AX261" s="1086"/>
      <c r="AY261" s="1086"/>
      <c r="AZ261" s="31"/>
      <c r="BA261" s="31"/>
      <c r="BB261" s="31"/>
      <c r="BC261" s="31"/>
      <c r="BD261" s="31"/>
      <c r="BE261" s="31"/>
      <c r="BF261" s="31"/>
      <c r="BG261" s="31"/>
      <c r="BH261" s="31"/>
      <c r="BI261" s="1086"/>
      <c r="BJ261" s="31"/>
      <c r="BK261" s="31"/>
      <c r="BL261" s="31"/>
      <c r="BM261" s="31"/>
      <c r="BN261" s="31"/>
      <c r="BO261" s="31"/>
      <c r="BP261" s="31"/>
      <c r="BQ261" s="31"/>
      <c r="BR261" s="31"/>
      <c r="BS261" s="31"/>
      <c r="BT261" s="31"/>
      <c r="BU261" s="31"/>
      <c r="BV261" s="31"/>
      <c r="BW261" s="31"/>
      <c r="BX261" s="31"/>
      <c r="BY261" s="31"/>
      <c r="BZ261" s="31"/>
      <c r="CA261" s="31"/>
      <c r="CB261" s="31"/>
      <c r="CC261" s="31"/>
      <c r="CD261" s="31"/>
      <c r="CE261" s="31"/>
      <c r="CF261" s="31"/>
      <c r="CG261" s="31"/>
      <c r="CH261" s="31"/>
      <c r="CI261" s="31"/>
      <c r="CJ261" s="31"/>
      <c r="CK261" s="31"/>
      <c r="CL261" s="31"/>
      <c r="CM261" s="31"/>
      <c r="CN261" s="31"/>
      <c r="CO261" s="31"/>
      <c r="CP261" s="31"/>
      <c r="CQ261" s="31"/>
      <c r="CR261" s="31"/>
      <c r="CS261" s="31"/>
      <c r="CT261" s="31"/>
      <c r="CU261" s="31"/>
      <c r="CV261" s="31"/>
      <c r="CW261" s="31"/>
      <c r="CX261" s="31"/>
      <c r="CY261" s="31"/>
      <c r="CZ261" s="31"/>
      <c r="DA261" s="31"/>
      <c r="DB261" s="31"/>
      <c r="DC261" s="31"/>
      <c r="DD261" s="31"/>
      <c r="DE261" s="31"/>
      <c r="DF261" s="31"/>
      <c r="DG261" s="31"/>
      <c r="DH261" s="31"/>
      <c r="DI261" s="31"/>
      <c r="DJ261" s="31"/>
      <c r="DK261" s="31"/>
      <c r="DL261" s="31"/>
      <c r="DM261" s="31"/>
      <c r="DN261" s="31"/>
      <c r="DO261" s="31"/>
      <c r="DP261" s="31"/>
      <c r="DQ261" s="31"/>
      <c r="DR261" s="31"/>
      <c r="DS261" s="31"/>
      <c r="DT261" s="31"/>
      <c r="DU261" s="31"/>
      <c r="DV261" s="31"/>
      <c r="DW261" s="31"/>
      <c r="DX261" s="31"/>
      <c r="DY261" s="31"/>
      <c r="DZ261" s="31"/>
      <c r="EA261" s="31"/>
      <c r="EB261" s="31"/>
      <c r="EC261" s="31"/>
      <c r="ED261" s="31"/>
      <c r="EE261" s="31"/>
      <c r="EF261" s="31"/>
      <c r="EG261" s="31"/>
      <c r="EH261" s="31"/>
      <c r="EI261" s="31"/>
      <c r="EJ261" s="31"/>
      <c r="EK261" s="31"/>
      <c r="EL261" s="31"/>
    </row>
    <row r="262" spans="3:142" s="28" customFormat="1" ht="21.95" hidden="1" customHeight="1" outlineLevel="1">
      <c r="C262" s="1101" t="str">
        <f t="shared" si="11"/>
        <v>R404A</v>
      </c>
      <c r="D262" s="1102"/>
      <c r="E262" s="1102"/>
      <c r="F262" s="1102"/>
      <c r="G262" s="1102"/>
      <c r="H262" s="1102"/>
      <c r="I262" s="1102"/>
      <c r="J262" s="1103" t="s">
        <v>19</v>
      </c>
      <c r="K262" s="1103"/>
      <c r="L262" s="1103"/>
      <c r="M262" s="640"/>
      <c r="N262" s="1091">
        <v>0.15</v>
      </c>
      <c r="O262" s="1091">
        <v>0.12</v>
      </c>
      <c r="P262" s="1091">
        <v>0.2</v>
      </c>
      <c r="Q262" s="1091">
        <v>0.2</v>
      </c>
      <c r="R262" s="1091">
        <v>0.15</v>
      </c>
      <c r="S262" s="1091">
        <v>0.15</v>
      </c>
      <c r="T262" s="1092"/>
      <c r="U262" s="1091">
        <v>0.15</v>
      </c>
      <c r="V262" s="1091">
        <v>0.12</v>
      </c>
      <c r="W262" s="1091">
        <v>0.2</v>
      </c>
      <c r="X262" s="1091">
        <v>0.2</v>
      </c>
      <c r="Y262" s="1091">
        <v>0.15</v>
      </c>
      <c r="Z262" s="1091">
        <v>0.15</v>
      </c>
      <c r="AA262" s="1092"/>
      <c r="AB262" s="1091">
        <v>0.15</v>
      </c>
      <c r="AC262" s="1091">
        <v>0.12</v>
      </c>
      <c r="AD262" s="1091">
        <v>0.2</v>
      </c>
      <c r="AE262" s="1091">
        <v>0.2</v>
      </c>
      <c r="AF262" s="1091">
        <v>0.15</v>
      </c>
      <c r="AG262" s="1091">
        <v>0.15</v>
      </c>
      <c r="AH262" s="220"/>
      <c r="AI262" s="220"/>
      <c r="AJ262" s="1031" t="s">
        <v>1000</v>
      </c>
      <c r="AK262" s="220"/>
      <c r="AL262" s="220"/>
      <c r="AM262" s="220"/>
      <c r="AN262" s="31"/>
      <c r="AO262" s="31"/>
      <c r="AP262" s="31"/>
      <c r="AQ262" s="31"/>
      <c r="AR262" s="31"/>
      <c r="AS262" s="31"/>
      <c r="AT262" s="31"/>
      <c r="AU262" s="31"/>
      <c r="AV262" s="31"/>
      <c r="AW262" s="1086"/>
      <c r="AX262" s="1086"/>
      <c r="AY262" s="1086"/>
      <c r="AZ262" s="31"/>
      <c r="BA262" s="31"/>
      <c r="BB262" s="31"/>
      <c r="BC262" s="31"/>
      <c r="BD262" s="31"/>
      <c r="BE262" s="31"/>
      <c r="BF262" s="31"/>
      <c r="BG262" s="31"/>
      <c r="BH262" s="31"/>
      <c r="BI262" s="1086"/>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c r="CH262" s="31"/>
      <c r="CI262" s="31"/>
      <c r="CJ262" s="31"/>
      <c r="CK262" s="31"/>
      <c r="CL262" s="31"/>
      <c r="CM262" s="31"/>
      <c r="CN262" s="31"/>
      <c r="CO262" s="31"/>
      <c r="CP262" s="31"/>
      <c r="CQ262" s="31"/>
      <c r="CR262" s="31"/>
      <c r="CS262" s="31"/>
      <c r="CT262" s="31"/>
      <c r="CU262" s="31"/>
      <c r="CV262" s="31"/>
      <c r="CW262" s="31"/>
      <c r="CX262" s="31"/>
      <c r="CY262" s="31"/>
      <c r="CZ262" s="31"/>
      <c r="DA262" s="31"/>
      <c r="DB262" s="31"/>
      <c r="DC262" s="31"/>
      <c r="DD262" s="31"/>
      <c r="DE262" s="31"/>
      <c r="DF262" s="31"/>
      <c r="DG262" s="31"/>
      <c r="DH262" s="31"/>
      <c r="DI262" s="31"/>
      <c r="DJ262" s="31"/>
      <c r="DK262" s="31"/>
      <c r="DL262" s="31"/>
      <c r="DM262" s="31"/>
      <c r="DN262" s="31"/>
      <c r="DO262" s="31"/>
      <c r="DP262" s="31"/>
      <c r="DQ262" s="31"/>
      <c r="DR262" s="31"/>
      <c r="DS262" s="31"/>
      <c r="DT262" s="31"/>
      <c r="DU262" s="31"/>
      <c r="DV262" s="31"/>
      <c r="DW262" s="31"/>
      <c r="DX262" s="31"/>
      <c r="DY262" s="31"/>
      <c r="DZ262" s="31"/>
      <c r="EA262" s="31"/>
      <c r="EB262" s="31"/>
      <c r="EC262" s="31"/>
      <c r="ED262" s="31"/>
      <c r="EE262" s="31"/>
      <c r="EF262" s="31"/>
      <c r="EG262" s="31"/>
      <c r="EH262" s="31"/>
      <c r="EI262" s="31"/>
      <c r="EJ262" s="31"/>
      <c r="EK262" s="31"/>
      <c r="EL262" s="31"/>
    </row>
    <row r="263" spans="3:142" s="28" customFormat="1" ht="21.95" hidden="1" customHeight="1" outlineLevel="1">
      <c r="C263" s="1101" t="str">
        <f t="shared" si="11"/>
        <v>R407C</v>
      </c>
      <c r="D263" s="1102"/>
      <c r="E263" s="1102"/>
      <c r="F263" s="1102"/>
      <c r="G263" s="1102"/>
      <c r="H263" s="1102"/>
      <c r="I263" s="1102"/>
      <c r="J263" s="1103" t="s">
        <v>54</v>
      </c>
      <c r="K263" s="1103"/>
      <c r="L263" s="1103"/>
      <c r="M263" s="640"/>
      <c r="N263" s="1091">
        <v>0.15</v>
      </c>
      <c r="O263" s="1091">
        <v>0.12</v>
      </c>
      <c r="P263" s="1091">
        <v>0.2</v>
      </c>
      <c r="Q263" s="1091">
        <v>0.2</v>
      </c>
      <c r="R263" s="1091">
        <v>0.15</v>
      </c>
      <c r="S263" s="1091">
        <v>0.15</v>
      </c>
      <c r="T263" s="1092"/>
      <c r="U263" s="1091">
        <v>0.15</v>
      </c>
      <c r="V263" s="1091">
        <v>0.12</v>
      </c>
      <c r="W263" s="1091">
        <v>0.2</v>
      </c>
      <c r="X263" s="1091">
        <v>0.2</v>
      </c>
      <c r="Y263" s="1091">
        <v>0.15</v>
      </c>
      <c r="Z263" s="1091">
        <v>0.15</v>
      </c>
      <c r="AA263" s="1092"/>
      <c r="AB263" s="1091">
        <v>0.15</v>
      </c>
      <c r="AC263" s="1091">
        <v>0.12</v>
      </c>
      <c r="AD263" s="1091">
        <v>0.2</v>
      </c>
      <c r="AE263" s="1091">
        <v>0.2</v>
      </c>
      <c r="AF263" s="1091">
        <v>0.15</v>
      </c>
      <c r="AG263" s="1091">
        <v>0.15</v>
      </c>
      <c r="AH263" s="220"/>
      <c r="AI263" s="220"/>
      <c r="AJ263" s="1031" t="s">
        <v>1000</v>
      </c>
      <c r="AK263" s="220"/>
      <c r="AL263" s="220"/>
      <c r="AM263" s="220"/>
      <c r="AN263" s="31"/>
      <c r="AO263" s="31"/>
      <c r="AP263" s="31"/>
      <c r="AQ263" s="31"/>
      <c r="AR263" s="31"/>
      <c r="AS263" s="31"/>
      <c r="AT263" s="31"/>
      <c r="AU263" s="31"/>
      <c r="AV263" s="31"/>
      <c r="AW263" s="1086"/>
      <c r="AX263" s="1086"/>
      <c r="AY263" s="1086"/>
      <c r="AZ263" s="31"/>
      <c r="BA263" s="31"/>
      <c r="BB263" s="31"/>
      <c r="BC263" s="31"/>
      <c r="BD263" s="31"/>
      <c r="BE263" s="31"/>
      <c r="BF263" s="31"/>
      <c r="BG263" s="31"/>
      <c r="BH263" s="31"/>
      <c r="BI263" s="1086"/>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c r="CU263" s="31"/>
      <c r="CV263" s="31"/>
      <c r="CW263" s="31"/>
      <c r="CX263" s="31"/>
      <c r="CY263" s="31"/>
      <c r="CZ263" s="31"/>
      <c r="DA263" s="31"/>
      <c r="DB263" s="31"/>
      <c r="DC263" s="31"/>
      <c r="DD263" s="31"/>
      <c r="DE263" s="31"/>
      <c r="DF263" s="31"/>
      <c r="DG263" s="31"/>
      <c r="DH263" s="31"/>
      <c r="DI263" s="31"/>
      <c r="DJ263" s="31"/>
      <c r="DK263" s="31"/>
      <c r="DL263" s="31"/>
      <c r="DM263" s="31"/>
      <c r="DN263" s="31"/>
      <c r="DO263" s="31"/>
      <c r="DP263" s="31"/>
      <c r="DQ263" s="31"/>
      <c r="DR263" s="31"/>
      <c r="DS263" s="31"/>
      <c r="DT263" s="31"/>
      <c r="DU263" s="31"/>
      <c r="DV263" s="31"/>
      <c r="DW263" s="31"/>
      <c r="DX263" s="31"/>
      <c r="DY263" s="31"/>
      <c r="DZ263" s="31"/>
      <c r="EA263" s="31"/>
      <c r="EB263" s="31"/>
      <c r="EC263" s="31"/>
      <c r="ED263" s="31"/>
      <c r="EE263" s="31"/>
      <c r="EF263" s="31"/>
      <c r="EG263" s="31"/>
      <c r="EH263" s="31"/>
      <c r="EI263" s="31"/>
      <c r="EJ263" s="31"/>
      <c r="EK263" s="31"/>
      <c r="EL263" s="31"/>
    </row>
    <row r="264" spans="3:142" s="28" customFormat="1" ht="21.95" hidden="1" customHeight="1" outlineLevel="1">
      <c r="C264" s="1101" t="str">
        <f t="shared" si="11"/>
        <v>R407F</v>
      </c>
      <c r="D264" s="1102"/>
      <c r="E264" s="1102"/>
      <c r="F264" s="1102"/>
      <c r="G264" s="1102"/>
      <c r="H264" s="1102"/>
      <c r="I264" s="1102"/>
      <c r="J264" s="1103" t="s">
        <v>55</v>
      </c>
      <c r="K264" s="1103"/>
      <c r="L264" s="1103"/>
      <c r="M264" s="640"/>
      <c r="N264" s="1091">
        <v>0.15</v>
      </c>
      <c r="O264" s="1091">
        <v>0.12</v>
      </c>
      <c r="P264" s="1091">
        <v>0.2</v>
      </c>
      <c r="Q264" s="1091">
        <v>0.2</v>
      </c>
      <c r="R264" s="1091">
        <v>0.15</v>
      </c>
      <c r="S264" s="1091">
        <v>0.15</v>
      </c>
      <c r="T264" s="1092"/>
      <c r="U264" s="1091">
        <v>0.15</v>
      </c>
      <c r="V264" s="1091">
        <v>0.12</v>
      </c>
      <c r="W264" s="1091">
        <v>0.2</v>
      </c>
      <c r="X264" s="1091">
        <v>0.2</v>
      </c>
      <c r="Y264" s="1091">
        <v>0.15</v>
      </c>
      <c r="Z264" s="1091">
        <v>0.15</v>
      </c>
      <c r="AA264" s="1092"/>
      <c r="AB264" s="1091">
        <v>0.15</v>
      </c>
      <c r="AC264" s="1091">
        <v>0.12</v>
      </c>
      <c r="AD264" s="1091">
        <v>0.2</v>
      </c>
      <c r="AE264" s="1091">
        <v>0.2</v>
      </c>
      <c r="AF264" s="1091">
        <v>0.15</v>
      </c>
      <c r="AG264" s="1091">
        <v>0.15</v>
      </c>
      <c r="AH264" s="220"/>
      <c r="AI264" s="220"/>
      <c r="AJ264" s="1031" t="s">
        <v>1000</v>
      </c>
      <c r="AK264" s="220"/>
      <c r="AL264" s="220"/>
      <c r="AM264" s="220"/>
      <c r="AN264" s="31"/>
      <c r="AO264" s="31"/>
      <c r="AP264" s="31"/>
      <c r="AQ264" s="31"/>
      <c r="AR264" s="31"/>
      <c r="AS264" s="31"/>
      <c r="AT264" s="31"/>
      <c r="AU264" s="31"/>
      <c r="AV264" s="31"/>
      <c r="AW264" s="1086"/>
      <c r="AX264" s="1086"/>
      <c r="AY264" s="1086"/>
      <c r="AZ264" s="31"/>
      <c r="BA264" s="31"/>
      <c r="BB264" s="31"/>
      <c r="BC264" s="31"/>
      <c r="BD264" s="31"/>
      <c r="BE264" s="31"/>
      <c r="BF264" s="31"/>
      <c r="BG264" s="31"/>
      <c r="BH264" s="31"/>
      <c r="BI264" s="1086"/>
      <c r="BJ264" s="31"/>
      <c r="BK264" s="31"/>
      <c r="BL264" s="31"/>
      <c r="BM264" s="31"/>
      <c r="BN264" s="31"/>
      <c r="BO264" s="31"/>
      <c r="BP264" s="31"/>
      <c r="BQ264" s="31"/>
      <c r="BR264" s="31"/>
      <c r="BS264" s="31"/>
      <c r="BT264" s="31"/>
      <c r="BU264" s="31"/>
      <c r="BV264" s="31"/>
      <c r="BW264" s="31"/>
      <c r="BX264" s="31"/>
      <c r="BY264" s="31"/>
      <c r="BZ264" s="31"/>
      <c r="CA264" s="31"/>
      <c r="CB264" s="31"/>
      <c r="CC264" s="31"/>
      <c r="CD264" s="31"/>
      <c r="CE264" s="31"/>
      <c r="CF264" s="31"/>
      <c r="CG264" s="31"/>
      <c r="CH264" s="31"/>
      <c r="CI264" s="31"/>
      <c r="CJ264" s="31"/>
      <c r="CK264" s="31"/>
      <c r="CL264" s="31"/>
      <c r="CM264" s="31"/>
      <c r="CN264" s="31"/>
      <c r="CO264" s="31"/>
      <c r="CP264" s="31"/>
      <c r="CQ264" s="31"/>
      <c r="CR264" s="31"/>
      <c r="CS264" s="31"/>
      <c r="CT264" s="31"/>
      <c r="CU264" s="31"/>
      <c r="CV264" s="31"/>
      <c r="CW264" s="31"/>
      <c r="CX264" s="31"/>
      <c r="CY264" s="31"/>
      <c r="CZ264" s="31"/>
      <c r="DA264" s="31"/>
      <c r="DB264" s="31"/>
      <c r="DC264" s="31"/>
      <c r="DD264" s="31"/>
      <c r="DE264" s="31"/>
      <c r="DF264" s="31"/>
      <c r="DG264" s="31"/>
      <c r="DH264" s="31"/>
      <c r="DI264" s="31"/>
      <c r="DJ264" s="31"/>
      <c r="DK264" s="31"/>
      <c r="DL264" s="31"/>
      <c r="DM264" s="31"/>
      <c r="DN264" s="31"/>
      <c r="DO264" s="31"/>
      <c r="DP264" s="31"/>
      <c r="DQ264" s="31"/>
      <c r="DR264" s="31"/>
      <c r="DS264" s="31"/>
      <c r="DT264" s="31"/>
      <c r="DU264" s="31"/>
      <c r="DV264" s="31"/>
      <c r="DW264" s="31"/>
      <c r="DX264" s="31"/>
      <c r="DY264" s="31"/>
      <c r="DZ264" s="31"/>
      <c r="EA264" s="31"/>
      <c r="EB264" s="31"/>
      <c r="EC264" s="31"/>
      <c r="ED264" s="31"/>
      <c r="EE264" s="31"/>
      <c r="EF264" s="31"/>
      <c r="EG264" s="31"/>
      <c r="EH264" s="31"/>
      <c r="EI264" s="31"/>
      <c r="EJ264" s="31"/>
      <c r="EK264" s="31"/>
      <c r="EL264" s="31"/>
    </row>
    <row r="265" spans="3:142" s="28" customFormat="1" ht="21.95" hidden="1" customHeight="1" outlineLevel="1">
      <c r="C265" s="1101" t="str">
        <f t="shared" si="11"/>
        <v>R410A</v>
      </c>
      <c r="D265" s="1102"/>
      <c r="E265" s="1102"/>
      <c r="F265" s="1102"/>
      <c r="G265" s="1102"/>
      <c r="H265" s="1102"/>
      <c r="I265" s="1102"/>
      <c r="J265" s="1103" t="s">
        <v>56</v>
      </c>
      <c r="K265" s="1103"/>
      <c r="L265" s="1103"/>
      <c r="M265" s="640"/>
      <c r="N265" s="1091">
        <v>0.15</v>
      </c>
      <c r="O265" s="1091">
        <v>0.12</v>
      </c>
      <c r="P265" s="1091">
        <v>0.2</v>
      </c>
      <c r="Q265" s="1091">
        <v>0.2</v>
      </c>
      <c r="R265" s="1091">
        <v>0.15</v>
      </c>
      <c r="S265" s="1091">
        <v>0.15</v>
      </c>
      <c r="T265" s="1092"/>
      <c r="U265" s="1091">
        <v>0.15</v>
      </c>
      <c r="V265" s="1091">
        <v>0.12</v>
      </c>
      <c r="W265" s="1091">
        <v>0.2</v>
      </c>
      <c r="X265" s="1091">
        <v>0.2</v>
      </c>
      <c r="Y265" s="1091">
        <v>0.15</v>
      </c>
      <c r="Z265" s="1091">
        <v>0.15</v>
      </c>
      <c r="AA265" s="1092"/>
      <c r="AB265" s="1091">
        <v>0.15</v>
      </c>
      <c r="AC265" s="1091">
        <v>0.12</v>
      </c>
      <c r="AD265" s="1091">
        <v>0.2</v>
      </c>
      <c r="AE265" s="1091">
        <v>0.2</v>
      </c>
      <c r="AF265" s="1091">
        <v>0.15</v>
      </c>
      <c r="AG265" s="1091">
        <v>0.15</v>
      </c>
      <c r="AH265" s="220"/>
      <c r="AI265" s="220"/>
      <c r="AJ265" s="1031" t="s">
        <v>1000</v>
      </c>
      <c r="AK265" s="220"/>
      <c r="AL265" s="220"/>
      <c r="AM265" s="220"/>
      <c r="AN265" s="31"/>
      <c r="AO265" s="31"/>
      <c r="AP265" s="31"/>
      <c r="AQ265" s="31"/>
      <c r="AR265" s="31"/>
      <c r="AS265" s="31"/>
      <c r="AT265" s="31"/>
      <c r="AU265" s="31"/>
      <c r="AV265" s="31"/>
      <c r="AW265" s="1086"/>
      <c r="AX265" s="1086"/>
      <c r="AY265" s="1086"/>
      <c r="AZ265" s="31"/>
      <c r="BA265" s="31"/>
      <c r="BB265" s="31"/>
      <c r="BC265" s="31"/>
      <c r="BD265" s="31"/>
      <c r="BE265" s="31"/>
      <c r="BF265" s="31"/>
      <c r="BG265" s="31"/>
      <c r="BH265" s="31"/>
      <c r="BI265" s="1086"/>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c r="CU265" s="31"/>
      <c r="CV265" s="31"/>
      <c r="CW265" s="31"/>
      <c r="CX265" s="31"/>
      <c r="CY265" s="31"/>
      <c r="CZ265" s="31"/>
      <c r="DA265" s="31"/>
      <c r="DB265" s="31"/>
      <c r="DC265" s="31"/>
      <c r="DD265" s="31"/>
      <c r="DE265" s="31"/>
      <c r="DF265" s="31"/>
      <c r="DG265" s="31"/>
      <c r="DH265" s="31"/>
      <c r="DI265" s="31"/>
      <c r="DJ265" s="31"/>
      <c r="DK265" s="31"/>
      <c r="DL265" s="31"/>
      <c r="DM265" s="31"/>
      <c r="DN265" s="31"/>
      <c r="DO265" s="31"/>
      <c r="DP265" s="31"/>
      <c r="DQ265" s="31"/>
      <c r="DR265" s="31"/>
      <c r="DS265" s="31"/>
      <c r="DT265" s="31"/>
      <c r="DU265" s="31"/>
      <c r="DV265" s="31"/>
      <c r="DW265" s="31"/>
      <c r="DX265" s="31"/>
      <c r="DY265" s="31"/>
      <c r="DZ265" s="31"/>
      <c r="EA265" s="31"/>
      <c r="EB265" s="31"/>
      <c r="EC265" s="31"/>
      <c r="ED265" s="31"/>
      <c r="EE265" s="31"/>
      <c r="EF265" s="31"/>
      <c r="EG265" s="31"/>
      <c r="EH265" s="31"/>
      <c r="EI265" s="31"/>
      <c r="EJ265" s="31"/>
      <c r="EK265" s="31"/>
      <c r="EL265" s="31"/>
    </row>
    <row r="266" spans="3:142" s="28" customFormat="1" ht="21.95" hidden="1" customHeight="1" outlineLevel="1">
      <c r="C266" s="1101" t="str">
        <f t="shared" si="11"/>
        <v>R417A</v>
      </c>
      <c r="D266" s="1102"/>
      <c r="E266" s="1102"/>
      <c r="F266" s="1102"/>
      <c r="G266" s="1102"/>
      <c r="H266" s="1102"/>
      <c r="I266" s="1102"/>
      <c r="J266" s="1103" t="s">
        <v>57</v>
      </c>
      <c r="K266" s="1103"/>
      <c r="L266" s="1103"/>
      <c r="M266" s="640"/>
      <c r="N266" s="1091">
        <v>0.15</v>
      </c>
      <c r="O266" s="1091">
        <v>0.12</v>
      </c>
      <c r="P266" s="1091">
        <v>0.2</v>
      </c>
      <c r="Q266" s="1091">
        <v>0.2</v>
      </c>
      <c r="R266" s="1091">
        <v>0.15</v>
      </c>
      <c r="S266" s="1091">
        <v>0.15</v>
      </c>
      <c r="T266" s="1092"/>
      <c r="U266" s="1091">
        <v>0.15</v>
      </c>
      <c r="V266" s="1091">
        <v>0.12</v>
      </c>
      <c r="W266" s="1091">
        <v>0.2</v>
      </c>
      <c r="X266" s="1091">
        <v>0.2</v>
      </c>
      <c r="Y266" s="1091">
        <v>0.15</v>
      </c>
      <c r="Z266" s="1091">
        <v>0.15</v>
      </c>
      <c r="AA266" s="1092"/>
      <c r="AB266" s="1091">
        <v>0.15</v>
      </c>
      <c r="AC266" s="1091">
        <v>0.12</v>
      </c>
      <c r="AD266" s="1091">
        <v>0.2</v>
      </c>
      <c r="AE266" s="1091">
        <v>0.2</v>
      </c>
      <c r="AF266" s="1091">
        <v>0.15</v>
      </c>
      <c r="AG266" s="1091">
        <v>0.15</v>
      </c>
      <c r="AH266" s="220"/>
      <c r="AI266" s="220"/>
      <c r="AJ266" s="1031" t="s">
        <v>1000</v>
      </c>
      <c r="AK266" s="220"/>
      <c r="AL266" s="220"/>
      <c r="AM266" s="220"/>
      <c r="AN266" s="31"/>
      <c r="AO266" s="31"/>
      <c r="AP266" s="31"/>
      <c r="AQ266" s="31"/>
      <c r="AR266" s="31"/>
      <c r="AS266" s="31"/>
      <c r="AT266" s="31"/>
      <c r="AU266" s="31"/>
      <c r="AV266" s="31"/>
      <c r="AW266" s="1086"/>
      <c r="AX266" s="1086"/>
      <c r="AY266" s="1086"/>
      <c r="AZ266" s="31"/>
      <c r="BA266" s="31"/>
      <c r="BB266" s="31"/>
      <c r="BC266" s="31"/>
      <c r="BD266" s="31"/>
      <c r="BE266" s="31"/>
      <c r="BF266" s="31"/>
      <c r="BG266" s="31"/>
      <c r="BH266" s="31"/>
      <c r="BI266" s="1086"/>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31"/>
      <c r="DF266" s="31"/>
      <c r="DG266" s="31"/>
      <c r="DH266" s="31"/>
      <c r="DI266" s="31"/>
      <c r="DJ266" s="31"/>
      <c r="DK266" s="31"/>
      <c r="DL266" s="31"/>
      <c r="DM266" s="31"/>
      <c r="DN266" s="31"/>
      <c r="DO266" s="31"/>
      <c r="DP266" s="31"/>
      <c r="DQ266" s="31"/>
      <c r="DR266" s="31"/>
      <c r="DS266" s="31"/>
      <c r="DT266" s="31"/>
      <c r="DU266" s="31"/>
      <c r="DV266" s="31"/>
      <c r="DW266" s="31"/>
      <c r="DX266" s="31"/>
      <c r="DY266" s="31"/>
      <c r="DZ266" s="31"/>
      <c r="EA266" s="31"/>
      <c r="EB266" s="31"/>
      <c r="EC266" s="31"/>
      <c r="ED266" s="31"/>
      <c r="EE266" s="31"/>
      <c r="EF266" s="31"/>
      <c r="EG266" s="31"/>
      <c r="EH266" s="31"/>
      <c r="EI266" s="31"/>
      <c r="EJ266" s="31"/>
      <c r="EK266" s="31"/>
      <c r="EL266" s="31"/>
    </row>
    <row r="267" spans="3:142" s="28" customFormat="1" ht="21.95" hidden="1" customHeight="1" outlineLevel="1">
      <c r="C267" s="1101" t="str">
        <f t="shared" si="11"/>
        <v>R422A</v>
      </c>
      <c r="D267" s="1102"/>
      <c r="E267" s="1102"/>
      <c r="F267" s="1102"/>
      <c r="G267" s="1102"/>
      <c r="H267" s="1102"/>
      <c r="I267" s="1102"/>
      <c r="J267" s="1103" t="s">
        <v>58</v>
      </c>
      <c r="K267" s="1103"/>
      <c r="L267" s="1103"/>
      <c r="M267" s="640"/>
      <c r="N267" s="1091">
        <v>0.15</v>
      </c>
      <c r="O267" s="1091">
        <v>0.12</v>
      </c>
      <c r="P267" s="1091">
        <v>0.2</v>
      </c>
      <c r="Q267" s="1091">
        <v>0.2</v>
      </c>
      <c r="R267" s="1091">
        <v>0.15</v>
      </c>
      <c r="S267" s="1091">
        <v>0.15</v>
      </c>
      <c r="T267" s="1092"/>
      <c r="U267" s="1091">
        <v>0.15</v>
      </c>
      <c r="V267" s="1091">
        <v>0.12</v>
      </c>
      <c r="W267" s="1091">
        <v>0.2</v>
      </c>
      <c r="X267" s="1091">
        <v>0.2</v>
      </c>
      <c r="Y267" s="1091">
        <v>0.15</v>
      </c>
      <c r="Z267" s="1091">
        <v>0.15</v>
      </c>
      <c r="AA267" s="1092"/>
      <c r="AB267" s="1091">
        <v>0.15</v>
      </c>
      <c r="AC267" s="1091">
        <v>0.12</v>
      </c>
      <c r="AD267" s="1091">
        <v>0.2</v>
      </c>
      <c r="AE267" s="1091">
        <v>0.2</v>
      </c>
      <c r="AF267" s="1091">
        <v>0.15</v>
      </c>
      <c r="AG267" s="1091">
        <v>0.15</v>
      </c>
      <c r="AH267" s="220"/>
      <c r="AI267" s="220"/>
      <c r="AJ267" s="1031" t="s">
        <v>1000</v>
      </c>
      <c r="AK267" s="220"/>
      <c r="AL267" s="220"/>
      <c r="AM267" s="220"/>
      <c r="AN267" s="31"/>
      <c r="AO267" s="31"/>
      <c r="AP267" s="31"/>
      <c r="AQ267" s="31"/>
      <c r="AR267" s="31"/>
      <c r="AS267" s="31"/>
      <c r="AT267" s="31"/>
      <c r="AU267" s="31"/>
      <c r="AV267" s="31"/>
      <c r="AW267" s="1086"/>
      <c r="AX267" s="1086"/>
      <c r="AY267" s="1086"/>
      <c r="AZ267" s="31"/>
      <c r="BA267" s="31"/>
      <c r="BB267" s="31"/>
      <c r="BC267" s="31"/>
      <c r="BD267" s="31"/>
      <c r="BE267" s="31"/>
      <c r="BF267" s="31"/>
      <c r="BG267" s="31"/>
      <c r="BH267" s="31"/>
      <c r="BI267" s="1086"/>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31"/>
      <c r="DF267" s="31"/>
      <c r="DG267" s="31"/>
      <c r="DH267" s="31"/>
      <c r="DI267" s="31"/>
      <c r="DJ267" s="31"/>
      <c r="DK267" s="31"/>
      <c r="DL267" s="31"/>
      <c r="DM267" s="31"/>
      <c r="DN267" s="31"/>
      <c r="DO267" s="31"/>
      <c r="DP267" s="31"/>
      <c r="DQ267" s="31"/>
      <c r="DR267" s="31"/>
      <c r="DS267" s="31"/>
      <c r="DT267" s="31"/>
      <c r="DU267" s="31"/>
      <c r="DV267" s="31"/>
      <c r="DW267" s="31"/>
      <c r="DX267" s="31"/>
      <c r="DY267" s="31"/>
      <c r="DZ267" s="31"/>
      <c r="EA267" s="31"/>
      <c r="EB267" s="31"/>
      <c r="EC267" s="31"/>
      <c r="ED267" s="31"/>
      <c r="EE267" s="31"/>
      <c r="EF267" s="31"/>
      <c r="EG267" s="31"/>
      <c r="EH267" s="31"/>
      <c r="EI267" s="31"/>
      <c r="EJ267" s="31"/>
      <c r="EK267" s="31"/>
      <c r="EL267" s="31"/>
    </row>
    <row r="268" spans="3:142" s="28" customFormat="1" ht="21.95" hidden="1" customHeight="1" outlineLevel="1">
      <c r="C268" s="1101" t="str">
        <f t="shared" si="11"/>
        <v>R422D</v>
      </c>
      <c r="D268" s="1102"/>
      <c r="E268" s="1102"/>
      <c r="F268" s="1102"/>
      <c r="G268" s="1102"/>
      <c r="H268" s="1102"/>
      <c r="I268" s="1102"/>
      <c r="J268" s="1103" t="s">
        <v>59</v>
      </c>
      <c r="K268" s="1103"/>
      <c r="L268" s="1103"/>
      <c r="M268" s="640"/>
      <c r="N268" s="1091">
        <v>0.15</v>
      </c>
      <c r="O268" s="1091">
        <v>0.12</v>
      </c>
      <c r="P268" s="1091">
        <v>0.2</v>
      </c>
      <c r="Q268" s="1091">
        <v>0.2</v>
      </c>
      <c r="R268" s="1091">
        <v>0.15</v>
      </c>
      <c r="S268" s="1091">
        <v>0.15</v>
      </c>
      <c r="T268" s="1092"/>
      <c r="U268" s="1091">
        <v>0.15</v>
      </c>
      <c r="V268" s="1091">
        <v>0.12</v>
      </c>
      <c r="W268" s="1091">
        <v>0.2</v>
      </c>
      <c r="X268" s="1091">
        <v>0.2</v>
      </c>
      <c r="Y268" s="1091">
        <v>0.15</v>
      </c>
      <c r="Z268" s="1091">
        <v>0.15</v>
      </c>
      <c r="AA268" s="1092"/>
      <c r="AB268" s="1091">
        <v>0.15</v>
      </c>
      <c r="AC268" s="1091">
        <v>0.12</v>
      </c>
      <c r="AD268" s="1091">
        <v>0.2</v>
      </c>
      <c r="AE268" s="1091">
        <v>0.2</v>
      </c>
      <c r="AF268" s="1091">
        <v>0.15</v>
      </c>
      <c r="AG268" s="1091">
        <v>0.15</v>
      </c>
      <c r="AH268" s="220"/>
      <c r="AI268" s="220"/>
      <c r="AJ268" s="1031" t="s">
        <v>1000</v>
      </c>
      <c r="AK268" s="220"/>
      <c r="AL268" s="220"/>
      <c r="AM268" s="220"/>
      <c r="AN268" s="31"/>
      <c r="AO268" s="31"/>
      <c r="AP268" s="31"/>
      <c r="AQ268" s="31"/>
      <c r="AR268" s="31"/>
      <c r="AS268" s="31"/>
      <c r="AT268" s="31"/>
      <c r="AU268" s="31"/>
      <c r="AV268" s="31"/>
      <c r="AW268" s="1086"/>
      <c r="AX268" s="1086"/>
      <c r="AY268" s="1086"/>
      <c r="AZ268" s="31"/>
      <c r="BA268" s="31"/>
      <c r="BB268" s="31"/>
      <c r="BC268" s="31"/>
      <c r="BD268" s="31"/>
      <c r="BE268" s="31"/>
      <c r="BF268" s="31"/>
      <c r="BG268" s="31"/>
      <c r="BH268" s="31"/>
      <c r="BI268" s="1086"/>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31"/>
      <c r="DF268" s="31"/>
      <c r="DG268" s="31"/>
      <c r="DH268" s="31"/>
      <c r="DI268" s="31"/>
      <c r="DJ268" s="31"/>
      <c r="DK268" s="31"/>
      <c r="DL268" s="31"/>
      <c r="DM268" s="31"/>
      <c r="DN268" s="31"/>
      <c r="DO268" s="31"/>
      <c r="DP268" s="31"/>
      <c r="DQ268" s="31"/>
      <c r="DR268" s="31"/>
      <c r="DS268" s="31"/>
      <c r="DT268" s="31"/>
      <c r="DU268" s="31"/>
      <c r="DV268" s="31"/>
      <c r="DW268" s="31"/>
      <c r="DX268" s="31"/>
      <c r="DY268" s="31"/>
      <c r="DZ268" s="31"/>
      <c r="EA268" s="31"/>
      <c r="EB268" s="31"/>
      <c r="EC268" s="31"/>
      <c r="ED268" s="31"/>
      <c r="EE268" s="31"/>
      <c r="EF268" s="31"/>
      <c r="EG268" s="31"/>
      <c r="EH268" s="31"/>
      <c r="EI268" s="31"/>
      <c r="EJ268" s="31"/>
      <c r="EK268" s="31"/>
      <c r="EL268" s="31"/>
    </row>
    <row r="269" spans="3:142" s="28" customFormat="1" ht="21.95" hidden="1" customHeight="1" outlineLevel="1">
      <c r="C269" s="1101" t="str">
        <f t="shared" si="11"/>
        <v>R427A</v>
      </c>
      <c r="D269" s="1102"/>
      <c r="E269" s="1102"/>
      <c r="F269" s="1102"/>
      <c r="G269" s="1102"/>
      <c r="H269" s="1102"/>
      <c r="I269" s="1102"/>
      <c r="J269" s="1103" t="s">
        <v>60</v>
      </c>
      <c r="K269" s="1103"/>
      <c r="L269" s="1103"/>
      <c r="M269" s="640"/>
      <c r="N269" s="1091">
        <v>0.15</v>
      </c>
      <c r="O269" s="1091">
        <v>0.12</v>
      </c>
      <c r="P269" s="1091">
        <v>0.2</v>
      </c>
      <c r="Q269" s="1091">
        <v>0.2</v>
      </c>
      <c r="R269" s="1091">
        <v>0.15</v>
      </c>
      <c r="S269" s="1091">
        <v>0.15</v>
      </c>
      <c r="T269" s="1092"/>
      <c r="U269" s="1091">
        <v>0.15</v>
      </c>
      <c r="V269" s="1091">
        <v>0.12</v>
      </c>
      <c r="W269" s="1091">
        <v>0.2</v>
      </c>
      <c r="X269" s="1091">
        <v>0.2</v>
      </c>
      <c r="Y269" s="1091">
        <v>0.15</v>
      </c>
      <c r="Z269" s="1091">
        <v>0.15</v>
      </c>
      <c r="AA269" s="1092"/>
      <c r="AB269" s="1091">
        <v>0.15</v>
      </c>
      <c r="AC269" s="1091">
        <v>0.12</v>
      </c>
      <c r="AD269" s="1091">
        <v>0.2</v>
      </c>
      <c r="AE269" s="1091">
        <v>0.2</v>
      </c>
      <c r="AF269" s="1091">
        <v>0.15</v>
      </c>
      <c r="AG269" s="1091">
        <v>0.15</v>
      </c>
      <c r="AH269" s="220"/>
      <c r="AI269" s="220"/>
      <c r="AJ269" s="1031" t="s">
        <v>1000</v>
      </c>
      <c r="AK269" s="220"/>
      <c r="AL269" s="220"/>
      <c r="AM269" s="220"/>
      <c r="AN269" s="31"/>
      <c r="AO269" s="31"/>
      <c r="AP269" s="31"/>
      <c r="AQ269" s="31"/>
      <c r="AR269" s="31"/>
      <c r="AS269" s="31"/>
      <c r="AT269" s="31"/>
      <c r="AU269" s="31"/>
      <c r="AV269" s="31"/>
      <c r="AW269" s="1086"/>
      <c r="AX269" s="1086"/>
      <c r="AY269" s="1086"/>
      <c r="AZ269" s="31"/>
      <c r="BA269" s="31"/>
      <c r="BB269" s="31"/>
      <c r="BC269" s="31"/>
      <c r="BD269" s="31"/>
      <c r="BE269" s="31"/>
      <c r="BF269" s="31"/>
      <c r="BG269" s="31"/>
      <c r="BH269" s="31"/>
      <c r="BI269" s="1086"/>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c r="CU269" s="31"/>
      <c r="CV269" s="31"/>
      <c r="CW269" s="31"/>
      <c r="CX269" s="31"/>
      <c r="CY269" s="31"/>
      <c r="CZ269" s="31"/>
      <c r="DA269" s="31"/>
      <c r="DB269" s="31"/>
      <c r="DC269" s="31"/>
      <c r="DD269" s="31"/>
      <c r="DE269" s="31"/>
      <c r="DF269" s="31"/>
      <c r="DG269" s="31"/>
      <c r="DH269" s="31"/>
      <c r="DI269" s="31"/>
      <c r="DJ269" s="31"/>
      <c r="DK269" s="31"/>
      <c r="DL269" s="31"/>
      <c r="DM269" s="31"/>
      <c r="DN269" s="31"/>
      <c r="DO269" s="31"/>
      <c r="DP269" s="31"/>
      <c r="DQ269" s="31"/>
      <c r="DR269" s="31"/>
      <c r="DS269" s="31"/>
      <c r="DT269" s="31"/>
      <c r="DU269" s="31"/>
      <c r="DV269" s="31"/>
      <c r="DW269" s="31"/>
      <c r="DX269" s="31"/>
      <c r="DY269" s="31"/>
      <c r="DZ269" s="31"/>
      <c r="EA269" s="31"/>
      <c r="EB269" s="31"/>
      <c r="EC269" s="31"/>
      <c r="ED269" s="31"/>
      <c r="EE269" s="31"/>
      <c r="EF269" s="31"/>
      <c r="EG269" s="31"/>
      <c r="EH269" s="31"/>
      <c r="EI269" s="31"/>
      <c r="EJ269" s="31"/>
      <c r="EK269" s="31"/>
      <c r="EL269" s="31"/>
    </row>
    <row r="270" spans="3:142" s="28" customFormat="1" ht="21.95" hidden="1" customHeight="1" outlineLevel="1">
      <c r="C270" s="1101" t="str">
        <f t="shared" si="11"/>
        <v>R448A</v>
      </c>
      <c r="D270" s="1102"/>
      <c r="E270" s="1102"/>
      <c r="F270" s="1102"/>
      <c r="G270" s="1102"/>
      <c r="H270" s="1102"/>
      <c r="I270" s="1102"/>
      <c r="J270" s="1103" t="s">
        <v>61</v>
      </c>
      <c r="K270" s="1103"/>
      <c r="L270" s="1103"/>
      <c r="M270" s="640"/>
      <c r="N270" s="1091">
        <v>0.15</v>
      </c>
      <c r="O270" s="1091">
        <v>0.12</v>
      </c>
      <c r="P270" s="1091">
        <v>0.2</v>
      </c>
      <c r="Q270" s="1091">
        <v>0.2</v>
      </c>
      <c r="R270" s="1091">
        <v>0.15</v>
      </c>
      <c r="S270" s="1091">
        <v>0.15</v>
      </c>
      <c r="T270" s="1092"/>
      <c r="U270" s="1091">
        <v>0.15</v>
      </c>
      <c r="V270" s="1091">
        <v>0.12</v>
      </c>
      <c r="W270" s="1091">
        <v>0.2</v>
      </c>
      <c r="X270" s="1091">
        <v>0.2</v>
      </c>
      <c r="Y270" s="1091">
        <v>0.15</v>
      </c>
      <c r="Z270" s="1091">
        <v>0.15</v>
      </c>
      <c r="AA270" s="1092"/>
      <c r="AB270" s="1091">
        <v>0.15</v>
      </c>
      <c r="AC270" s="1091">
        <v>0.12</v>
      </c>
      <c r="AD270" s="1091">
        <v>0.2</v>
      </c>
      <c r="AE270" s="1091">
        <v>0.2</v>
      </c>
      <c r="AF270" s="1091">
        <v>0.15</v>
      </c>
      <c r="AG270" s="1091">
        <v>0.15</v>
      </c>
      <c r="AH270" s="220"/>
      <c r="AI270" s="220"/>
      <c r="AJ270" s="1031" t="s">
        <v>1000</v>
      </c>
      <c r="AK270" s="220"/>
      <c r="AL270" s="220"/>
      <c r="AM270" s="220"/>
      <c r="AN270" s="31"/>
      <c r="AO270" s="31"/>
      <c r="AP270" s="31"/>
      <c r="AQ270" s="31"/>
      <c r="AR270" s="31"/>
      <c r="AS270" s="31"/>
      <c r="AT270" s="31"/>
      <c r="AU270" s="31"/>
      <c r="AV270" s="31"/>
      <c r="AW270" s="1086"/>
      <c r="AX270" s="1086"/>
      <c r="AY270" s="1086"/>
      <c r="AZ270" s="31"/>
      <c r="BA270" s="31"/>
      <c r="BB270" s="31"/>
      <c r="BC270" s="31"/>
      <c r="BD270" s="31"/>
      <c r="BE270" s="31"/>
      <c r="BF270" s="31"/>
      <c r="BG270" s="31"/>
      <c r="BH270" s="31"/>
      <c r="BI270" s="1086"/>
      <c r="BJ270" s="31"/>
      <c r="BK270" s="31"/>
      <c r="BL270" s="31"/>
      <c r="BM270" s="31"/>
      <c r="BN270" s="31"/>
      <c r="BO270" s="31"/>
      <c r="BP270" s="31"/>
      <c r="BQ270" s="31"/>
      <c r="BR270" s="31"/>
      <c r="BS270" s="31"/>
      <c r="BT270" s="31"/>
      <c r="BU270" s="31"/>
      <c r="BV270" s="31"/>
      <c r="BW270" s="31"/>
      <c r="BX270" s="31"/>
      <c r="BY270" s="31"/>
      <c r="BZ270" s="31"/>
      <c r="CA270" s="31"/>
      <c r="CB270" s="31"/>
      <c r="CC270" s="31"/>
      <c r="CD270" s="31"/>
      <c r="CE270" s="31"/>
      <c r="CF270" s="31"/>
      <c r="CG270" s="31"/>
      <c r="CH270" s="31"/>
      <c r="CI270" s="31"/>
      <c r="CJ270" s="31"/>
      <c r="CK270" s="31"/>
      <c r="CL270" s="31"/>
      <c r="CM270" s="31"/>
      <c r="CN270" s="31"/>
      <c r="CO270" s="31"/>
      <c r="CP270" s="31"/>
      <c r="CQ270" s="31"/>
      <c r="CR270" s="31"/>
      <c r="CS270" s="31"/>
      <c r="CT270" s="31"/>
      <c r="CU270" s="31"/>
      <c r="CV270" s="31"/>
      <c r="CW270" s="31"/>
      <c r="CX270" s="31"/>
      <c r="CY270" s="31"/>
      <c r="CZ270" s="31"/>
      <c r="DA270" s="31"/>
      <c r="DB270" s="31"/>
      <c r="DC270" s="31"/>
      <c r="DD270" s="31"/>
      <c r="DE270" s="31"/>
      <c r="DF270" s="31"/>
      <c r="DG270" s="31"/>
      <c r="DH270" s="31"/>
      <c r="DI270" s="31"/>
      <c r="DJ270" s="31"/>
      <c r="DK270" s="31"/>
      <c r="DL270" s="31"/>
      <c r="DM270" s="31"/>
      <c r="DN270" s="31"/>
      <c r="DO270" s="31"/>
      <c r="DP270" s="31"/>
      <c r="DQ270" s="31"/>
      <c r="DR270" s="31"/>
      <c r="DS270" s="31"/>
      <c r="DT270" s="31"/>
      <c r="DU270" s="31"/>
      <c r="DV270" s="31"/>
      <c r="DW270" s="31"/>
      <c r="DX270" s="31"/>
      <c r="DY270" s="31"/>
      <c r="DZ270" s="31"/>
      <c r="EA270" s="31"/>
      <c r="EB270" s="31"/>
      <c r="EC270" s="31"/>
      <c r="ED270" s="31"/>
      <c r="EE270" s="31"/>
      <c r="EF270" s="31"/>
      <c r="EG270" s="31"/>
      <c r="EH270" s="31"/>
      <c r="EI270" s="31"/>
      <c r="EJ270" s="31"/>
      <c r="EK270" s="31"/>
      <c r="EL270" s="31"/>
    </row>
    <row r="271" spans="3:142" s="28" customFormat="1" ht="21.95" hidden="1" customHeight="1" outlineLevel="1">
      <c r="C271" s="1101" t="str">
        <f t="shared" si="11"/>
        <v>R449A</v>
      </c>
      <c r="D271" s="1102"/>
      <c r="E271" s="1102"/>
      <c r="F271" s="1102"/>
      <c r="G271" s="1102"/>
      <c r="H271" s="1102"/>
      <c r="I271" s="1102"/>
      <c r="J271" s="1103" t="s">
        <v>62</v>
      </c>
      <c r="K271" s="1103"/>
      <c r="L271" s="1103"/>
      <c r="M271" s="640"/>
      <c r="N271" s="1091">
        <v>0.15</v>
      </c>
      <c r="O271" s="1091">
        <v>0.12</v>
      </c>
      <c r="P271" s="1091">
        <v>0.2</v>
      </c>
      <c r="Q271" s="1091">
        <v>0.2</v>
      </c>
      <c r="R271" s="1091">
        <v>0.15</v>
      </c>
      <c r="S271" s="1091">
        <v>0.15</v>
      </c>
      <c r="T271" s="1092"/>
      <c r="U271" s="1091">
        <v>0.15</v>
      </c>
      <c r="V271" s="1091">
        <v>0.12</v>
      </c>
      <c r="W271" s="1091">
        <v>0.2</v>
      </c>
      <c r="X271" s="1091">
        <v>0.2</v>
      </c>
      <c r="Y271" s="1091">
        <v>0.15</v>
      </c>
      <c r="Z271" s="1091">
        <v>0.15</v>
      </c>
      <c r="AA271" s="1092"/>
      <c r="AB271" s="1091">
        <v>0.15</v>
      </c>
      <c r="AC271" s="1091">
        <v>0.12</v>
      </c>
      <c r="AD271" s="1091">
        <v>0.2</v>
      </c>
      <c r="AE271" s="1091">
        <v>0.2</v>
      </c>
      <c r="AF271" s="1091">
        <v>0.15</v>
      </c>
      <c r="AG271" s="1091">
        <v>0.15</v>
      </c>
      <c r="AH271" s="220"/>
      <c r="AI271" s="220"/>
      <c r="AJ271" s="1031" t="s">
        <v>1000</v>
      </c>
      <c r="AK271" s="220"/>
      <c r="AL271" s="220"/>
      <c r="AM271" s="220"/>
      <c r="AN271" s="31"/>
      <c r="AO271" s="31"/>
      <c r="AP271" s="31"/>
      <c r="AQ271" s="31"/>
      <c r="AR271" s="31"/>
      <c r="AS271" s="31"/>
      <c r="AT271" s="31"/>
      <c r="AU271" s="31"/>
      <c r="AV271" s="31"/>
      <c r="AW271" s="1086"/>
      <c r="AX271" s="1086"/>
      <c r="AY271" s="1086"/>
      <c r="AZ271" s="31"/>
      <c r="BA271" s="31"/>
      <c r="BB271" s="31"/>
      <c r="BC271" s="31"/>
      <c r="BD271" s="31"/>
      <c r="BE271" s="31"/>
      <c r="BF271" s="31"/>
      <c r="BG271" s="31"/>
      <c r="BH271" s="31"/>
      <c r="BI271" s="1086"/>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row>
    <row r="272" spans="3:142" s="28" customFormat="1" ht="21.95" hidden="1" customHeight="1" outlineLevel="1">
      <c r="C272" s="1101" t="str">
        <f t="shared" si="11"/>
        <v>R450A</v>
      </c>
      <c r="D272" s="1102"/>
      <c r="E272" s="1102"/>
      <c r="F272" s="1102"/>
      <c r="G272" s="1102"/>
      <c r="H272" s="1102"/>
      <c r="I272" s="1102"/>
      <c r="J272" s="1103" t="s">
        <v>63</v>
      </c>
      <c r="K272" s="1103"/>
      <c r="L272" s="1103"/>
      <c r="M272" s="640"/>
      <c r="N272" s="1091">
        <v>0.15</v>
      </c>
      <c r="O272" s="1091">
        <v>0.12</v>
      </c>
      <c r="P272" s="1091">
        <v>0.2</v>
      </c>
      <c r="Q272" s="1091">
        <v>0.2</v>
      </c>
      <c r="R272" s="1091">
        <v>0.15</v>
      </c>
      <c r="S272" s="1091">
        <v>0.15</v>
      </c>
      <c r="T272" s="1092"/>
      <c r="U272" s="1091">
        <v>0.15</v>
      </c>
      <c r="V272" s="1091">
        <v>0.12</v>
      </c>
      <c r="W272" s="1091">
        <v>0.2</v>
      </c>
      <c r="X272" s="1091">
        <v>0.2</v>
      </c>
      <c r="Y272" s="1091">
        <v>0.15</v>
      </c>
      <c r="Z272" s="1091">
        <v>0.15</v>
      </c>
      <c r="AA272" s="1092"/>
      <c r="AB272" s="1091">
        <v>0.15</v>
      </c>
      <c r="AC272" s="1091">
        <v>0.12</v>
      </c>
      <c r="AD272" s="1091">
        <v>0.2</v>
      </c>
      <c r="AE272" s="1091">
        <v>0.2</v>
      </c>
      <c r="AF272" s="1091">
        <v>0.15</v>
      </c>
      <c r="AG272" s="1091">
        <v>0.15</v>
      </c>
      <c r="AH272" s="220"/>
      <c r="AI272" s="220"/>
      <c r="AJ272" s="1031" t="s">
        <v>1000</v>
      </c>
      <c r="AK272" s="220"/>
      <c r="AL272" s="220"/>
      <c r="AM272" s="220"/>
      <c r="AN272" s="31"/>
      <c r="AO272" s="31"/>
      <c r="AP272" s="31"/>
      <c r="AQ272" s="31"/>
      <c r="AR272" s="31"/>
      <c r="AS272" s="31"/>
      <c r="AT272" s="31"/>
      <c r="AU272" s="31"/>
      <c r="AV272" s="31"/>
      <c r="AW272" s="1086"/>
      <c r="AX272" s="1086"/>
      <c r="AY272" s="1086"/>
      <c r="AZ272" s="31"/>
      <c r="BA272" s="31"/>
      <c r="BB272" s="31"/>
      <c r="BC272" s="31"/>
      <c r="BD272" s="31"/>
      <c r="BE272" s="31"/>
      <c r="BF272" s="31"/>
      <c r="BG272" s="31"/>
      <c r="BH272" s="31"/>
      <c r="BI272" s="1086"/>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row>
    <row r="273" spans="3:142" s="28" customFormat="1" ht="21.95" hidden="1" customHeight="1" outlineLevel="1">
      <c r="C273" s="1101" t="str">
        <f t="shared" si="11"/>
        <v>R507 A</v>
      </c>
      <c r="D273" s="1102"/>
      <c r="E273" s="1102"/>
      <c r="F273" s="1102"/>
      <c r="G273" s="1102"/>
      <c r="H273" s="1102"/>
      <c r="I273" s="1102"/>
      <c r="J273" s="1103" t="s">
        <v>64</v>
      </c>
      <c r="K273" s="1103"/>
      <c r="L273" s="1103"/>
      <c r="M273" s="640"/>
      <c r="N273" s="1091">
        <v>0.15</v>
      </c>
      <c r="O273" s="1091">
        <v>0.12</v>
      </c>
      <c r="P273" s="1091">
        <v>0.2</v>
      </c>
      <c r="Q273" s="1091">
        <v>0.2</v>
      </c>
      <c r="R273" s="1091">
        <v>0.15</v>
      </c>
      <c r="S273" s="1091">
        <v>0.15</v>
      </c>
      <c r="T273" s="1092"/>
      <c r="U273" s="1091">
        <v>0.15</v>
      </c>
      <c r="V273" s="1091">
        <v>0.12</v>
      </c>
      <c r="W273" s="1091">
        <v>0.2</v>
      </c>
      <c r="X273" s="1091">
        <v>0.2</v>
      </c>
      <c r="Y273" s="1091">
        <v>0.15</v>
      </c>
      <c r="Z273" s="1091">
        <v>0.15</v>
      </c>
      <c r="AA273" s="1092"/>
      <c r="AB273" s="1091">
        <v>0.15</v>
      </c>
      <c r="AC273" s="1091">
        <v>0.12</v>
      </c>
      <c r="AD273" s="1091">
        <v>0.2</v>
      </c>
      <c r="AE273" s="1091">
        <v>0.2</v>
      </c>
      <c r="AF273" s="1091">
        <v>0.15</v>
      </c>
      <c r="AG273" s="1091">
        <v>0.15</v>
      </c>
      <c r="AH273" s="220"/>
      <c r="AI273" s="220"/>
      <c r="AJ273" s="1031" t="s">
        <v>1000</v>
      </c>
      <c r="AK273" s="220"/>
      <c r="AL273" s="220"/>
      <c r="AM273" s="220"/>
      <c r="AN273" s="31"/>
      <c r="AO273" s="31"/>
      <c r="AP273" s="31"/>
      <c r="AQ273" s="31"/>
      <c r="AR273" s="31"/>
      <c r="AS273" s="31"/>
      <c r="AT273" s="31"/>
      <c r="AU273" s="31"/>
      <c r="AV273" s="31"/>
      <c r="AW273" s="1086"/>
      <c r="AX273" s="1086"/>
      <c r="AY273" s="1086"/>
      <c r="AZ273" s="31"/>
      <c r="BA273" s="31"/>
      <c r="BB273" s="31"/>
      <c r="BC273" s="31"/>
      <c r="BD273" s="31"/>
      <c r="BE273" s="31"/>
      <c r="BF273" s="31"/>
      <c r="BG273" s="31"/>
      <c r="BH273" s="31"/>
      <c r="BI273" s="1086"/>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c r="CH273" s="31"/>
      <c r="CI273" s="31"/>
      <c r="CJ273" s="31"/>
      <c r="CK273" s="31"/>
      <c r="CL273" s="31"/>
      <c r="CM273" s="31"/>
      <c r="CN273" s="31"/>
      <c r="CO273" s="31"/>
      <c r="CP273" s="31"/>
      <c r="CQ273" s="31"/>
      <c r="CR273" s="31"/>
      <c r="CS273" s="31"/>
      <c r="CT273" s="31"/>
      <c r="CU273" s="31"/>
      <c r="CV273" s="31"/>
      <c r="CW273" s="31"/>
      <c r="CX273" s="31"/>
      <c r="CY273" s="31"/>
      <c r="CZ273" s="31"/>
      <c r="DA273" s="31"/>
      <c r="DB273" s="31"/>
      <c r="DC273" s="31"/>
      <c r="DD273" s="31"/>
      <c r="DE273" s="31"/>
      <c r="DF273" s="31"/>
      <c r="DG273" s="31"/>
      <c r="DH273" s="31"/>
      <c r="DI273" s="31"/>
      <c r="DJ273" s="31"/>
      <c r="DK273" s="31"/>
      <c r="DL273" s="31"/>
      <c r="DM273" s="31"/>
      <c r="DN273" s="31"/>
      <c r="DO273" s="31"/>
      <c r="DP273" s="31"/>
      <c r="DQ273" s="31"/>
      <c r="DR273" s="31"/>
      <c r="DS273" s="31"/>
      <c r="DT273" s="31"/>
      <c r="DU273" s="31"/>
      <c r="DV273" s="31"/>
      <c r="DW273" s="31"/>
      <c r="DX273" s="31"/>
      <c r="DY273" s="31"/>
      <c r="DZ273" s="31"/>
      <c r="EA273" s="31"/>
      <c r="EB273" s="31"/>
      <c r="EC273" s="31"/>
      <c r="ED273" s="31"/>
      <c r="EE273" s="31"/>
      <c r="EF273" s="31"/>
      <c r="EG273" s="31"/>
      <c r="EH273" s="31"/>
      <c r="EI273" s="31"/>
      <c r="EJ273" s="31"/>
      <c r="EK273" s="31"/>
      <c r="EL273" s="31"/>
    </row>
    <row r="274" spans="3:142" s="28" customFormat="1" ht="21.95" hidden="1" customHeight="1" outlineLevel="1">
      <c r="C274" s="1101" t="str">
        <f t="shared" si="11"/>
        <v>R513 A</v>
      </c>
      <c r="D274" s="1102"/>
      <c r="E274" s="1102"/>
      <c r="F274" s="1102"/>
      <c r="G274" s="1102"/>
      <c r="H274" s="1102"/>
      <c r="I274" s="1102"/>
      <c r="J274" s="1103" t="s">
        <v>65</v>
      </c>
      <c r="K274" s="1103"/>
      <c r="L274" s="1103"/>
      <c r="M274" s="640"/>
      <c r="N274" s="1091">
        <v>0.15</v>
      </c>
      <c r="O274" s="1091">
        <v>0.12</v>
      </c>
      <c r="P274" s="1091">
        <v>0.2</v>
      </c>
      <c r="Q274" s="1091">
        <v>0.2</v>
      </c>
      <c r="R274" s="1091">
        <v>0.15</v>
      </c>
      <c r="S274" s="1091">
        <v>0.15</v>
      </c>
      <c r="T274" s="1092"/>
      <c r="U274" s="1091">
        <v>0.15</v>
      </c>
      <c r="V274" s="1091">
        <v>0.12</v>
      </c>
      <c r="W274" s="1091">
        <v>0.2</v>
      </c>
      <c r="X274" s="1091">
        <v>0.2</v>
      </c>
      <c r="Y274" s="1091">
        <v>0.15</v>
      </c>
      <c r="Z274" s="1091">
        <v>0.15</v>
      </c>
      <c r="AA274" s="1092"/>
      <c r="AB274" s="1091">
        <v>0.15</v>
      </c>
      <c r="AC274" s="1091">
        <v>0.12</v>
      </c>
      <c r="AD274" s="1091">
        <v>0.2</v>
      </c>
      <c r="AE274" s="1091">
        <v>0.2</v>
      </c>
      <c r="AF274" s="1091">
        <v>0.15</v>
      </c>
      <c r="AG274" s="1091">
        <v>0.15</v>
      </c>
      <c r="AH274" s="220"/>
      <c r="AI274" s="220"/>
      <c r="AJ274" s="1031" t="s">
        <v>1000</v>
      </c>
      <c r="AK274" s="220"/>
      <c r="AL274" s="220"/>
      <c r="AM274" s="220"/>
      <c r="AN274" s="31"/>
      <c r="AO274" s="31"/>
      <c r="AP274" s="31"/>
      <c r="AQ274" s="31"/>
      <c r="AR274" s="31"/>
      <c r="AS274" s="31"/>
      <c r="AT274" s="31"/>
      <c r="AU274" s="31"/>
      <c r="AV274" s="31"/>
      <c r="AW274" s="1086"/>
      <c r="AX274" s="1086"/>
      <c r="AY274" s="1086"/>
      <c r="AZ274" s="31"/>
      <c r="BA274" s="31"/>
      <c r="BB274" s="31"/>
      <c r="BC274" s="31"/>
      <c r="BD274" s="31"/>
      <c r="BE274" s="31"/>
      <c r="BF274" s="31"/>
      <c r="BG274" s="31"/>
      <c r="BH274" s="31"/>
      <c r="BI274" s="1086"/>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c r="CH274" s="31"/>
      <c r="CI274" s="31"/>
      <c r="CJ274" s="31"/>
      <c r="CK274" s="31"/>
      <c r="CL274" s="31"/>
      <c r="CM274" s="31"/>
      <c r="CN274" s="31"/>
      <c r="CO274" s="31"/>
      <c r="CP274" s="31"/>
      <c r="CQ274" s="31"/>
      <c r="CR274" s="31"/>
      <c r="CS274" s="31"/>
      <c r="CT274" s="31"/>
      <c r="CU274" s="31"/>
      <c r="CV274" s="31"/>
      <c r="CW274" s="31"/>
      <c r="CX274" s="31"/>
      <c r="CY274" s="31"/>
      <c r="CZ274" s="31"/>
      <c r="DA274" s="31"/>
      <c r="DB274" s="31"/>
      <c r="DC274" s="31"/>
      <c r="DD274" s="31"/>
      <c r="DE274" s="31"/>
      <c r="DF274" s="31"/>
      <c r="DG274" s="31"/>
      <c r="DH274" s="31"/>
      <c r="DI274" s="31"/>
      <c r="DJ274" s="31"/>
      <c r="DK274" s="31"/>
      <c r="DL274" s="31"/>
      <c r="DM274" s="31"/>
      <c r="DN274" s="31"/>
      <c r="DO274" s="31"/>
      <c r="DP274" s="31"/>
      <c r="DQ274" s="31"/>
      <c r="DR274" s="31"/>
      <c r="DS274" s="31"/>
      <c r="DT274" s="31"/>
      <c r="DU274" s="31"/>
      <c r="DV274" s="31"/>
      <c r="DW274" s="31"/>
      <c r="DX274" s="31"/>
      <c r="DY274" s="31"/>
      <c r="DZ274" s="31"/>
      <c r="EA274" s="31"/>
      <c r="EB274" s="31"/>
      <c r="EC274" s="31"/>
      <c r="ED274" s="31"/>
      <c r="EE274" s="31"/>
      <c r="EF274" s="31"/>
      <c r="EG274" s="31"/>
      <c r="EH274" s="31"/>
      <c r="EI274" s="31"/>
      <c r="EJ274" s="31"/>
      <c r="EK274" s="31"/>
      <c r="EL274" s="31"/>
    </row>
    <row r="275" spans="3:142" s="28" customFormat="1" ht="21.95" hidden="1" customHeight="1" outlineLevel="1">
      <c r="C275" s="1128" t="str">
        <f t="shared" si="11"/>
        <v>R717 (Ammoniak - NH3)</v>
      </c>
      <c r="D275" s="1105"/>
      <c r="E275" s="1105"/>
      <c r="F275" s="1105"/>
      <c r="G275" s="1105"/>
      <c r="H275" s="1105"/>
      <c r="I275" s="1105"/>
      <c r="J275" s="1103" t="s">
        <v>359</v>
      </c>
      <c r="K275" s="1103"/>
      <c r="L275" s="1103"/>
      <c r="M275" s="640"/>
      <c r="N275" s="1095">
        <v>0.02</v>
      </c>
      <c r="O275" s="1095">
        <v>0.02</v>
      </c>
      <c r="P275" s="1095">
        <v>0.02</v>
      </c>
      <c r="Q275" s="1095">
        <v>0.02</v>
      </c>
      <c r="R275" s="1095">
        <v>0.02</v>
      </c>
      <c r="S275" s="1095">
        <v>0.02</v>
      </c>
      <c r="T275" s="1092"/>
      <c r="U275" s="1096">
        <v>0.02</v>
      </c>
      <c r="V275" s="1096">
        <v>0.02</v>
      </c>
      <c r="W275" s="1096">
        <v>0.02</v>
      </c>
      <c r="X275" s="1096">
        <v>0.02</v>
      </c>
      <c r="Y275" s="1095">
        <v>0.02</v>
      </c>
      <c r="Z275" s="1095">
        <v>0.02</v>
      </c>
      <c r="AA275" s="1092"/>
      <c r="AB275" s="1095">
        <f t="shared" ref="AB275:AE276" si="12">N275</f>
        <v>0.02</v>
      </c>
      <c r="AC275" s="1095">
        <f t="shared" si="12"/>
        <v>0.02</v>
      </c>
      <c r="AD275" s="1095">
        <f t="shared" si="12"/>
        <v>0.02</v>
      </c>
      <c r="AE275" s="1095">
        <f t="shared" si="12"/>
        <v>0.02</v>
      </c>
      <c r="AF275" s="1095">
        <v>0.02</v>
      </c>
      <c r="AG275" s="1095">
        <v>0.02</v>
      </c>
      <c r="AJ275" s="1117" t="s">
        <v>1001</v>
      </c>
      <c r="AK275" s="1117"/>
      <c r="AL275" s="1117"/>
      <c r="AM275" s="1117"/>
      <c r="AN275" s="1117"/>
      <c r="AO275" s="1117"/>
      <c r="AP275" s="1117"/>
      <c r="AQ275" s="1117"/>
      <c r="AR275" s="1117"/>
      <c r="AS275" s="1117"/>
      <c r="AT275" s="1117"/>
      <c r="AU275" s="31"/>
      <c r="AV275" s="31"/>
      <c r="AW275" s="1087"/>
      <c r="AX275" s="1086"/>
      <c r="AY275" s="1086"/>
      <c r="AZ275" s="31"/>
      <c r="BA275" s="31"/>
      <c r="BB275" s="31"/>
      <c r="BC275" s="31"/>
      <c r="BD275" s="31"/>
      <c r="BE275" s="31"/>
      <c r="BF275" s="31"/>
      <c r="BG275" s="31"/>
      <c r="BH275" s="31"/>
      <c r="BI275" s="1086"/>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c r="CH275" s="31"/>
      <c r="CI275" s="31"/>
      <c r="CJ275" s="31"/>
      <c r="CK275" s="31"/>
      <c r="CL275" s="31"/>
      <c r="CM275" s="31"/>
      <c r="CN275" s="31"/>
      <c r="CO275" s="31"/>
      <c r="CP275" s="31"/>
      <c r="CQ275" s="31"/>
      <c r="CR275" s="31"/>
      <c r="CS275" s="31"/>
      <c r="CT275" s="31"/>
      <c r="CU275" s="31"/>
      <c r="CV275" s="31"/>
      <c r="CW275" s="31"/>
      <c r="CX275" s="31"/>
      <c r="CY275" s="31"/>
      <c r="CZ275" s="31"/>
      <c r="DA275" s="31"/>
      <c r="DB275" s="31"/>
      <c r="DC275" s="31"/>
      <c r="DD275" s="31"/>
      <c r="DE275" s="31"/>
      <c r="DF275" s="31"/>
      <c r="DG275" s="31"/>
      <c r="DH275" s="31"/>
      <c r="DI275" s="31"/>
      <c r="DJ275" s="31"/>
      <c r="DK275" s="31"/>
      <c r="DL275" s="31"/>
      <c r="DM275" s="31"/>
      <c r="DN275" s="31"/>
      <c r="DO275" s="31"/>
      <c r="DP275" s="31"/>
      <c r="DQ275" s="31"/>
      <c r="DR275" s="31"/>
      <c r="DS275" s="31"/>
      <c r="DT275" s="31"/>
      <c r="DU275" s="31"/>
      <c r="DV275" s="31"/>
      <c r="DW275" s="31"/>
      <c r="DX275" s="31"/>
      <c r="DY275" s="31"/>
      <c r="DZ275" s="31"/>
      <c r="EA275" s="31"/>
      <c r="EB275" s="31"/>
      <c r="EC275" s="31"/>
      <c r="ED275" s="31"/>
      <c r="EE275" s="31"/>
      <c r="EF275" s="31"/>
      <c r="EG275" s="31"/>
      <c r="EH275" s="31"/>
      <c r="EI275" s="31"/>
      <c r="EJ275" s="31"/>
      <c r="EK275" s="31"/>
      <c r="EL275" s="31"/>
    </row>
    <row r="276" spans="3:142" s="28" customFormat="1" ht="21.95" hidden="1" customHeight="1" outlineLevel="1">
      <c r="C276" s="1129" t="str">
        <f t="shared" si="11"/>
        <v>R723</v>
      </c>
      <c r="D276" s="1106"/>
      <c r="E276" s="1106"/>
      <c r="F276" s="1106"/>
      <c r="G276" s="1106"/>
      <c r="H276" s="1106"/>
      <c r="I276" s="1106"/>
      <c r="J276" s="1103" t="s">
        <v>66</v>
      </c>
      <c r="K276" s="1103"/>
      <c r="L276" s="1103"/>
      <c r="M276" s="640"/>
      <c r="N276" s="1095">
        <v>0.02</v>
      </c>
      <c r="O276" s="1095">
        <v>0.02</v>
      </c>
      <c r="P276" s="1095">
        <v>0.02</v>
      </c>
      <c r="Q276" s="1095">
        <v>0.02</v>
      </c>
      <c r="R276" s="1095">
        <v>0.02</v>
      </c>
      <c r="S276" s="1095">
        <v>0.02</v>
      </c>
      <c r="T276" s="1092"/>
      <c r="U276" s="1096">
        <v>0.02</v>
      </c>
      <c r="V276" s="1096">
        <v>0.02</v>
      </c>
      <c r="W276" s="1096">
        <v>0.02</v>
      </c>
      <c r="X276" s="1096">
        <v>0.02</v>
      </c>
      <c r="Y276" s="1095">
        <v>0.02</v>
      </c>
      <c r="Z276" s="1095">
        <v>0.02</v>
      </c>
      <c r="AA276" s="1092"/>
      <c r="AB276" s="1095">
        <f t="shared" si="12"/>
        <v>0.02</v>
      </c>
      <c r="AC276" s="1095">
        <f t="shared" si="12"/>
        <v>0.02</v>
      </c>
      <c r="AD276" s="1095">
        <f t="shared" si="12"/>
        <v>0.02</v>
      </c>
      <c r="AE276" s="1095">
        <f t="shared" si="12"/>
        <v>0.02</v>
      </c>
      <c r="AF276" s="1095">
        <v>0.02</v>
      </c>
      <c r="AG276" s="1095">
        <v>0.02</v>
      </c>
      <c r="AJ276" s="1117" t="s">
        <v>1001</v>
      </c>
      <c r="AK276" s="1117"/>
      <c r="AL276" s="1117"/>
      <c r="AM276" s="1117"/>
      <c r="AN276" s="1117"/>
      <c r="AO276" s="1117"/>
      <c r="AP276" s="1117"/>
      <c r="AQ276" s="1117"/>
      <c r="AR276" s="1117"/>
      <c r="AS276" s="1117"/>
      <c r="AT276" s="1117"/>
      <c r="AU276" s="31"/>
      <c r="AV276" s="31"/>
      <c r="AW276" s="1087"/>
      <c r="AX276" s="1086"/>
      <c r="AY276" s="1086"/>
      <c r="AZ276" s="31"/>
      <c r="BA276" s="31"/>
      <c r="BB276" s="31"/>
      <c r="BC276" s="31"/>
      <c r="BD276" s="31"/>
      <c r="BE276" s="31"/>
      <c r="BF276" s="31"/>
      <c r="BG276" s="31"/>
      <c r="BH276" s="31"/>
      <c r="BI276" s="1086"/>
      <c r="BJ276" s="31"/>
      <c r="BK276" s="31"/>
      <c r="BL276" s="31"/>
      <c r="BM276" s="31"/>
      <c r="BN276" s="31"/>
      <c r="BO276" s="31"/>
      <c r="BP276" s="31"/>
      <c r="BQ276" s="31"/>
      <c r="BR276" s="31"/>
      <c r="BS276" s="31"/>
      <c r="BT276" s="31"/>
      <c r="BU276" s="31"/>
      <c r="BV276" s="31"/>
      <c r="BW276" s="31"/>
      <c r="BX276" s="31"/>
      <c r="BY276" s="31"/>
      <c r="BZ276" s="31"/>
      <c r="CA276" s="31"/>
      <c r="CB276" s="31"/>
      <c r="CC276" s="31"/>
      <c r="CD276" s="31"/>
      <c r="CE276" s="31"/>
      <c r="CF276" s="31"/>
      <c r="CG276" s="31"/>
      <c r="CH276" s="31"/>
      <c r="CI276" s="31"/>
      <c r="CJ276" s="31"/>
      <c r="CK276" s="31"/>
      <c r="CL276" s="31"/>
      <c r="CM276" s="31"/>
      <c r="CN276" s="31"/>
      <c r="CO276" s="31"/>
      <c r="CP276" s="31"/>
      <c r="CQ276" s="31"/>
      <c r="CR276" s="31"/>
      <c r="CS276" s="31"/>
      <c r="CT276" s="31"/>
      <c r="CU276" s="31"/>
      <c r="CV276" s="31"/>
      <c r="CW276" s="31"/>
      <c r="CX276" s="31"/>
      <c r="CY276" s="31"/>
      <c r="CZ276" s="31"/>
      <c r="DA276" s="31"/>
      <c r="DB276" s="31"/>
      <c r="DC276" s="31"/>
      <c r="DD276" s="31"/>
      <c r="DE276" s="31"/>
      <c r="DF276" s="31"/>
      <c r="DG276" s="31"/>
      <c r="DH276" s="31"/>
      <c r="DI276" s="31"/>
      <c r="DJ276" s="31"/>
      <c r="DK276" s="31"/>
      <c r="DL276" s="31"/>
      <c r="DM276" s="31"/>
      <c r="DN276" s="31"/>
      <c r="DO276" s="31"/>
      <c r="DP276" s="31"/>
      <c r="DQ276" s="31"/>
      <c r="DR276" s="31"/>
      <c r="DS276" s="31"/>
      <c r="DT276" s="31"/>
      <c r="DU276" s="31"/>
      <c r="DV276" s="31"/>
      <c r="DW276" s="31"/>
      <c r="DX276" s="31"/>
      <c r="DY276" s="31"/>
      <c r="DZ276" s="31"/>
      <c r="EA276" s="31"/>
      <c r="EB276" s="31"/>
      <c r="EC276" s="31"/>
      <c r="ED276" s="31"/>
      <c r="EE276" s="31"/>
      <c r="EF276" s="31"/>
      <c r="EG276" s="31"/>
      <c r="EH276" s="31"/>
      <c r="EI276" s="31"/>
      <c r="EJ276" s="31"/>
      <c r="EK276" s="31"/>
      <c r="EL276" s="31"/>
    </row>
    <row r="277" spans="3:142" s="28" customFormat="1" ht="21.95" hidden="1" customHeight="1" outlineLevel="1">
      <c r="C277" s="1130" t="str">
        <f t="shared" si="11"/>
        <v>R744  (CO2)</v>
      </c>
      <c r="D277" s="1107"/>
      <c r="E277" s="1107"/>
      <c r="F277" s="1107"/>
      <c r="G277" s="1107"/>
      <c r="H277" s="1107"/>
      <c r="I277" s="1107"/>
      <c r="J277" s="1103" t="s">
        <v>67</v>
      </c>
      <c r="K277" s="1103"/>
      <c r="L277" s="1103"/>
      <c r="M277" s="640"/>
      <c r="N277" s="1097">
        <v>0.3</v>
      </c>
      <c r="O277" s="1097">
        <v>0.24</v>
      </c>
      <c r="P277" s="1097">
        <v>0.4</v>
      </c>
      <c r="Q277" s="1097">
        <v>0.4</v>
      </c>
      <c r="R277" s="1097">
        <v>0.3</v>
      </c>
      <c r="S277" s="1097">
        <v>0.3</v>
      </c>
      <c r="T277" s="1092"/>
      <c r="U277" s="1098">
        <v>0.3</v>
      </c>
      <c r="V277" s="1098">
        <v>0.24</v>
      </c>
      <c r="W277" s="1098">
        <v>0.4</v>
      </c>
      <c r="X277" s="1098">
        <v>0.4</v>
      </c>
      <c r="Y277" s="1097">
        <v>0.3</v>
      </c>
      <c r="Z277" s="1097">
        <v>0.3</v>
      </c>
      <c r="AA277" s="1092"/>
      <c r="AB277" s="1097">
        <v>0.3</v>
      </c>
      <c r="AC277" s="1097">
        <v>0.24</v>
      </c>
      <c r="AD277" s="1097">
        <v>0.4</v>
      </c>
      <c r="AE277" s="1097">
        <v>0.4</v>
      </c>
      <c r="AF277" s="1097">
        <v>0.3</v>
      </c>
      <c r="AG277" s="1097">
        <v>0.3</v>
      </c>
      <c r="AJ277" s="1118" t="s">
        <v>1003</v>
      </c>
      <c r="AK277" s="1118"/>
      <c r="AL277" s="1118"/>
      <c r="AM277" s="1118"/>
      <c r="AN277" s="1118"/>
      <c r="AO277" s="1118"/>
      <c r="AP277" s="1118"/>
      <c r="AQ277" s="1118"/>
      <c r="AR277" s="1118"/>
      <c r="AS277" s="1118"/>
      <c r="AT277" s="1118"/>
      <c r="AU277" s="31"/>
      <c r="AV277" s="31"/>
      <c r="AW277" s="1087"/>
      <c r="AX277" s="1086"/>
      <c r="AY277" s="1086"/>
      <c r="AZ277" s="31"/>
      <c r="BA277" s="31"/>
      <c r="BB277" s="31"/>
      <c r="BC277" s="31"/>
      <c r="BD277" s="31"/>
      <c r="BE277" s="31"/>
      <c r="BF277" s="31"/>
      <c r="BG277" s="31"/>
      <c r="BH277" s="31"/>
      <c r="BI277" s="1086"/>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c r="CH277" s="31"/>
      <c r="CI277" s="31"/>
      <c r="CJ277" s="31"/>
      <c r="CK277" s="31"/>
      <c r="CL277" s="31"/>
      <c r="CM277" s="31"/>
      <c r="CN277" s="31"/>
      <c r="CO277" s="31"/>
      <c r="CP277" s="31"/>
      <c r="CQ277" s="31"/>
      <c r="CR277" s="31"/>
      <c r="CS277" s="31"/>
      <c r="CT277" s="31"/>
      <c r="CU277" s="31"/>
      <c r="CV277" s="31"/>
      <c r="CW277" s="31"/>
      <c r="CX277" s="31"/>
      <c r="CY277" s="31"/>
      <c r="CZ277" s="31"/>
      <c r="DA277" s="31"/>
      <c r="DB277" s="31"/>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1"/>
      <c r="EK277" s="31"/>
      <c r="EL277" s="31"/>
    </row>
    <row r="278" spans="3:142" s="28" customFormat="1" ht="21.95" hidden="1" customHeight="1" outlineLevel="1">
      <c r="C278" s="1123" t="str">
        <f t="shared" si="11"/>
        <v>R1270 (Propylen)</v>
      </c>
      <c r="D278" s="1125"/>
      <c r="E278" s="1125"/>
      <c r="F278" s="1125"/>
      <c r="G278" s="1125"/>
      <c r="H278" s="1125"/>
      <c r="I278" s="1125"/>
      <c r="J278" s="1103" t="s">
        <v>308</v>
      </c>
      <c r="K278" s="1103"/>
      <c r="L278" s="1103"/>
      <c r="M278" s="640"/>
      <c r="N278" s="1126">
        <v>0.1</v>
      </c>
      <c r="O278" s="1126">
        <v>0.1</v>
      </c>
      <c r="P278" s="1126">
        <v>0.1</v>
      </c>
      <c r="Q278" s="1126">
        <v>0.1</v>
      </c>
      <c r="R278" s="1126">
        <v>0.1</v>
      </c>
      <c r="S278" s="1126">
        <v>0.1</v>
      </c>
      <c r="T278" s="1092"/>
      <c r="U278" s="1127">
        <v>0.1</v>
      </c>
      <c r="V278" s="1127">
        <v>0.1</v>
      </c>
      <c r="W278" s="1127">
        <v>0.1</v>
      </c>
      <c r="X278" s="1127">
        <v>0.1</v>
      </c>
      <c r="Y278" s="1126">
        <v>0.1</v>
      </c>
      <c r="Z278" s="1126">
        <v>0.1</v>
      </c>
      <c r="AA278" s="1092"/>
      <c r="AB278" s="1126">
        <v>0.1</v>
      </c>
      <c r="AC278" s="1126">
        <v>0.1</v>
      </c>
      <c r="AD278" s="1126">
        <v>0.1</v>
      </c>
      <c r="AE278" s="1126">
        <v>0.1</v>
      </c>
      <c r="AF278" s="1126">
        <v>0.1</v>
      </c>
      <c r="AG278" s="1126">
        <v>0.1</v>
      </c>
      <c r="AJ278" s="1124" t="s">
        <v>1002</v>
      </c>
      <c r="AK278" s="973"/>
      <c r="AL278" s="973"/>
      <c r="AM278" s="973"/>
      <c r="AN278" s="972"/>
      <c r="AO278" s="972"/>
      <c r="AP278" s="264"/>
      <c r="AQ278" s="264"/>
      <c r="AR278" s="264"/>
      <c r="AS278" s="264"/>
      <c r="AT278" s="264"/>
      <c r="AU278" s="31"/>
      <c r="AV278" s="31"/>
      <c r="AW278" s="1086"/>
      <c r="AX278" s="1086"/>
      <c r="AY278" s="1086"/>
      <c r="AZ278" s="31"/>
      <c r="BA278" s="31"/>
      <c r="BB278" s="31"/>
      <c r="BC278" s="31"/>
      <c r="BD278" s="31"/>
      <c r="BE278" s="31"/>
      <c r="BF278" s="31"/>
      <c r="BG278" s="31"/>
      <c r="BH278" s="31"/>
      <c r="BI278" s="1086"/>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c r="CH278" s="31"/>
      <c r="CI278" s="31"/>
      <c r="CJ278" s="31"/>
      <c r="CK278" s="31"/>
      <c r="CL278" s="31"/>
      <c r="CM278" s="31"/>
      <c r="CN278" s="31"/>
      <c r="CO278" s="31"/>
      <c r="CP278" s="31"/>
      <c r="CQ278" s="31"/>
      <c r="CR278" s="31"/>
      <c r="CS278" s="31"/>
      <c r="CT278" s="31"/>
      <c r="CU278" s="31"/>
      <c r="CV278" s="31"/>
      <c r="CW278" s="31"/>
      <c r="CX278" s="31"/>
      <c r="CY278" s="31"/>
      <c r="CZ278" s="31"/>
      <c r="DA278" s="31"/>
      <c r="DB278" s="31"/>
      <c r="DC278" s="31"/>
      <c r="DD278" s="31"/>
      <c r="DE278" s="31"/>
      <c r="DF278" s="31"/>
      <c r="DG278" s="31"/>
      <c r="DH278" s="31"/>
      <c r="DI278" s="31"/>
      <c r="DJ278" s="31"/>
      <c r="DK278" s="31"/>
      <c r="DL278" s="31"/>
      <c r="DM278" s="31"/>
      <c r="DN278" s="31"/>
      <c r="DO278" s="31"/>
      <c r="DP278" s="31"/>
      <c r="DQ278" s="31"/>
      <c r="DR278" s="31"/>
      <c r="DS278" s="31"/>
      <c r="DT278" s="31"/>
      <c r="DU278" s="31"/>
      <c r="DV278" s="31"/>
      <c r="DW278" s="31"/>
      <c r="DX278" s="31"/>
      <c r="DY278" s="31"/>
      <c r="DZ278" s="31"/>
      <c r="EA278" s="31"/>
      <c r="EB278" s="31"/>
      <c r="EC278" s="31"/>
      <c r="ED278" s="31"/>
      <c r="EE278" s="31"/>
      <c r="EF278" s="31"/>
      <c r="EG278" s="31"/>
      <c r="EH278" s="31"/>
      <c r="EI278" s="31"/>
      <c r="EJ278" s="31"/>
      <c r="EK278" s="31"/>
      <c r="EL278" s="31"/>
    </row>
    <row r="279" spans="3:142" s="28" customFormat="1" ht="21.95" hidden="1" customHeight="1" outlineLevel="1">
      <c r="C279" s="1101" t="str">
        <f t="shared" si="11"/>
        <v>R1233zd</v>
      </c>
      <c r="D279" s="1102"/>
      <c r="E279" s="1102"/>
      <c r="F279" s="1102"/>
      <c r="G279" s="1102"/>
      <c r="H279" s="1102"/>
      <c r="I279" s="1102"/>
      <c r="J279" s="1103" t="s">
        <v>91</v>
      </c>
      <c r="K279" s="1103"/>
      <c r="L279" s="1103"/>
      <c r="M279" s="640"/>
      <c r="N279" s="1091">
        <v>0.15</v>
      </c>
      <c r="O279" s="1091">
        <v>0.12</v>
      </c>
      <c r="P279" s="1091">
        <v>0.2</v>
      </c>
      <c r="Q279" s="1091">
        <v>0.2</v>
      </c>
      <c r="R279" s="1091">
        <v>0.15</v>
      </c>
      <c r="S279" s="1091">
        <v>0.15</v>
      </c>
      <c r="T279" s="1092"/>
      <c r="U279" s="1091">
        <v>0.15</v>
      </c>
      <c r="V279" s="1091">
        <v>0.12</v>
      </c>
      <c r="W279" s="1091">
        <v>0.2</v>
      </c>
      <c r="X279" s="1091">
        <v>0.2</v>
      </c>
      <c r="Y279" s="1091">
        <v>0.15</v>
      </c>
      <c r="Z279" s="1091">
        <v>0.15</v>
      </c>
      <c r="AA279" s="1092"/>
      <c r="AB279" s="1091">
        <v>0.15</v>
      </c>
      <c r="AC279" s="1091">
        <v>0.12</v>
      </c>
      <c r="AD279" s="1091">
        <v>0.2</v>
      </c>
      <c r="AE279" s="1091">
        <v>0.2</v>
      </c>
      <c r="AF279" s="1091">
        <v>0.15</v>
      </c>
      <c r="AG279" s="1091">
        <v>0.15</v>
      </c>
      <c r="AH279" s="220"/>
      <c r="AI279" s="220"/>
      <c r="AJ279" s="1031" t="s">
        <v>1000</v>
      </c>
      <c r="AK279" s="220"/>
      <c r="AL279" s="220"/>
      <c r="AN279" s="31"/>
      <c r="AO279" s="31"/>
      <c r="AP279" s="31"/>
      <c r="AQ279" s="31"/>
      <c r="AR279" s="31"/>
      <c r="AS279" s="31"/>
      <c r="AT279" s="31"/>
      <c r="AU279" s="31"/>
      <c r="AV279" s="31"/>
      <c r="AW279" s="1086"/>
      <c r="AX279" s="1086"/>
      <c r="AY279" s="1086"/>
      <c r="AZ279" s="31"/>
      <c r="BA279" s="31"/>
      <c r="BB279" s="31"/>
      <c r="BC279" s="31"/>
      <c r="BD279" s="31"/>
      <c r="BE279" s="31"/>
      <c r="BF279" s="31"/>
      <c r="BG279" s="31"/>
      <c r="BH279" s="31"/>
      <c r="BI279" s="1086"/>
      <c r="BJ279" s="31"/>
      <c r="BK279" s="31"/>
      <c r="BL279" s="31"/>
      <c r="BM279" s="31"/>
      <c r="BN279" s="31"/>
      <c r="BO279" s="31"/>
      <c r="BP279" s="31"/>
      <c r="BQ279" s="31"/>
      <c r="BR279" s="31"/>
      <c r="BS279" s="31"/>
      <c r="BT279" s="31"/>
      <c r="BU279" s="31"/>
      <c r="BV279" s="31"/>
      <c r="BW279" s="31"/>
      <c r="BX279" s="31"/>
      <c r="BY279" s="31"/>
      <c r="BZ279" s="31"/>
      <c r="CA279" s="31"/>
      <c r="CB279" s="31"/>
      <c r="CC279" s="31"/>
      <c r="CD279" s="31"/>
      <c r="CE279" s="31"/>
      <c r="CF279" s="31"/>
      <c r="CG279" s="31"/>
      <c r="CH279" s="31"/>
      <c r="CI279" s="31"/>
      <c r="CJ279" s="31"/>
      <c r="CK279" s="31"/>
      <c r="CL279" s="31"/>
      <c r="CM279" s="31"/>
      <c r="CN279" s="31"/>
      <c r="CO279" s="31"/>
      <c r="CP279" s="31"/>
      <c r="CQ279" s="31"/>
      <c r="CR279" s="31"/>
      <c r="CS279" s="31"/>
      <c r="CT279" s="31"/>
      <c r="CU279" s="31"/>
      <c r="CV279" s="31"/>
      <c r="CW279" s="31"/>
      <c r="CX279" s="31"/>
      <c r="CY279" s="31"/>
      <c r="CZ279" s="31"/>
      <c r="DA279" s="31"/>
      <c r="DB279" s="31"/>
      <c r="DC279" s="31"/>
      <c r="DD279" s="31"/>
      <c r="DE279" s="31"/>
      <c r="DF279" s="31"/>
      <c r="DG279" s="31"/>
      <c r="DH279" s="31"/>
      <c r="DI279" s="31"/>
      <c r="DJ279" s="31"/>
      <c r="DK279" s="31"/>
      <c r="DL279" s="31"/>
      <c r="DM279" s="31"/>
      <c r="DN279" s="31"/>
      <c r="DO279" s="31"/>
      <c r="DP279" s="31"/>
      <c r="DQ279" s="31"/>
      <c r="DR279" s="31"/>
      <c r="DS279" s="31"/>
      <c r="DT279" s="31"/>
      <c r="DU279" s="31"/>
      <c r="DV279" s="31"/>
      <c r="DW279" s="31"/>
      <c r="DX279" s="31"/>
      <c r="DY279" s="31"/>
      <c r="DZ279" s="31"/>
      <c r="EA279" s="31"/>
      <c r="EB279" s="31"/>
      <c r="EC279" s="31"/>
      <c r="ED279" s="31"/>
      <c r="EE279" s="31"/>
      <c r="EF279" s="31"/>
      <c r="EG279" s="31"/>
      <c r="EH279" s="31"/>
      <c r="EI279" s="31"/>
      <c r="EJ279" s="31"/>
      <c r="EK279" s="31"/>
      <c r="EL279" s="31"/>
    </row>
    <row r="280" spans="3:142" s="28" customFormat="1" ht="21.95" hidden="1" customHeight="1" outlineLevel="1">
      <c r="C280" s="1101" t="str">
        <f t="shared" si="11"/>
        <v xml:space="preserve">R1234ze </v>
      </c>
      <c r="D280" s="1102"/>
      <c r="E280" s="1102"/>
      <c r="F280" s="1102"/>
      <c r="G280" s="1102"/>
      <c r="H280" s="1102"/>
      <c r="I280" s="1102"/>
      <c r="J280" s="1103" t="s">
        <v>90</v>
      </c>
      <c r="K280" s="1103"/>
      <c r="L280" s="1103"/>
      <c r="M280" s="640"/>
      <c r="N280" s="1091">
        <v>0.15</v>
      </c>
      <c r="O280" s="1091">
        <v>0.12</v>
      </c>
      <c r="P280" s="1091">
        <v>0.2</v>
      </c>
      <c r="Q280" s="1091">
        <v>0.2</v>
      </c>
      <c r="R280" s="1091">
        <v>0.15</v>
      </c>
      <c r="S280" s="1091">
        <v>0.15</v>
      </c>
      <c r="T280" s="1092"/>
      <c r="U280" s="1091">
        <v>0.15</v>
      </c>
      <c r="V280" s="1091">
        <v>0.12</v>
      </c>
      <c r="W280" s="1091">
        <v>0.2</v>
      </c>
      <c r="X280" s="1091">
        <v>0.2</v>
      </c>
      <c r="Y280" s="1091">
        <v>0.15</v>
      </c>
      <c r="Z280" s="1091">
        <v>0.15</v>
      </c>
      <c r="AA280" s="1092"/>
      <c r="AB280" s="1091">
        <v>0.15</v>
      </c>
      <c r="AC280" s="1091">
        <v>0.12</v>
      </c>
      <c r="AD280" s="1091">
        <v>0.2</v>
      </c>
      <c r="AE280" s="1091">
        <v>0.2</v>
      </c>
      <c r="AF280" s="1091">
        <v>0.15</v>
      </c>
      <c r="AG280" s="1091">
        <v>0.15</v>
      </c>
      <c r="AH280" s="220"/>
      <c r="AI280" s="220"/>
      <c r="AJ280" s="1031" t="s">
        <v>1000</v>
      </c>
      <c r="AK280" s="220"/>
      <c r="AL280" s="220"/>
      <c r="AN280" s="31"/>
      <c r="AO280" s="31"/>
      <c r="AP280" s="31"/>
      <c r="AQ280" s="31"/>
      <c r="AR280" s="31"/>
      <c r="AS280" s="31"/>
      <c r="AT280" s="31"/>
      <c r="AU280" s="31"/>
      <c r="AV280" s="31"/>
      <c r="AW280" s="1086"/>
      <c r="AX280" s="1086"/>
      <c r="AY280" s="1086"/>
      <c r="AZ280" s="31"/>
      <c r="BA280" s="31"/>
      <c r="BB280" s="31"/>
      <c r="BC280" s="31"/>
      <c r="BD280" s="31"/>
      <c r="BE280" s="31"/>
      <c r="BF280" s="31"/>
      <c r="BG280" s="31"/>
      <c r="BH280" s="31"/>
      <c r="BI280" s="1086"/>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c r="CH280" s="31"/>
      <c r="CI280" s="31"/>
      <c r="CJ280" s="31"/>
      <c r="CK280" s="31"/>
      <c r="CL280" s="31"/>
      <c r="CM280" s="31"/>
      <c r="CN280" s="31"/>
      <c r="CO280" s="31"/>
      <c r="CP280" s="31"/>
      <c r="CQ280" s="31"/>
      <c r="CR280" s="31"/>
      <c r="CS280" s="31"/>
      <c r="CT280" s="31"/>
      <c r="CU280" s="31"/>
      <c r="CV280" s="31"/>
      <c r="CW280" s="31"/>
      <c r="CX280" s="31"/>
      <c r="CY280" s="31"/>
      <c r="CZ280" s="31"/>
      <c r="DA280" s="31"/>
      <c r="DB280" s="31"/>
      <c r="DC280" s="31"/>
      <c r="DD280" s="31"/>
      <c r="DE280" s="31"/>
      <c r="DF280" s="31"/>
      <c r="DG280" s="31"/>
      <c r="DH280" s="31"/>
      <c r="DI280" s="31"/>
      <c r="DJ280" s="31"/>
      <c r="DK280" s="31"/>
      <c r="DL280" s="31"/>
      <c r="DM280" s="31"/>
      <c r="DN280" s="31"/>
      <c r="DO280" s="31"/>
      <c r="DP280" s="31"/>
      <c r="DQ280" s="31"/>
      <c r="DR280" s="31"/>
      <c r="DS280" s="31"/>
      <c r="DT280" s="31"/>
      <c r="DU280" s="31"/>
      <c r="DV280" s="31"/>
      <c r="DW280" s="31"/>
      <c r="DX280" s="31"/>
      <c r="DY280" s="31"/>
      <c r="DZ280" s="31"/>
      <c r="EA280" s="31"/>
      <c r="EB280" s="31"/>
      <c r="EC280" s="31"/>
      <c r="ED280" s="31"/>
      <c r="EE280" s="31"/>
      <c r="EF280" s="31"/>
      <c r="EG280" s="31"/>
      <c r="EH280" s="31"/>
      <c r="EI280" s="31"/>
      <c r="EJ280" s="31"/>
      <c r="EK280" s="31"/>
      <c r="EL280" s="31"/>
    </row>
    <row r="281" spans="3:142" s="28" customFormat="1" ht="21.95" hidden="1" customHeight="1" outlineLevel="1">
      <c r="C281" s="1101" t="str">
        <f t="shared" si="11"/>
        <v>R1234yf</v>
      </c>
      <c r="D281" s="1102"/>
      <c r="E281" s="1102"/>
      <c r="F281" s="1102"/>
      <c r="G281" s="1102"/>
      <c r="H281" s="1102"/>
      <c r="I281" s="1102"/>
      <c r="J281" s="1103" t="s">
        <v>92</v>
      </c>
      <c r="K281" s="1103"/>
      <c r="L281" s="1103"/>
      <c r="M281" s="640"/>
      <c r="N281" s="1091">
        <v>0.15</v>
      </c>
      <c r="O281" s="1091">
        <v>0.12</v>
      </c>
      <c r="P281" s="1091">
        <v>0.2</v>
      </c>
      <c r="Q281" s="1091">
        <v>0.2</v>
      </c>
      <c r="R281" s="1091">
        <v>0.15</v>
      </c>
      <c r="S281" s="1091">
        <v>0.15</v>
      </c>
      <c r="T281" s="1092"/>
      <c r="U281" s="1091">
        <v>0.15</v>
      </c>
      <c r="V281" s="1091">
        <v>0.12</v>
      </c>
      <c r="W281" s="1091">
        <v>0.2</v>
      </c>
      <c r="X281" s="1091">
        <v>0.2</v>
      </c>
      <c r="Y281" s="1091">
        <v>0.15</v>
      </c>
      <c r="Z281" s="1091">
        <v>0.15</v>
      </c>
      <c r="AA281" s="1092"/>
      <c r="AB281" s="1091">
        <v>0.15</v>
      </c>
      <c r="AC281" s="1091">
        <v>0.12</v>
      </c>
      <c r="AD281" s="1091">
        <v>0.2</v>
      </c>
      <c r="AE281" s="1091">
        <v>0.2</v>
      </c>
      <c r="AF281" s="1091">
        <v>0.15</v>
      </c>
      <c r="AG281" s="1091">
        <v>0.15</v>
      </c>
      <c r="AH281" s="220"/>
      <c r="AI281" s="220"/>
      <c r="AJ281" s="1031" t="s">
        <v>1000</v>
      </c>
      <c r="AK281" s="220"/>
      <c r="AL281" s="220"/>
      <c r="AN281" s="31"/>
      <c r="AO281" s="31"/>
      <c r="AP281" s="31"/>
      <c r="AQ281" s="31"/>
      <c r="AR281" s="31"/>
      <c r="AS281" s="31"/>
      <c r="AT281" s="31"/>
      <c r="AU281" s="31"/>
      <c r="AV281" s="31"/>
      <c r="AW281" s="1086"/>
      <c r="AX281" s="1086"/>
      <c r="AY281" s="1086"/>
      <c r="AZ281" s="31"/>
      <c r="BA281" s="31"/>
      <c r="BB281" s="31"/>
      <c r="BC281" s="31"/>
      <c r="BD281" s="31"/>
      <c r="BE281" s="31"/>
      <c r="BF281" s="31"/>
      <c r="BG281" s="31"/>
      <c r="BH281" s="31"/>
      <c r="BI281" s="1086"/>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c r="CH281" s="31"/>
      <c r="CI281" s="31"/>
      <c r="CJ281" s="31"/>
      <c r="CK281" s="31"/>
      <c r="CL281" s="31"/>
      <c r="CM281" s="31"/>
      <c r="CN281" s="31"/>
      <c r="CO281" s="31"/>
      <c r="CP281" s="31"/>
      <c r="CQ281" s="31"/>
      <c r="CR281" s="31"/>
      <c r="CS281" s="31"/>
      <c r="CT281" s="31"/>
      <c r="CU281" s="31"/>
      <c r="CV281" s="31"/>
      <c r="CW281" s="31"/>
      <c r="CX281" s="31"/>
      <c r="CY281" s="31"/>
      <c r="CZ281" s="31"/>
      <c r="DA281" s="31"/>
      <c r="DB281" s="31"/>
      <c r="DC281" s="31"/>
      <c r="DD281" s="31"/>
      <c r="DE281" s="31"/>
      <c r="DF281" s="31"/>
      <c r="DG281" s="31"/>
      <c r="DH281" s="31"/>
      <c r="DI281" s="31"/>
      <c r="DJ281" s="31"/>
      <c r="DK281" s="31"/>
      <c r="DL281" s="31"/>
      <c r="DM281" s="31"/>
      <c r="DN281" s="31"/>
      <c r="DO281" s="31"/>
      <c r="DP281" s="31"/>
      <c r="DQ281" s="31"/>
      <c r="DR281" s="31"/>
      <c r="DS281" s="31"/>
      <c r="DT281" s="31"/>
      <c r="DU281" s="31"/>
      <c r="DV281" s="31"/>
      <c r="DW281" s="31"/>
      <c r="DX281" s="31"/>
      <c r="DY281" s="31"/>
      <c r="DZ281" s="31"/>
      <c r="EA281" s="31"/>
      <c r="EB281" s="31"/>
      <c r="EC281" s="31"/>
      <c r="ED281" s="31"/>
      <c r="EE281" s="31"/>
      <c r="EF281" s="31"/>
      <c r="EG281" s="31"/>
      <c r="EH281" s="31"/>
      <c r="EI281" s="31"/>
      <c r="EJ281" s="31"/>
      <c r="EK281" s="31"/>
      <c r="EL281" s="31"/>
    </row>
    <row r="282" spans="3:142" hidden="1" outlineLevel="1">
      <c r="D282" s="302"/>
      <c r="E282" s="302"/>
      <c r="F282" s="302"/>
      <c r="G282" s="302"/>
      <c r="H282" s="302"/>
      <c r="I282" s="302"/>
      <c r="J282" s="273"/>
      <c r="K282" s="273"/>
      <c r="L282" s="273"/>
      <c r="AI282" s="31"/>
      <c r="AK282" s="31"/>
      <c r="AL282" s="31"/>
      <c r="BB282" s="31"/>
      <c r="BD282" s="31"/>
    </row>
    <row r="283" spans="3:142" hidden="1" outlineLevel="1">
      <c r="D283" s="302"/>
      <c r="E283" s="302"/>
      <c r="F283" s="302"/>
      <c r="G283" s="302"/>
      <c r="H283" s="302"/>
      <c r="I283" s="302"/>
      <c r="AI283" s="31"/>
      <c r="AK283" s="31"/>
      <c r="AL283" s="31"/>
      <c r="BB283" s="31"/>
      <c r="BD283" s="31"/>
    </row>
    <row r="284" spans="3:142" ht="17.100000000000001" hidden="1" customHeight="1" outlineLevel="1">
      <c r="C284" s="499" t="s">
        <v>72</v>
      </c>
      <c r="D284" s="74"/>
      <c r="E284" s="74"/>
      <c r="F284" s="74"/>
      <c r="G284" s="74"/>
      <c r="H284" s="74"/>
      <c r="I284" s="74"/>
      <c r="J284" s="74"/>
      <c r="K284" s="74"/>
      <c r="L284" s="74"/>
      <c r="M284" s="74"/>
      <c r="N284" s="74"/>
      <c r="O284" s="74"/>
      <c r="P284" s="74"/>
      <c r="Q284" s="74"/>
      <c r="R284" s="74"/>
      <c r="S284" s="74"/>
      <c r="T284" s="74"/>
      <c r="U284" s="74"/>
      <c r="V284" s="74"/>
      <c r="W284" s="74"/>
      <c r="X284" s="74"/>
      <c r="Y284" s="74"/>
      <c r="Z284" s="74"/>
      <c r="AA284" s="74"/>
      <c r="AB284" s="7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row>
    <row r="285" spans="3:142" hidden="1" outlineLevel="1">
      <c r="C285" s="31"/>
      <c r="J285" s="302"/>
      <c r="K285" s="302"/>
      <c r="L285" s="302"/>
      <c r="AI285" s="31"/>
      <c r="AK285" s="31"/>
      <c r="AL285" s="31"/>
      <c r="BB285" s="31"/>
      <c r="BD285" s="31"/>
    </row>
    <row r="286" spans="3:142" ht="69" hidden="1" customHeight="1" outlineLevel="1">
      <c r="C286" s="1120" t="s">
        <v>18</v>
      </c>
      <c r="D286" s="1121"/>
      <c r="E286" s="1121"/>
      <c r="F286" s="1121"/>
      <c r="G286" s="1121"/>
      <c r="H286" s="1121"/>
      <c r="I286" s="1121"/>
      <c r="J286" s="1122"/>
      <c r="K286" s="1122"/>
      <c r="L286" s="1122"/>
      <c r="M286" s="1088"/>
      <c r="N286" s="1119" t="str">
        <f>N257</f>
        <v>Supermarkt</v>
      </c>
      <c r="O286" s="1119" t="str">
        <f t="shared" ref="O286:S286" si="13">O257</f>
        <v>Industrie</v>
      </c>
      <c r="P286" s="1119" t="str">
        <f t="shared" si="13"/>
        <v>Gewerbe</v>
      </c>
      <c r="Q286" s="1119" t="str">
        <f t="shared" si="13"/>
        <v>Klima-Kälte Direktverdampfung (VRV-, VRF-Systeme)</v>
      </c>
      <c r="R286" s="1119" t="str">
        <f t="shared" si="13"/>
        <v>Klima-Kälte (wassergekühlte Kaltwassersätze)</v>
      </c>
      <c r="S286" s="1119" t="str">
        <f t="shared" si="13"/>
        <v>Klima-Kälte (luftgekühlte Kaltwassersätze)</v>
      </c>
      <c r="AI286" s="31"/>
      <c r="AK286" s="31"/>
      <c r="AL286" s="31"/>
      <c r="BB286" s="31"/>
      <c r="BD286" s="31"/>
    </row>
    <row r="287" spans="3:142" hidden="1" outlineLevel="1">
      <c r="C287" s="31"/>
      <c r="K287" s="1030"/>
      <c r="L287" s="1030"/>
      <c r="M287" s="52"/>
      <c r="N287" s="694"/>
      <c r="O287" s="694"/>
      <c r="P287" s="694"/>
      <c r="Q287" s="694"/>
      <c r="R287" s="694"/>
      <c r="S287" s="694"/>
      <c r="AI287" s="31"/>
      <c r="AK287" s="31"/>
      <c r="AL287" s="31"/>
      <c r="BB287" s="31"/>
      <c r="BD287" s="31"/>
    </row>
    <row r="288" spans="3:142" ht="17.100000000000001" hidden="1" customHeight="1" outlineLevel="1">
      <c r="C288" s="1101" t="str">
        <f t="shared" ref="C288:C310" si="14">C259</f>
        <v>R 32</v>
      </c>
      <c r="D288" s="1102"/>
      <c r="E288" s="1102"/>
      <c r="F288" s="1102"/>
      <c r="G288" s="1102"/>
      <c r="H288" s="1102"/>
      <c r="I288" s="1102"/>
      <c r="J288" s="1103"/>
      <c r="K288" s="1103"/>
      <c r="L288" s="1103"/>
      <c r="M288" s="640"/>
      <c r="N288" s="1091">
        <v>0.7</v>
      </c>
      <c r="O288" s="1091">
        <v>0.7</v>
      </c>
      <c r="P288" s="1091">
        <v>0.5</v>
      </c>
      <c r="Q288" s="1091">
        <v>0.6</v>
      </c>
      <c r="R288" s="1091">
        <v>0.6</v>
      </c>
      <c r="S288" s="1091">
        <v>0.6</v>
      </c>
      <c r="AI288" s="31"/>
      <c r="AK288" s="31"/>
      <c r="AL288" s="31"/>
      <c r="BB288" s="31"/>
      <c r="BD288" s="31"/>
    </row>
    <row r="289" spans="3:56" ht="17.100000000000001" hidden="1" customHeight="1" outlineLevel="1">
      <c r="C289" s="1101" t="str">
        <f t="shared" si="14"/>
        <v>R134a</v>
      </c>
      <c r="D289" s="1102"/>
      <c r="E289" s="1102"/>
      <c r="F289" s="1102"/>
      <c r="G289" s="1102"/>
      <c r="H289" s="1102"/>
      <c r="I289" s="1102"/>
      <c r="J289" s="1103"/>
      <c r="K289" s="1103"/>
      <c r="L289" s="1103"/>
      <c r="M289" s="640"/>
      <c r="N289" s="1091">
        <v>0.7</v>
      </c>
      <c r="O289" s="1091">
        <v>0.7</v>
      </c>
      <c r="P289" s="1091">
        <v>0.5</v>
      </c>
      <c r="Q289" s="1091">
        <v>0.6</v>
      </c>
      <c r="R289" s="1091">
        <v>0.6</v>
      </c>
      <c r="S289" s="1091">
        <v>0.6</v>
      </c>
      <c r="AI289" s="31"/>
      <c r="AK289" s="31"/>
      <c r="AL289" s="31"/>
      <c r="BB289" s="31"/>
      <c r="BD289" s="31"/>
    </row>
    <row r="290" spans="3:56" ht="17.100000000000001" hidden="1" customHeight="1" outlineLevel="1">
      <c r="C290" s="1123" t="str">
        <f t="shared" si="14"/>
        <v>R290 (Propan)</v>
      </c>
      <c r="D290" s="1104"/>
      <c r="E290" s="1104"/>
      <c r="F290" s="1104"/>
      <c r="G290" s="1104"/>
      <c r="H290" s="1104"/>
      <c r="I290" s="1104"/>
      <c r="J290" s="1103"/>
      <c r="K290" s="1103"/>
      <c r="L290" s="1103"/>
      <c r="M290" s="640"/>
      <c r="N290" s="1093">
        <v>0</v>
      </c>
      <c r="O290" s="1093">
        <v>0</v>
      </c>
      <c r="P290" s="1093">
        <v>0</v>
      </c>
      <c r="Q290" s="1093">
        <v>0</v>
      </c>
      <c r="R290" s="1093">
        <v>0</v>
      </c>
      <c r="S290" s="1093">
        <v>0</v>
      </c>
      <c r="AI290" s="31"/>
      <c r="AK290" s="31"/>
      <c r="AL290" s="31"/>
      <c r="BB290" s="31"/>
      <c r="BD290" s="31"/>
    </row>
    <row r="291" spans="3:56" ht="17.100000000000001" hidden="1" customHeight="1" outlineLevel="1">
      <c r="C291" s="1101" t="str">
        <f t="shared" si="14"/>
        <v>R404A</v>
      </c>
      <c r="D291" s="1102"/>
      <c r="E291" s="1102"/>
      <c r="F291" s="1102"/>
      <c r="G291" s="1102"/>
      <c r="H291" s="1102"/>
      <c r="I291" s="1102"/>
      <c r="J291" s="1103"/>
      <c r="K291" s="1103"/>
      <c r="L291" s="1103"/>
      <c r="M291" s="640"/>
      <c r="N291" s="1091">
        <v>0.7</v>
      </c>
      <c r="O291" s="1091">
        <v>0.7</v>
      </c>
      <c r="P291" s="1091">
        <v>0.5</v>
      </c>
      <c r="Q291" s="1091">
        <v>0.6</v>
      </c>
      <c r="R291" s="1091">
        <v>0.6</v>
      </c>
      <c r="S291" s="1091">
        <v>0.6</v>
      </c>
      <c r="AI291" s="31"/>
      <c r="AK291" s="31"/>
      <c r="AL291" s="31"/>
      <c r="BB291" s="31"/>
      <c r="BD291" s="31"/>
    </row>
    <row r="292" spans="3:56" ht="17.100000000000001" hidden="1" customHeight="1" outlineLevel="1">
      <c r="C292" s="1101" t="str">
        <f t="shared" si="14"/>
        <v>R407C</v>
      </c>
      <c r="D292" s="1102"/>
      <c r="E292" s="1102"/>
      <c r="F292" s="1102"/>
      <c r="G292" s="1102"/>
      <c r="H292" s="1102"/>
      <c r="I292" s="1102"/>
      <c r="J292" s="1103"/>
      <c r="K292" s="1103"/>
      <c r="L292" s="1103"/>
      <c r="M292" s="640"/>
      <c r="N292" s="1091">
        <v>0.7</v>
      </c>
      <c r="O292" s="1091">
        <v>0.7</v>
      </c>
      <c r="P292" s="1091">
        <v>0.5</v>
      </c>
      <c r="Q292" s="1091">
        <v>0.6</v>
      </c>
      <c r="R292" s="1091">
        <v>0.6</v>
      </c>
      <c r="S292" s="1091">
        <v>0.6</v>
      </c>
      <c r="AI292" s="31"/>
      <c r="AK292" s="31"/>
      <c r="AL292" s="31"/>
      <c r="BB292" s="31"/>
      <c r="BD292" s="31"/>
    </row>
    <row r="293" spans="3:56" ht="17.100000000000001" hidden="1" customHeight="1" outlineLevel="1">
      <c r="C293" s="1101" t="str">
        <f t="shared" si="14"/>
        <v>R407F</v>
      </c>
      <c r="D293" s="1102"/>
      <c r="E293" s="1102"/>
      <c r="F293" s="1102"/>
      <c r="G293" s="1102"/>
      <c r="H293" s="1102"/>
      <c r="I293" s="1102"/>
      <c r="J293" s="1103"/>
      <c r="K293" s="1103"/>
      <c r="L293" s="1103"/>
      <c r="M293" s="640"/>
      <c r="N293" s="1091">
        <v>0.7</v>
      </c>
      <c r="O293" s="1091">
        <v>0.7</v>
      </c>
      <c r="P293" s="1091">
        <v>0.5</v>
      </c>
      <c r="Q293" s="1091">
        <v>0.6</v>
      </c>
      <c r="R293" s="1091">
        <v>0.6</v>
      </c>
      <c r="S293" s="1091">
        <v>0.6</v>
      </c>
      <c r="AI293" s="31"/>
      <c r="AK293" s="31"/>
      <c r="AL293" s="31"/>
      <c r="BB293" s="31"/>
      <c r="BD293" s="31"/>
    </row>
    <row r="294" spans="3:56" ht="17.100000000000001" hidden="1" customHeight="1" outlineLevel="1">
      <c r="C294" s="1101" t="str">
        <f t="shared" si="14"/>
        <v>R410A</v>
      </c>
      <c r="D294" s="1102"/>
      <c r="E294" s="1102"/>
      <c r="F294" s="1102"/>
      <c r="G294" s="1102"/>
      <c r="H294" s="1102"/>
      <c r="I294" s="1102"/>
      <c r="J294" s="1103"/>
      <c r="K294" s="1103"/>
      <c r="L294" s="1103"/>
      <c r="M294" s="640"/>
      <c r="N294" s="1091">
        <v>0.7</v>
      </c>
      <c r="O294" s="1091">
        <v>0.7</v>
      </c>
      <c r="P294" s="1091">
        <v>0.5</v>
      </c>
      <c r="Q294" s="1091">
        <v>0.6</v>
      </c>
      <c r="R294" s="1091">
        <v>0.6</v>
      </c>
      <c r="S294" s="1091">
        <v>0.6</v>
      </c>
      <c r="AI294" s="31"/>
      <c r="AK294" s="31"/>
      <c r="AL294" s="31"/>
      <c r="BB294" s="31"/>
      <c r="BD294" s="31"/>
    </row>
    <row r="295" spans="3:56" ht="17.100000000000001" hidden="1" customHeight="1" outlineLevel="1">
      <c r="C295" s="1101" t="str">
        <f t="shared" si="14"/>
        <v>R417A</v>
      </c>
      <c r="D295" s="1102"/>
      <c r="E295" s="1102"/>
      <c r="F295" s="1102"/>
      <c r="G295" s="1102"/>
      <c r="H295" s="1102"/>
      <c r="I295" s="1102"/>
      <c r="J295" s="1103"/>
      <c r="K295" s="1103"/>
      <c r="L295" s="1103"/>
      <c r="M295" s="640"/>
      <c r="N295" s="1091">
        <v>0.7</v>
      </c>
      <c r="O295" s="1091">
        <v>0.7</v>
      </c>
      <c r="P295" s="1091">
        <v>0.5</v>
      </c>
      <c r="Q295" s="1091">
        <v>0.6</v>
      </c>
      <c r="R295" s="1091">
        <v>0.6</v>
      </c>
      <c r="S295" s="1091">
        <v>0.6</v>
      </c>
      <c r="AI295" s="31"/>
      <c r="AK295" s="31"/>
      <c r="AL295" s="31"/>
      <c r="BB295" s="31"/>
      <c r="BD295" s="31"/>
    </row>
    <row r="296" spans="3:56" ht="17.100000000000001" hidden="1" customHeight="1" outlineLevel="1">
      <c r="C296" s="1101" t="str">
        <f t="shared" si="14"/>
        <v>R422A</v>
      </c>
      <c r="D296" s="1102"/>
      <c r="E296" s="1102"/>
      <c r="F296" s="1102"/>
      <c r="G296" s="1102"/>
      <c r="H296" s="1102"/>
      <c r="I296" s="1102"/>
      <c r="J296" s="1103"/>
      <c r="K296" s="1103"/>
      <c r="L296" s="1103"/>
      <c r="M296" s="640"/>
      <c r="N296" s="1091">
        <v>0.7</v>
      </c>
      <c r="O296" s="1091">
        <v>0.7</v>
      </c>
      <c r="P296" s="1091">
        <v>0.5</v>
      </c>
      <c r="Q296" s="1091">
        <v>0.6</v>
      </c>
      <c r="R296" s="1091">
        <v>0.6</v>
      </c>
      <c r="S296" s="1091">
        <v>0.6</v>
      </c>
      <c r="AI296" s="31"/>
      <c r="AK296" s="31"/>
      <c r="AL296" s="31"/>
      <c r="BB296" s="31"/>
      <c r="BD296" s="31"/>
    </row>
    <row r="297" spans="3:56" ht="17.100000000000001" hidden="1" customHeight="1" outlineLevel="1">
      <c r="C297" s="1101" t="str">
        <f t="shared" si="14"/>
        <v>R422D</v>
      </c>
      <c r="D297" s="1102"/>
      <c r="E297" s="1102"/>
      <c r="F297" s="1102"/>
      <c r="G297" s="1102"/>
      <c r="H297" s="1102"/>
      <c r="I297" s="1102"/>
      <c r="J297" s="1103"/>
      <c r="K297" s="1103"/>
      <c r="L297" s="1103"/>
      <c r="M297" s="640"/>
      <c r="N297" s="1091">
        <v>0.7</v>
      </c>
      <c r="O297" s="1091">
        <v>0.7</v>
      </c>
      <c r="P297" s="1091">
        <v>0.5</v>
      </c>
      <c r="Q297" s="1091">
        <v>0.6</v>
      </c>
      <c r="R297" s="1091">
        <v>0.6</v>
      </c>
      <c r="S297" s="1091">
        <v>0.6</v>
      </c>
      <c r="AI297" s="31"/>
      <c r="AK297" s="31"/>
      <c r="AL297" s="31"/>
      <c r="BB297" s="31"/>
      <c r="BD297" s="31"/>
    </row>
    <row r="298" spans="3:56" ht="17.100000000000001" hidden="1" customHeight="1" outlineLevel="1">
      <c r="C298" s="1101" t="str">
        <f t="shared" si="14"/>
        <v>R427A</v>
      </c>
      <c r="D298" s="1102"/>
      <c r="E298" s="1102"/>
      <c r="F298" s="1102"/>
      <c r="G298" s="1102"/>
      <c r="H298" s="1102"/>
      <c r="I298" s="1102"/>
      <c r="J298" s="1103"/>
      <c r="K298" s="1103"/>
      <c r="L298" s="1103"/>
      <c r="M298" s="640"/>
      <c r="N298" s="1091">
        <v>0.7</v>
      </c>
      <c r="O298" s="1091">
        <v>0.7</v>
      </c>
      <c r="P298" s="1091">
        <v>0.5</v>
      </c>
      <c r="Q298" s="1091">
        <v>0.6</v>
      </c>
      <c r="R298" s="1091">
        <v>0.6</v>
      </c>
      <c r="S298" s="1091">
        <v>0.6</v>
      </c>
      <c r="AI298" s="31"/>
      <c r="AK298" s="31"/>
      <c r="AL298" s="31"/>
      <c r="BB298" s="31"/>
      <c r="BD298" s="31"/>
    </row>
    <row r="299" spans="3:56" ht="17.100000000000001" hidden="1" customHeight="1" outlineLevel="1">
      <c r="C299" s="1101" t="str">
        <f t="shared" si="14"/>
        <v>R448A</v>
      </c>
      <c r="D299" s="1102"/>
      <c r="E299" s="1102"/>
      <c r="F299" s="1102"/>
      <c r="G299" s="1102"/>
      <c r="H299" s="1102"/>
      <c r="I299" s="1102"/>
      <c r="J299" s="1103"/>
      <c r="K299" s="1103"/>
      <c r="L299" s="1103"/>
      <c r="M299" s="640"/>
      <c r="N299" s="1091">
        <v>0.7</v>
      </c>
      <c r="O299" s="1091">
        <v>0.7</v>
      </c>
      <c r="P299" s="1091">
        <v>0.5</v>
      </c>
      <c r="Q299" s="1091">
        <v>0.6</v>
      </c>
      <c r="R299" s="1091">
        <v>0.6</v>
      </c>
      <c r="S299" s="1091">
        <v>0.6</v>
      </c>
      <c r="AI299" s="31"/>
      <c r="AK299" s="31"/>
      <c r="AL299" s="31"/>
      <c r="BB299" s="31"/>
      <c r="BD299" s="31"/>
    </row>
    <row r="300" spans="3:56" ht="17.100000000000001" hidden="1" customHeight="1" outlineLevel="1">
      <c r="C300" s="1101" t="str">
        <f t="shared" si="14"/>
        <v>R449A</v>
      </c>
      <c r="D300" s="1102"/>
      <c r="E300" s="1102"/>
      <c r="F300" s="1102"/>
      <c r="G300" s="1102"/>
      <c r="H300" s="1102"/>
      <c r="I300" s="1102"/>
      <c r="J300" s="1103"/>
      <c r="K300" s="1103"/>
      <c r="L300" s="1103"/>
      <c r="M300" s="640"/>
      <c r="N300" s="1091">
        <v>0.7</v>
      </c>
      <c r="O300" s="1091">
        <v>0.7</v>
      </c>
      <c r="P300" s="1091">
        <v>0.5</v>
      </c>
      <c r="Q300" s="1091">
        <v>0.6</v>
      </c>
      <c r="R300" s="1091">
        <v>0.6</v>
      </c>
      <c r="S300" s="1091">
        <v>0.6</v>
      </c>
      <c r="AI300" s="31"/>
      <c r="AK300" s="31"/>
      <c r="AL300" s="31"/>
      <c r="BB300" s="31"/>
      <c r="BD300" s="31"/>
    </row>
    <row r="301" spans="3:56" ht="17.100000000000001" hidden="1" customHeight="1" outlineLevel="1">
      <c r="C301" s="1101" t="str">
        <f t="shared" si="14"/>
        <v>R450A</v>
      </c>
      <c r="D301" s="1102"/>
      <c r="E301" s="1102"/>
      <c r="F301" s="1102"/>
      <c r="G301" s="1102"/>
      <c r="H301" s="1102"/>
      <c r="I301" s="1102"/>
      <c r="J301" s="1103"/>
      <c r="K301" s="1103"/>
      <c r="L301" s="1103"/>
      <c r="M301" s="640"/>
      <c r="N301" s="1091">
        <v>0.7</v>
      </c>
      <c r="O301" s="1091">
        <v>0.7</v>
      </c>
      <c r="P301" s="1091">
        <v>0.5</v>
      </c>
      <c r="Q301" s="1091">
        <v>0.6</v>
      </c>
      <c r="R301" s="1091">
        <v>0.6</v>
      </c>
      <c r="S301" s="1091">
        <v>0.6</v>
      </c>
      <c r="AI301" s="31"/>
      <c r="AK301" s="31"/>
      <c r="AL301" s="31"/>
      <c r="BB301" s="31"/>
      <c r="BD301" s="31"/>
    </row>
    <row r="302" spans="3:56" ht="17.100000000000001" hidden="1" customHeight="1" outlineLevel="1">
      <c r="C302" s="1101" t="str">
        <f t="shared" si="14"/>
        <v>R507 A</v>
      </c>
      <c r="D302" s="1102"/>
      <c r="E302" s="1102"/>
      <c r="F302" s="1102"/>
      <c r="G302" s="1102"/>
      <c r="H302" s="1102"/>
      <c r="I302" s="1102"/>
      <c r="J302" s="1103"/>
      <c r="K302" s="1103"/>
      <c r="L302" s="1103"/>
      <c r="M302" s="640"/>
      <c r="N302" s="1091">
        <v>0.7</v>
      </c>
      <c r="O302" s="1091">
        <v>0.7</v>
      </c>
      <c r="P302" s="1091">
        <v>0.5</v>
      </c>
      <c r="Q302" s="1091">
        <v>0.6</v>
      </c>
      <c r="R302" s="1091">
        <v>0.6</v>
      </c>
      <c r="S302" s="1091">
        <v>0.6</v>
      </c>
      <c r="AI302" s="31"/>
      <c r="AK302" s="31"/>
      <c r="AL302" s="31"/>
      <c r="BB302" s="31"/>
      <c r="BD302" s="31"/>
    </row>
    <row r="303" spans="3:56" ht="17.100000000000001" hidden="1" customHeight="1" outlineLevel="1">
      <c r="C303" s="1101" t="str">
        <f t="shared" si="14"/>
        <v>R513 A</v>
      </c>
      <c r="D303" s="1102"/>
      <c r="E303" s="1102"/>
      <c r="F303" s="1102"/>
      <c r="G303" s="1102"/>
      <c r="H303" s="1102"/>
      <c r="I303" s="1102"/>
      <c r="J303" s="1103"/>
      <c r="K303" s="1103"/>
      <c r="L303" s="1103"/>
      <c r="M303" s="640"/>
      <c r="N303" s="1091">
        <v>0.7</v>
      </c>
      <c r="O303" s="1091">
        <v>0.7</v>
      </c>
      <c r="P303" s="1091">
        <v>0.5</v>
      </c>
      <c r="Q303" s="1091">
        <v>0.6</v>
      </c>
      <c r="R303" s="1091">
        <v>0.6</v>
      </c>
      <c r="S303" s="1091">
        <v>0.6</v>
      </c>
      <c r="AI303" s="31"/>
      <c r="AK303" s="31"/>
      <c r="AL303" s="31"/>
      <c r="BB303" s="31"/>
      <c r="BD303" s="31"/>
    </row>
    <row r="304" spans="3:56" ht="17.100000000000001" hidden="1" customHeight="1" outlineLevel="1">
      <c r="C304" s="1128" t="str">
        <f t="shared" si="14"/>
        <v>R717 (Ammoniak - NH3)</v>
      </c>
      <c r="D304" s="1105"/>
      <c r="E304" s="1105"/>
      <c r="F304" s="1105"/>
      <c r="G304" s="1105"/>
      <c r="H304" s="1105"/>
      <c r="I304" s="1105"/>
      <c r="J304" s="1103"/>
      <c r="K304" s="1103"/>
      <c r="L304" s="1103"/>
      <c r="M304" s="640"/>
      <c r="N304" s="1095">
        <v>0.99</v>
      </c>
      <c r="O304" s="1095">
        <v>0.99</v>
      </c>
      <c r="P304" s="1095">
        <v>0.99</v>
      </c>
      <c r="Q304" s="1095">
        <v>0.99</v>
      </c>
      <c r="R304" s="1095">
        <v>0.99</v>
      </c>
      <c r="S304" s="1095">
        <v>0.99</v>
      </c>
      <c r="AI304" s="31"/>
      <c r="AK304" s="31"/>
      <c r="AL304" s="31"/>
      <c r="BB304" s="31"/>
      <c r="BD304" s="31"/>
    </row>
    <row r="305" spans="3:57" ht="17.100000000000001" hidden="1" customHeight="1" outlineLevel="1">
      <c r="C305" s="1129" t="str">
        <f t="shared" si="14"/>
        <v>R723</v>
      </c>
      <c r="D305" s="1106"/>
      <c r="E305" s="1106"/>
      <c r="F305" s="1106"/>
      <c r="G305" s="1106"/>
      <c r="H305" s="1106"/>
      <c r="I305" s="1106"/>
      <c r="J305" s="1103"/>
      <c r="K305" s="1103"/>
      <c r="L305" s="1103"/>
      <c r="M305" s="640"/>
      <c r="N305" s="1095">
        <v>0.99</v>
      </c>
      <c r="O305" s="1095">
        <v>0.99</v>
      </c>
      <c r="P305" s="1095">
        <v>0.99</v>
      </c>
      <c r="Q305" s="1095">
        <v>0.99</v>
      </c>
      <c r="R305" s="1095">
        <v>0.99</v>
      </c>
      <c r="S305" s="1095">
        <v>0.99</v>
      </c>
      <c r="AI305" s="31"/>
      <c r="AK305" s="31"/>
      <c r="AL305" s="31"/>
      <c r="BB305" s="31"/>
      <c r="BD305" s="31"/>
    </row>
    <row r="306" spans="3:57" ht="17.100000000000001" hidden="1" customHeight="1" outlineLevel="1">
      <c r="C306" s="1130" t="str">
        <f t="shared" si="14"/>
        <v>R744  (CO2)</v>
      </c>
      <c r="D306" s="1107"/>
      <c r="E306" s="1107"/>
      <c r="F306" s="1107"/>
      <c r="G306" s="1107"/>
      <c r="H306" s="1107"/>
      <c r="I306" s="1107"/>
      <c r="J306" s="1103"/>
      <c r="K306" s="1103"/>
      <c r="L306" s="1103"/>
      <c r="M306" s="640"/>
      <c r="N306" s="1097">
        <v>0</v>
      </c>
      <c r="O306" s="1097">
        <v>0</v>
      </c>
      <c r="P306" s="1097">
        <v>0</v>
      </c>
      <c r="Q306" s="1097">
        <v>0</v>
      </c>
      <c r="R306" s="1097">
        <v>0</v>
      </c>
      <c r="S306" s="1097">
        <v>0</v>
      </c>
      <c r="AI306" s="31"/>
      <c r="AK306" s="31"/>
      <c r="AL306" s="31"/>
      <c r="BB306" s="31"/>
      <c r="BD306" s="31"/>
    </row>
    <row r="307" spans="3:57" ht="17.100000000000001" hidden="1" customHeight="1" outlineLevel="1">
      <c r="C307" s="1123" t="str">
        <f t="shared" si="14"/>
        <v>R1270 (Propylen)</v>
      </c>
      <c r="D307" s="1125"/>
      <c r="E307" s="1125"/>
      <c r="F307" s="1125"/>
      <c r="G307" s="1125"/>
      <c r="H307" s="1125"/>
      <c r="I307" s="1125"/>
      <c r="J307" s="1103"/>
      <c r="K307" s="1103"/>
      <c r="L307" s="1103"/>
      <c r="M307" s="640"/>
      <c r="N307" s="1126">
        <v>0</v>
      </c>
      <c r="O307" s="1126">
        <v>0</v>
      </c>
      <c r="P307" s="1126">
        <v>0</v>
      </c>
      <c r="Q307" s="1126">
        <v>0</v>
      </c>
      <c r="R307" s="1126">
        <v>0</v>
      </c>
      <c r="S307" s="1126">
        <v>0</v>
      </c>
      <c r="AI307" s="31"/>
      <c r="AK307" s="31"/>
      <c r="AL307" s="31"/>
      <c r="BB307" s="31"/>
      <c r="BD307" s="31"/>
    </row>
    <row r="308" spans="3:57" ht="17.100000000000001" hidden="1" customHeight="1" outlineLevel="1">
      <c r="C308" s="1101" t="str">
        <f t="shared" si="14"/>
        <v>R1233zd</v>
      </c>
      <c r="D308" s="1102"/>
      <c r="E308" s="1102"/>
      <c r="F308" s="1102"/>
      <c r="G308" s="1102"/>
      <c r="H308" s="1102"/>
      <c r="I308" s="1102"/>
      <c r="J308" s="1103"/>
      <c r="K308" s="1103"/>
      <c r="L308" s="1103"/>
      <c r="M308" s="640"/>
      <c r="N308" s="1091">
        <v>0.7</v>
      </c>
      <c r="O308" s="1091">
        <v>0.7</v>
      </c>
      <c r="P308" s="1091">
        <v>0.5</v>
      </c>
      <c r="Q308" s="1091">
        <v>0.6</v>
      </c>
      <c r="R308" s="1091">
        <v>0.6</v>
      </c>
      <c r="S308" s="1091">
        <v>0.6</v>
      </c>
      <c r="AI308" s="31"/>
      <c r="AK308" s="31"/>
      <c r="AL308" s="31"/>
      <c r="BB308" s="31"/>
      <c r="BD308" s="31"/>
    </row>
    <row r="309" spans="3:57" ht="17.100000000000001" hidden="1" customHeight="1" outlineLevel="1">
      <c r="C309" s="1101" t="str">
        <f t="shared" si="14"/>
        <v xml:space="preserve">R1234ze </v>
      </c>
      <c r="D309" s="1102"/>
      <c r="E309" s="1102"/>
      <c r="F309" s="1102"/>
      <c r="G309" s="1102"/>
      <c r="H309" s="1102"/>
      <c r="I309" s="1102"/>
      <c r="J309" s="1103"/>
      <c r="K309" s="1103"/>
      <c r="L309" s="1103"/>
      <c r="M309" s="640"/>
      <c r="N309" s="1091">
        <v>0.7</v>
      </c>
      <c r="O309" s="1091">
        <v>0.7</v>
      </c>
      <c r="P309" s="1091">
        <v>0.5</v>
      </c>
      <c r="Q309" s="1091">
        <v>0.6</v>
      </c>
      <c r="R309" s="1091">
        <v>0.6</v>
      </c>
      <c r="S309" s="1091">
        <v>0.6</v>
      </c>
      <c r="AI309" s="31"/>
      <c r="AK309" s="31"/>
      <c r="AL309" s="31"/>
      <c r="BB309" s="31"/>
      <c r="BD309" s="31"/>
    </row>
    <row r="310" spans="3:57" ht="17.100000000000001" hidden="1" customHeight="1" outlineLevel="1">
      <c r="C310" s="1101" t="str">
        <f t="shared" si="14"/>
        <v>R1234yf</v>
      </c>
      <c r="D310" s="1102"/>
      <c r="E310" s="1102"/>
      <c r="F310" s="1102"/>
      <c r="G310" s="1102"/>
      <c r="H310" s="1102"/>
      <c r="I310" s="1102"/>
      <c r="J310" s="1103"/>
      <c r="K310" s="1103"/>
      <c r="L310" s="1103"/>
      <c r="M310" s="640"/>
      <c r="N310" s="1091">
        <v>0.7</v>
      </c>
      <c r="O310" s="1091">
        <v>0.7</v>
      </c>
      <c r="P310" s="1091">
        <v>0.5</v>
      </c>
      <c r="Q310" s="1091">
        <v>0.6</v>
      </c>
      <c r="R310" s="1091">
        <v>0.6</v>
      </c>
      <c r="S310" s="1091">
        <v>0.6</v>
      </c>
      <c r="AI310" s="31"/>
      <c r="AK310" s="31"/>
      <c r="AL310" s="31"/>
      <c r="BB310" s="31"/>
      <c r="BD310" s="31"/>
    </row>
    <row r="311" spans="3:57" hidden="1" outlineLevel="1">
      <c r="C311" s="31"/>
      <c r="M311" s="52"/>
      <c r="AI311" s="31"/>
      <c r="AK311" s="31"/>
      <c r="AL311" s="31"/>
      <c r="BB311" s="31"/>
      <c r="BD311" s="31"/>
    </row>
    <row r="312" spans="3:57" hidden="1" outlineLevel="1">
      <c r="C312" s="31"/>
      <c r="M312" s="52"/>
      <c r="AI312" s="31"/>
      <c r="AK312" s="31"/>
      <c r="AL312" s="31"/>
      <c r="BB312" s="31"/>
      <c r="BD312" s="31"/>
    </row>
    <row r="313" spans="3:57" hidden="1" outlineLevel="1">
      <c r="C313" s="31"/>
      <c r="M313" s="52"/>
      <c r="AI313" s="31"/>
      <c r="AK313" s="31"/>
      <c r="AL313" s="31"/>
      <c r="BB313" s="31"/>
      <c r="BD313" s="31"/>
    </row>
    <row r="314" spans="3:57" hidden="1" outlineLevel="1">
      <c r="C314" s="31"/>
      <c r="M314" s="52"/>
      <c r="AI314" s="31"/>
      <c r="AK314" s="31"/>
      <c r="AL314" s="31"/>
      <c r="BB314" s="31"/>
      <c r="BD314" s="31"/>
    </row>
    <row r="315" spans="3:57" hidden="1" outlineLevel="1">
      <c r="C315" s="31"/>
      <c r="M315" s="52"/>
      <c r="AI315" s="31"/>
      <c r="AK315" s="31"/>
      <c r="AL315" s="31"/>
      <c r="BB315" s="31"/>
      <c r="BD315" s="31"/>
    </row>
    <row r="316" spans="3:57" hidden="1" outlineLevel="1">
      <c r="C316" s="31"/>
      <c r="AI316" s="31"/>
      <c r="AK316" s="31"/>
      <c r="AL316" s="31"/>
      <c r="BB316" s="31"/>
      <c r="BD316" s="31"/>
    </row>
    <row r="317" spans="3:57" ht="17.100000000000001" hidden="1" customHeight="1" outlineLevel="1">
      <c r="C317" s="499" t="s">
        <v>270</v>
      </c>
      <c r="D317" s="74"/>
      <c r="E317" s="74"/>
      <c r="F317" s="74"/>
      <c r="G317" s="74"/>
      <c r="H317" s="74"/>
      <c r="I317" s="74"/>
      <c r="J317" s="74" t="s">
        <v>1006</v>
      </c>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row>
    <row r="318" spans="3:57" hidden="1" outlineLevel="1">
      <c r="C318" s="31"/>
      <c r="N318" s="824"/>
      <c r="O318" s="824"/>
      <c r="P318" s="824"/>
      <c r="Q318" s="824"/>
      <c r="R318" s="824"/>
      <c r="S318" s="824"/>
      <c r="T318" s="824"/>
      <c r="U318" s="824"/>
      <c r="V318" s="824"/>
      <c r="W318" s="824"/>
      <c r="X318" s="824"/>
      <c r="Y318" s="824"/>
      <c r="Z318" s="824"/>
      <c r="AA318" s="824"/>
      <c r="AI318" s="31"/>
      <c r="AK318" s="31"/>
      <c r="AL318" s="31"/>
      <c r="BB318" s="31"/>
      <c r="BD318" s="31"/>
    </row>
    <row r="319" spans="3:57" hidden="1" outlineLevel="1">
      <c r="C319" s="31" t="s">
        <v>18</v>
      </c>
      <c r="J319" s="1135">
        <f>Y33</f>
        <v>0</v>
      </c>
      <c r="K319" s="824"/>
      <c r="L319" s="824"/>
      <c r="M319" s="824"/>
      <c r="N319" s="824"/>
      <c r="O319" s="824"/>
      <c r="P319" s="824"/>
      <c r="Q319" s="824"/>
      <c r="R319" s="824"/>
      <c r="S319" s="824"/>
      <c r="T319" s="824"/>
      <c r="U319" s="824"/>
      <c r="V319" s="824"/>
      <c r="W319" s="824"/>
      <c r="X319" s="824"/>
      <c r="Y319" s="824"/>
      <c r="Z319" s="824"/>
      <c r="AA319" s="824"/>
      <c r="AI319" s="31"/>
      <c r="AK319" s="31"/>
      <c r="AL319" s="31"/>
      <c r="BB319" s="31"/>
      <c r="BD319" s="31"/>
    </row>
    <row r="320" spans="3:57" hidden="1" outlineLevel="1">
      <c r="C320" s="31" t="s">
        <v>303</v>
      </c>
      <c r="J320" s="1136">
        <f>Y44</f>
        <v>0</v>
      </c>
      <c r="K320" s="824"/>
      <c r="L320" s="824"/>
      <c r="M320" s="824"/>
      <c r="N320" s="824"/>
      <c r="O320" s="824"/>
      <c r="P320" s="824"/>
      <c r="Q320" s="824"/>
      <c r="R320" s="824"/>
      <c r="S320" s="824"/>
      <c r="T320" s="824"/>
      <c r="U320" s="824"/>
      <c r="V320" s="824"/>
      <c r="W320" s="824"/>
      <c r="X320" s="824"/>
      <c r="Y320" s="824"/>
      <c r="Z320" s="824"/>
      <c r="AA320" s="824"/>
      <c r="AI320" s="31"/>
      <c r="AK320" s="31"/>
      <c r="AL320" s="31"/>
      <c r="BB320" s="31"/>
      <c r="BD320" s="31"/>
    </row>
    <row r="321" spans="3:56" hidden="1" outlineLevel="1">
      <c r="C321" s="31" t="s">
        <v>15</v>
      </c>
      <c r="J321" s="87" t="str">
        <f>Y42</f>
        <v/>
      </c>
      <c r="K321" s="824"/>
      <c r="L321" s="824"/>
      <c r="M321" s="824"/>
      <c r="N321" s="824"/>
      <c r="O321" s="824"/>
      <c r="P321" s="824"/>
      <c r="Q321" s="824"/>
      <c r="R321" s="824"/>
      <c r="S321" s="824"/>
      <c r="T321" s="824"/>
      <c r="U321" s="824"/>
      <c r="V321" s="824"/>
      <c r="W321" s="824"/>
      <c r="X321" s="824"/>
      <c r="Y321" s="824"/>
      <c r="Z321" s="824"/>
      <c r="AA321" s="824"/>
      <c r="AI321" s="31"/>
      <c r="AK321" s="31"/>
      <c r="AL321" s="31"/>
      <c r="BB321" s="31"/>
      <c r="BD321" s="31"/>
    </row>
    <row r="322" spans="3:56" hidden="1" outlineLevel="1">
      <c r="C322" s="31"/>
      <c r="N322" s="824"/>
      <c r="O322" s="824"/>
      <c r="P322" s="824"/>
      <c r="Q322" s="824"/>
      <c r="R322" s="824"/>
      <c r="S322" s="824"/>
      <c r="T322" s="824"/>
      <c r="U322" s="824"/>
      <c r="V322" s="824"/>
      <c r="W322" s="824"/>
      <c r="X322" s="824"/>
      <c r="Y322" s="824"/>
      <c r="Z322" s="824"/>
      <c r="AA322" s="824"/>
      <c r="AI322" s="31"/>
      <c r="AK322" s="31"/>
      <c r="AL322" s="31"/>
      <c r="BB322" s="31"/>
      <c r="BD322" s="31"/>
    </row>
    <row r="323" spans="3:56" hidden="1" outlineLevel="1">
      <c r="C323" s="31" t="s">
        <v>863</v>
      </c>
      <c r="J323" s="1768">
        <f>IF(N323=0,1,N323)</f>
        <v>1</v>
      </c>
      <c r="K323" s="1768"/>
      <c r="L323" s="1768"/>
      <c r="N323" s="1769">
        <f>SUM(N331:AG353)</f>
        <v>0</v>
      </c>
      <c r="O323" s="1770"/>
      <c r="P323" s="1770"/>
      <c r="Q323" s="1770"/>
      <c r="R323" s="1770"/>
      <c r="S323" s="1770"/>
      <c r="T323" s="1770"/>
      <c r="U323" s="1770"/>
      <c r="V323" s="1770"/>
      <c r="W323" s="1770"/>
      <c r="X323" s="1770"/>
      <c r="Y323" s="1770"/>
      <c r="Z323" s="1770"/>
      <c r="AA323" s="1770"/>
      <c r="AB323" s="1770"/>
      <c r="AC323" s="1770"/>
      <c r="AD323" s="1770"/>
      <c r="AE323" s="1770"/>
      <c r="AF323" s="1770"/>
      <c r="AG323" s="1771"/>
      <c r="AI323" s="31"/>
      <c r="AJ323" s="1768"/>
      <c r="AK323" s="1768"/>
      <c r="AL323" s="1768"/>
      <c r="BB323" s="31"/>
      <c r="BD323" s="31"/>
    </row>
    <row r="324" spans="3:56" hidden="1" outlineLevel="1">
      <c r="C324" s="31" t="s">
        <v>72</v>
      </c>
      <c r="J324" s="1772">
        <f>IF(AJ324&gt;0,AJ324,0)</f>
        <v>0</v>
      </c>
      <c r="K324" s="1772"/>
      <c r="L324" s="1772"/>
      <c r="N324" s="824"/>
      <c r="O324" s="824"/>
      <c r="P324" s="824"/>
      <c r="Q324" s="824"/>
      <c r="R324" s="824"/>
      <c r="S324" s="824"/>
      <c r="T324" s="824"/>
      <c r="U324" s="824"/>
      <c r="V324" s="824"/>
      <c r="W324" s="824"/>
      <c r="X324" s="824"/>
      <c r="Y324" s="824"/>
      <c r="Z324" s="824"/>
      <c r="AA324" s="824"/>
      <c r="AI324" s="31"/>
      <c r="AJ324" s="1769">
        <f>SUM(AJ331:AO353)</f>
        <v>0</v>
      </c>
      <c r="AK324" s="1770"/>
      <c r="AL324" s="1770"/>
      <c r="AM324" s="1770"/>
      <c r="AN324" s="1770"/>
      <c r="AO324" s="1771"/>
      <c r="BB324" s="31"/>
      <c r="BD324" s="31"/>
    </row>
    <row r="325" spans="3:56" hidden="1" outlineLevel="1">
      <c r="C325" s="31"/>
      <c r="AI325" s="31"/>
      <c r="AK325" s="31"/>
      <c r="AL325" s="31"/>
      <c r="BB325" s="31"/>
      <c r="BD325" s="31"/>
    </row>
    <row r="326" spans="3:56" hidden="1" outlineLevel="1">
      <c r="C326" s="31"/>
      <c r="N326" s="264" t="s">
        <v>935</v>
      </c>
      <c r="O326" s="264"/>
      <c r="P326" s="264"/>
      <c r="Q326" s="264"/>
      <c r="R326" s="264"/>
      <c r="S326" s="264"/>
      <c r="T326" s="264"/>
      <c r="U326" s="264"/>
      <c r="V326" s="264"/>
      <c r="W326" s="264"/>
      <c r="X326" s="264"/>
      <c r="Y326" s="264"/>
      <c r="Z326" s="264"/>
      <c r="AA326" s="264"/>
      <c r="AB326" s="264"/>
      <c r="AC326" s="264"/>
      <c r="AD326" s="264"/>
      <c r="AE326" s="264"/>
      <c r="AF326" s="264"/>
      <c r="AG326" s="264"/>
      <c r="AI326" s="31"/>
      <c r="AJ326" s="264" t="s">
        <v>72</v>
      </c>
      <c r="AK326" s="264"/>
      <c r="AL326" s="264"/>
      <c r="AM326" s="264"/>
      <c r="AN326" s="264"/>
      <c r="AO326" s="264"/>
      <c r="BB326" s="31"/>
      <c r="BD326" s="31"/>
    </row>
    <row r="327" spans="3:56" hidden="1" outlineLevel="1">
      <c r="C327" s="31"/>
      <c r="AI327" s="31"/>
      <c r="AK327" s="31"/>
      <c r="AL327" s="31"/>
      <c r="BB327" s="31"/>
      <c r="BD327" s="31"/>
    </row>
    <row r="328" spans="3:56" hidden="1" outlineLevel="1">
      <c r="C328" s="28"/>
      <c r="D328" s="28"/>
      <c r="E328" s="28"/>
      <c r="F328" s="28"/>
      <c r="G328" s="28"/>
      <c r="H328" s="28"/>
      <c r="I328" s="28"/>
      <c r="J328" s="302"/>
      <c r="K328" s="302"/>
      <c r="L328" s="302"/>
      <c r="N328" s="87" t="str">
        <f>N256</f>
        <v>Montage auf Platz</v>
      </c>
      <c r="O328" s="220" t="str">
        <f>N328</f>
        <v>Montage auf Platz</v>
      </c>
      <c r="P328" s="220" t="str">
        <f t="shared" ref="P328:S328" si="15">O328</f>
        <v>Montage auf Platz</v>
      </c>
      <c r="Q328" s="220" t="str">
        <f t="shared" si="15"/>
        <v>Montage auf Platz</v>
      </c>
      <c r="R328" s="220" t="str">
        <f t="shared" si="15"/>
        <v>Montage auf Platz</v>
      </c>
      <c r="S328" s="220" t="str">
        <f t="shared" si="15"/>
        <v>Montage auf Platz</v>
      </c>
      <c r="T328" s="87" t="s">
        <v>1005</v>
      </c>
      <c r="U328" s="87" t="str">
        <f>U256</f>
        <v>Werksgefertigt</v>
      </c>
      <c r="V328" s="220" t="str">
        <f>U328</f>
        <v>Werksgefertigt</v>
      </c>
      <c r="W328" s="220" t="str">
        <f t="shared" ref="W328:Z328" si="16">V328</f>
        <v>Werksgefertigt</v>
      </c>
      <c r="X328" s="220" t="str">
        <f t="shared" si="16"/>
        <v>Werksgefertigt</v>
      </c>
      <c r="Y328" s="220" t="str">
        <f t="shared" si="16"/>
        <v>Werksgefertigt</v>
      </c>
      <c r="Z328" s="220" t="str">
        <f t="shared" si="16"/>
        <v>Werksgefertigt</v>
      </c>
      <c r="AA328" s="87" t="s">
        <v>1005</v>
      </c>
      <c r="AB328" s="87" t="str">
        <f>AB256</f>
        <v>Werksgefertigt hermetisiert</v>
      </c>
      <c r="AC328" s="220" t="str">
        <f>AB328</f>
        <v>Werksgefertigt hermetisiert</v>
      </c>
      <c r="AD328" s="28" t="str">
        <f t="shared" ref="AD328:AG328" si="17">AC328</f>
        <v>Werksgefertigt hermetisiert</v>
      </c>
      <c r="AE328" s="28" t="str">
        <f t="shared" si="17"/>
        <v>Werksgefertigt hermetisiert</v>
      </c>
      <c r="AF328" s="28" t="str">
        <f t="shared" si="17"/>
        <v>Werksgefertigt hermetisiert</v>
      </c>
      <c r="AG328" s="28" t="str">
        <f t="shared" si="17"/>
        <v>Werksgefertigt hermetisiert</v>
      </c>
      <c r="AH328" s="31" t="s">
        <v>1005</v>
      </c>
      <c r="AI328" s="31"/>
      <c r="AJ328" s="28"/>
      <c r="AK328" s="28"/>
      <c r="AL328" s="28"/>
      <c r="AM328" s="28"/>
      <c r="AN328" s="28"/>
      <c r="AO328" s="28"/>
      <c r="BB328" s="31"/>
      <c r="BD328" s="31"/>
    </row>
    <row r="329" spans="3:56" s="273" customFormat="1" ht="87" hidden="1" customHeight="1" outlineLevel="1">
      <c r="C329" s="1120" t="s">
        <v>18</v>
      </c>
      <c r="D329" s="1121"/>
      <c r="E329" s="1121"/>
      <c r="F329" s="1121"/>
      <c r="G329" s="1121"/>
      <c r="H329" s="1121"/>
      <c r="I329" s="1121"/>
      <c r="J329" s="1122"/>
      <c r="K329" s="1122"/>
      <c r="L329" s="1099"/>
      <c r="M329" s="1099"/>
      <c r="N329" s="1110" t="str">
        <f>N257</f>
        <v>Supermarkt</v>
      </c>
      <c r="O329" s="1110" t="str">
        <f t="shared" ref="O329:S329" si="18">O257</f>
        <v>Industrie</v>
      </c>
      <c r="P329" s="1110" t="str">
        <f t="shared" si="18"/>
        <v>Gewerbe</v>
      </c>
      <c r="Q329" s="1110" t="str">
        <f t="shared" si="18"/>
        <v>Klima-Kälte Direktverdampfung (VRV-, VRF-Systeme)</v>
      </c>
      <c r="R329" s="1110" t="str">
        <f t="shared" si="18"/>
        <v>Klima-Kälte (wassergekühlte Kaltwassersätze)</v>
      </c>
      <c r="S329" s="1110" t="str">
        <f t="shared" si="18"/>
        <v>Klima-Kälte (luftgekühlte Kaltwassersätze)</v>
      </c>
      <c r="T329" s="1131"/>
      <c r="U329" s="1110" t="str">
        <f>N329</f>
        <v>Supermarkt</v>
      </c>
      <c r="V329" s="1110" t="str">
        <f t="shared" ref="V329:Z329" si="19">O329</f>
        <v>Industrie</v>
      </c>
      <c r="W329" s="1110" t="str">
        <f t="shared" si="19"/>
        <v>Gewerbe</v>
      </c>
      <c r="X329" s="1110" t="str">
        <f t="shared" si="19"/>
        <v>Klima-Kälte Direktverdampfung (VRV-, VRF-Systeme)</v>
      </c>
      <c r="Y329" s="1110" t="str">
        <f t="shared" si="19"/>
        <v>Klima-Kälte (wassergekühlte Kaltwassersätze)</v>
      </c>
      <c r="Z329" s="1110" t="str">
        <f t="shared" si="19"/>
        <v>Klima-Kälte (luftgekühlte Kaltwassersätze)</v>
      </c>
      <c r="AA329" s="1131"/>
      <c r="AB329" s="1110" t="str">
        <f>N329</f>
        <v>Supermarkt</v>
      </c>
      <c r="AC329" s="1110" t="str">
        <f t="shared" ref="AC329:AG329" si="20">O329</f>
        <v>Industrie</v>
      </c>
      <c r="AD329" s="1100" t="str">
        <f t="shared" si="20"/>
        <v>Gewerbe</v>
      </c>
      <c r="AE329" s="1100" t="str">
        <f t="shared" si="20"/>
        <v>Klima-Kälte Direktverdampfung (VRV-, VRF-Systeme)</v>
      </c>
      <c r="AF329" s="1100" t="str">
        <f t="shared" si="20"/>
        <v>Klima-Kälte (wassergekühlte Kaltwassersätze)</v>
      </c>
      <c r="AG329" s="1100" t="str">
        <f t="shared" si="20"/>
        <v>Klima-Kälte (luftgekühlte Kaltwassersätze)</v>
      </c>
      <c r="AJ329" s="1100" t="str">
        <f>U329</f>
        <v>Supermarkt</v>
      </c>
      <c r="AK329" s="1100" t="str">
        <f t="shared" ref="AK329:AO329" si="21">V329</f>
        <v>Industrie</v>
      </c>
      <c r="AL329" s="1100" t="str">
        <f t="shared" si="21"/>
        <v>Gewerbe</v>
      </c>
      <c r="AM329" s="1100" t="str">
        <f t="shared" si="21"/>
        <v>Klima-Kälte Direktverdampfung (VRV-, VRF-Systeme)</v>
      </c>
      <c r="AN329" s="1100" t="str">
        <f t="shared" si="21"/>
        <v>Klima-Kälte (wassergekühlte Kaltwassersätze)</v>
      </c>
      <c r="AO329" s="1100" t="str">
        <f t="shared" si="21"/>
        <v>Klima-Kälte (luftgekühlte Kaltwassersätze)</v>
      </c>
    </row>
    <row r="330" spans="3:56" hidden="1" outlineLevel="1">
      <c r="C330" s="31"/>
      <c r="K330" s="1030"/>
      <c r="M330" s="52"/>
      <c r="N330" s="694"/>
      <c r="O330" s="694"/>
      <c r="P330" s="694"/>
      <c r="Q330" s="694"/>
      <c r="R330" s="694"/>
      <c r="S330" s="694"/>
      <c r="U330" s="694"/>
      <c r="V330" s="694"/>
      <c r="W330" s="694"/>
      <c r="X330" s="694"/>
      <c r="Y330" s="694"/>
      <c r="Z330" s="694"/>
      <c r="AB330" s="694"/>
      <c r="AC330" s="694"/>
      <c r="AD330" s="694"/>
      <c r="AE330" s="694"/>
      <c r="AF330" s="694"/>
      <c r="AG330" s="694"/>
      <c r="AI330" s="31"/>
      <c r="AJ330" s="694"/>
      <c r="AK330" s="694"/>
      <c r="AL330" s="694"/>
      <c r="AM330" s="694"/>
      <c r="AN330" s="694"/>
      <c r="AO330" s="694"/>
      <c r="BB330" s="31"/>
      <c r="BD330" s="31"/>
    </row>
    <row r="331" spans="3:56" ht="15" hidden="1" customHeight="1" outlineLevel="1">
      <c r="C331" s="1101" t="str">
        <f>C259</f>
        <v>R 32</v>
      </c>
      <c r="D331" s="1102"/>
      <c r="E331" s="1102"/>
      <c r="F331" s="1102"/>
      <c r="G331" s="1102"/>
      <c r="H331" s="1102"/>
      <c r="I331" s="1102"/>
      <c r="J331" s="1103"/>
      <c r="K331" s="1103"/>
      <c r="L331" s="220"/>
      <c r="M331" s="667"/>
      <c r="N331" s="1091" t="str">
        <f t="shared" ref="N331:S340" si="22">IF($J$319=$C331,IF($J$320=N$328,IF($J$321=N$329,N259,"-"),"-"),"-")</f>
        <v>-</v>
      </c>
      <c r="O331" s="1091" t="str">
        <f t="shared" si="22"/>
        <v>-</v>
      </c>
      <c r="P331" s="1091" t="str">
        <f t="shared" si="22"/>
        <v>-</v>
      </c>
      <c r="Q331" s="1091" t="str">
        <f t="shared" si="22"/>
        <v>-</v>
      </c>
      <c r="R331" s="1091" t="str">
        <f t="shared" si="22"/>
        <v>-</v>
      </c>
      <c r="S331" s="1091" t="str">
        <f t="shared" si="22"/>
        <v>-</v>
      </c>
      <c r="T331" s="1108"/>
      <c r="U331" s="1091" t="str">
        <f t="shared" ref="U331:Z340" si="23">IF($J$319=$C331,IF($J$320=U$328,IF($J$321=U$329,U259,"-"),"-"),"-")</f>
        <v>-</v>
      </c>
      <c r="V331" s="1091" t="str">
        <f t="shared" si="23"/>
        <v>-</v>
      </c>
      <c r="W331" s="1091" t="str">
        <f t="shared" si="23"/>
        <v>-</v>
      </c>
      <c r="X331" s="1091" t="str">
        <f t="shared" si="23"/>
        <v>-</v>
      </c>
      <c r="Y331" s="1091" t="str">
        <f t="shared" si="23"/>
        <v>-</v>
      </c>
      <c r="Z331" s="1091" t="str">
        <f t="shared" si="23"/>
        <v>-</v>
      </c>
      <c r="AA331" s="1108"/>
      <c r="AB331" s="1091" t="str">
        <f t="shared" ref="AB331:AG340" si="24">IF($J$319=$C331,IF($J$320=AB$328,IF($J$321=AB$329,AB259,"-"),"-"),"-")</f>
        <v>-</v>
      </c>
      <c r="AC331" s="1091" t="str">
        <f t="shared" si="24"/>
        <v>-</v>
      </c>
      <c r="AD331" s="1091" t="str">
        <f t="shared" si="24"/>
        <v>-</v>
      </c>
      <c r="AE331" s="1091" t="str">
        <f t="shared" si="24"/>
        <v>-</v>
      </c>
      <c r="AF331" s="1091" t="str">
        <f t="shared" si="24"/>
        <v>-</v>
      </c>
      <c r="AG331" s="1091" t="str">
        <f t="shared" si="24"/>
        <v>-</v>
      </c>
      <c r="AH331" s="87"/>
      <c r="AI331" s="87"/>
      <c r="AJ331" s="1091" t="str">
        <f>IF($J$319=$C331,IF($J$321=AJ$329,N288,"-"),"-")</f>
        <v>-</v>
      </c>
      <c r="AK331" s="1091" t="str">
        <f t="shared" ref="AK331:AO331" si="25">IF($J$319=$C331,IF($J$321=AK$329,O288,"-"),"-")</f>
        <v>-</v>
      </c>
      <c r="AL331" s="1091" t="str">
        <f t="shared" si="25"/>
        <v>-</v>
      </c>
      <c r="AM331" s="1091" t="str">
        <f t="shared" si="25"/>
        <v>-</v>
      </c>
      <c r="AN331" s="1091" t="str">
        <f t="shared" si="25"/>
        <v>-</v>
      </c>
      <c r="AO331" s="1091" t="str">
        <f t="shared" si="25"/>
        <v>-</v>
      </c>
      <c r="BB331" s="31"/>
      <c r="BD331" s="31"/>
    </row>
    <row r="332" spans="3:56" ht="15" hidden="1" customHeight="1" outlineLevel="1">
      <c r="C332" s="1101" t="str">
        <f t="shared" ref="C332:C353" si="26">C260</f>
        <v>R134a</v>
      </c>
      <c r="D332" s="1102"/>
      <c r="E332" s="1102"/>
      <c r="F332" s="1102"/>
      <c r="G332" s="1102"/>
      <c r="H332" s="1102"/>
      <c r="I332" s="1102"/>
      <c r="J332" s="1103"/>
      <c r="K332" s="1103"/>
      <c r="L332" s="220"/>
      <c r="M332" s="667"/>
      <c r="N332" s="1091" t="str">
        <f t="shared" si="22"/>
        <v>-</v>
      </c>
      <c r="O332" s="1091" t="str">
        <f t="shared" si="22"/>
        <v>-</v>
      </c>
      <c r="P332" s="1091" t="str">
        <f t="shared" si="22"/>
        <v>-</v>
      </c>
      <c r="Q332" s="1091" t="str">
        <f t="shared" si="22"/>
        <v>-</v>
      </c>
      <c r="R332" s="1091" t="str">
        <f t="shared" si="22"/>
        <v>-</v>
      </c>
      <c r="S332" s="1091" t="str">
        <f t="shared" si="22"/>
        <v>-</v>
      </c>
      <c r="T332" s="1108"/>
      <c r="U332" s="1091" t="str">
        <f t="shared" si="23"/>
        <v>-</v>
      </c>
      <c r="V332" s="1091" t="str">
        <f t="shared" si="23"/>
        <v>-</v>
      </c>
      <c r="W332" s="1091" t="str">
        <f t="shared" si="23"/>
        <v>-</v>
      </c>
      <c r="X332" s="1091" t="str">
        <f t="shared" si="23"/>
        <v>-</v>
      </c>
      <c r="Y332" s="1091" t="str">
        <f t="shared" si="23"/>
        <v>-</v>
      </c>
      <c r="Z332" s="1091" t="str">
        <f t="shared" si="23"/>
        <v>-</v>
      </c>
      <c r="AA332" s="1108"/>
      <c r="AB332" s="1091" t="str">
        <f t="shared" si="24"/>
        <v>-</v>
      </c>
      <c r="AC332" s="1091" t="str">
        <f t="shared" si="24"/>
        <v>-</v>
      </c>
      <c r="AD332" s="1091" t="str">
        <f t="shared" si="24"/>
        <v>-</v>
      </c>
      <c r="AE332" s="1091" t="str">
        <f t="shared" si="24"/>
        <v>-</v>
      </c>
      <c r="AF332" s="1091" t="str">
        <f t="shared" si="24"/>
        <v>-</v>
      </c>
      <c r="AG332" s="1091" t="str">
        <f t="shared" si="24"/>
        <v>-</v>
      </c>
      <c r="AH332" s="87"/>
      <c r="AI332" s="87"/>
      <c r="AJ332" s="1091" t="str">
        <f t="shared" ref="AJ332:AJ353" si="27">IF($J$319=$C332,IF($J$321=AJ$329,N289,"-"),"-")</f>
        <v>-</v>
      </c>
      <c r="AK332" s="1091" t="str">
        <f t="shared" ref="AK332:AK353" si="28">IF($J$319=$C332,IF($J$321=AK$329,O289,"-"),"-")</f>
        <v>-</v>
      </c>
      <c r="AL332" s="1091" t="str">
        <f t="shared" ref="AL332:AL353" si="29">IF($J$319=$C332,IF($J$321=AL$329,P289,"-"),"-")</f>
        <v>-</v>
      </c>
      <c r="AM332" s="1091" t="str">
        <f t="shared" ref="AM332:AM353" si="30">IF($J$319=$C332,IF($J$321=AM$329,Q289,"-"),"-")</f>
        <v>-</v>
      </c>
      <c r="AN332" s="1091" t="str">
        <f t="shared" ref="AN332:AN353" si="31">IF($J$319=$C332,IF($J$321=AN$329,R289,"-"),"-")</f>
        <v>-</v>
      </c>
      <c r="AO332" s="1091" t="str">
        <f t="shared" ref="AO332:AO353" si="32">IF($J$319=$C332,IF($J$321=AO$329,S289,"-"),"-")</f>
        <v>-</v>
      </c>
      <c r="BB332" s="31"/>
      <c r="BD332" s="31"/>
    </row>
    <row r="333" spans="3:56" ht="15" hidden="1" customHeight="1" outlineLevel="1">
      <c r="C333" s="1123" t="str">
        <f t="shared" si="26"/>
        <v>R290 (Propan)</v>
      </c>
      <c r="D333" s="1104"/>
      <c r="E333" s="1104"/>
      <c r="F333" s="1104"/>
      <c r="G333" s="1104"/>
      <c r="H333" s="1104"/>
      <c r="I333" s="1104"/>
      <c r="J333" s="1103"/>
      <c r="K333" s="1103"/>
      <c r="L333" s="220"/>
      <c r="M333" s="667"/>
      <c r="N333" s="1091" t="str">
        <f t="shared" si="22"/>
        <v>-</v>
      </c>
      <c r="O333" s="1091" t="str">
        <f t="shared" si="22"/>
        <v>-</v>
      </c>
      <c r="P333" s="1091" t="str">
        <f t="shared" si="22"/>
        <v>-</v>
      </c>
      <c r="Q333" s="1091" t="str">
        <f t="shared" si="22"/>
        <v>-</v>
      </c>
      <c r="R333" s="1091" t="str">
        <f t="shared" si="22"/>
        <v>-</v>
      </c>
      <c r="S333" s="1091" t="str">
        <f t="shared" si="22"/>
        <v>-</v>
      </c>
      <c r="T333" s="1108"/>
      <c r="U333" s="1091" t="str">
        <f t="shared" si="23"/>
        <v>-</v>
      </c>
      <c r="V333" s="1091" t="str">
        <f t="shared" si="23"/>
        <v>-</v>
      </c>
      <c r="W333" s="1091" t="str">
        <f t="shared" si="23"/>
        <v>-</v>
      </c>
      <c r="X333" s="1091" t="str">
        <f t="shared" si="23"/>
        <v>-</v>
      </c>
      <c r="Y333" s="1091" t="str">
        <f t="shared" si="23"/>
        <v>-</v>
      </c>
      <c r="Z333" s="1091" t="str">
        <f t="shared" si="23"/>
        <v>-</v>
      </c>
      <c r="AA333" s="1108"/>
      <c r="AB333" s="1091" t="str">
        <f t="shared" si="24"/>
        <v>-</v>
      </c>
      <c r="AC333" s="1091" t="str">
        <f t="shared" si="24"/>
        <v>-</v>
      </c>
      <c r="AD333" s="1091" t="str">
        <f t="shared" si="24"/>
        <v>-</v>
      </c>
      <c r="AE333" s="1091" t="str">
        <f t="shared" si="24"/>
        <v>-</v>
      </c>
      <c r="AF333" s="1091" t="str">
        <f t="shared" si="24"/>
        <v>-</v>
      </c>
      <c r="AG333" s="1091" t="str">
        <f t="shared" si="24"/>
        <v>-</v>
      </c>
      <c r="AH333" s="87"/>
      <c r="AI333" s="87"/>
      <c r="AJ333" s="1091" t="str">
        <f t="shared" si="27"/>
        <v>-</v>
      </c>
      <c r="AK333" s="1091" t="str">
        <f t="shared" si="28"/>
        <v>-</v>
      </c>
      <c r="AL333" s="1091" t="str">
        <f t="shared" si="29"/>
        <v>-</v>
      </c>
      <c r="AM333" s="1091" t="str">
        <f t="shared" si="30"/>
        <v>-</v>
      </c>
      <c r="AN333" s="1091" t="str">
        <f t="shared" si="31"/>
        <v>-</v>
      </c>
      <c r="AO333" s="1091" t="str">
        <f t="shared" si="32"/>
        <v>-</v>
      </c>
      <c r="BB333" s="31"/>
      <c r="BD333" s="31"/>
    </row>
    <row r="334" spans="3:56" ht="15" hidden="1" customHeight="1" outlineLevel="1">
      <c r="C334" s="1101" t="str">
        <f t="shared" si="26"/>
        <v>R404A</v>
      </c>
      <c r="D334" s="1102"/>
      <c r="E334" s="1102"/>
      <c r="F334" s="1102"/>
      <c r="G334" s="1102"/>
      <c r="H334" s="1102"/>
      <c r="I334" s="1102"/>
      <c r="J334" s="1103"/>
      <c r="K334" s="1103"/>
      <c r="L334" s="220"/>
      <c r="M334" s="667"/>
      <c r="N334" s="1091" t="str">
        <f t="shared" si="22"/>
        <v>-</v>
      </c>
      <c r="O334" s="1091" t="str">
        <f t="shared" si="22"/>
        <v>-</v>
      </c>
      <c r="P334" s="1091" t="str">
        <f t="shared" si="22"/>
        <v>-</v>
      </c>
      <c r="Q334" s="1091" t="str">
        <f t="shared" si="22"/>
        <v>-</v>
      </c>
      <c r="R334" s="1091" t="str">
        <f t="shared" si="22"/>
        <v>-</v>
      </c>
      <c r="S334" s="1091" t="str">
        <f t="shared" si="22"/>
        <v>-</v>
      </c>
      <c r="T334" s="1108"/>
      <c r="U334" s="1091" t="str">
        <f t="shared" si="23"/>
        <v>-</v>
      </c>
      <c r="V334" s="1091" t="str">
        <f t="shared" si="23"/>
        <v>-</v>
      </c>
      <c r="W334" s="1091" t="str">
        <f t="shared" si="23"/>
        <v>-</v>
      </c>
      <c r="X334" s="1091" t="str">
        <f t="shared" si="23"/>
        <v>-</v>
      </c>
      <c r="Y334" s="1091" t="str">
        <f t="shared" si="23"/>
        <v>-</v>
      </c>
      <c r="Z334" s="1091" t="str">
        <f t="shared" si="23"/>
        <v>-</v>
      </c>
      <c r="AA334" s="1108"/>
      <c r="AB334" s="1091" t="str">
        <f t="shared" si="24"/>
        <v>-</v>
      </c>
      <c r="AC334" s="1091" t="str">
        <f t="shared" si="24"/>
        <v>-</v>
      </c>
      <c r="AD334" s="1091" t="str">
        <f t="shared" si="24"/>
        <v>-</v>
      </c>
      <c r="AE334" s="1091" t="str">
        <f t="shared" si="24"/>
        <v>-</v>
      </c>
      <c r="AF334" s="1091" t="str">
        <f t="shared" si="24"/>
        <v>-</v>
      </c>
      <c r="AG334" s="1091" t="str">
        <f t="shared" si="24"/>
        <v>-</v>
      </c>
      <c r="AH334" s="87"/>
      <c r="AI334" s="87"/>
      <c r="AJ334" s="1091" t="str">
        <f t="shared" si="27"/>
        <v>-</v>
      </c>
      <c r="AK334" s="1091" t="str">
        <f t="shared" si="28"/>
        <v>-</v>
      </c>
      <c r="AL334" s="1091" t="str">
        <f t="shared" si="29"/>
        <v>-</v>
      </c>
      <c r="AM334" s="1091" t="str">
        <f t="shared" si="30"/>
        <v>-</v>
      </c>
      <c r="AN334" s="1091" t="str">
        <f t="shared" si="31"/>
        <v>-</v>
      </c>
      <c r="AO334" s="1091" t="str">
        <f t="shared" si="32"/>
        <v>-</v>
      </c>
      <c r="BB334" s="31"/>
      <c r="BD334" s="31"/>
    </row>
    <row r="335" spans="3:56" ht="15" hidden="1" customHeight="1" outlineLevel="1">
      <c r="C335" s="1101" t="str">
        <f t="shared" si="26"/>
        <v>R407C</v>
      </c>
      <c r="D335" s="1102"/>
      <c r="E335" s="1102"/>
      <c r="F335" s="1102"/>
      <c r="G335" s="1102"/>
      <c r="H335" s="1102"/>
      <c r="I335" s="1102"/>
      <c r="J335" s="1103"/>
      <c r="K335" s="1103"/>
      <c r="L335" s="220"/>
      <c r="M335" s="667"/>
      <c r="N335" s="1091" t="str">
        <f t="shared" si="22"/>
        <v>-</v>
      </c>
      <c r="O335" s="1091" t="str">
        <f t="shared" si="22"/>
        <v>-</v>
      </c>
      <c r="P335" s="1091" t="str">
        <f t="shared" si="22"/>
        <v>-</v>
      </c>
      <c r="Q335" s="1091" t="str">
        <f t="shared" si="22"/>
        <v>-</v>
      </c>
      <c r="R335" s="1091" t="str">
        <f t="shared" si="22"/>
        <v>-</v>
      </c>
      <c r="S335" s="1091" t="str">
        <f t="shared" si="22"/>
        <v>-</v>
      </c>
      <c r="T335" s="1108"/>
      <c r="U335" s="1091" t="str">
        <f t="shared" si="23"/>
        <v>-</v>
      </c>
      <c r="V335" s="1091" t="str">
        <f t="shared" si="23"/>
        <v>-</v>
      </c>
      <c r="W335" s="1091" t="str">
        <f t="shared" si="23"/>
        <v>-</v>
      </c>
      <c r="X335" s="1091" t="str">
        <f t="shared" si="23"/>
        <v>-</v>
      </c>
      <c r="Y335" s="1091" t="str">
        <f t="shared" si="23"/>
        <v>-</v>
      </c>
      <c r="Z335" s="1091" t="str">
        <f t="shared" si="23"/>
        <v>-</v>
      </c>
      <c r="AA335" s="1108"/>
      <c r="AB335" s="1091" t="str">
        <f t="shared" si="24"/>
        <v>-</v>
      </c>
      <c r="AC335" s="1091" t="str">
        <f t="shared" si="24"/>
        <v>-</v>
      </c>
      <c r="AD335" s="1091" t="str">
        <f t="shared" si="24"/>
        <v>-</v>
      </c>
      <c r="AE335" s="1091" t="str">
        <f t="shared" si="24"/>
        <v>-</v>
      </c>
      <c r="AF335" s="1091" t="str">
        <f t="shared" si="24"/>
        <v>-</v>
      </c>
      <c r="AG335" s="1091" t="str">
        <f t="shared" si="24"/>
        <v>-</v>
      </c>
      <c r="AH335" s="87"/>
      <c r="AI335" s="87"/>
      <c r="AJ335" s="1091" t="str">
        <f t="shared" si="27"/>
        <v>-</v>
      </c>
      <c r="AK335" s="1091" t="str">
        <f t="shared" si="28"/>
        <v>-</v>
      </c>
      <c r="AL335" s="1091" t="str">
        <f t="shared" si="29"/>
        <v>-</v>
      </c>
      <c r="AM335" s="1091" t="str">
        <f t="shared" si="30"/>
        <v>-</v>
      </c>
      <c r="AN335" s="1091" t="str">
        <f t="shared" si="31"/>
        <v>-</v>
      </c>
      <c r="AO335" s="1091" t="str">
        <f t="shared" si="32"/>
        <v>-</v>
      </c>
      <c r="BB335" s="31"/>
      <c r="BD335" s="31"/>
    </row>
    <row r="336" spans="3:56" ht="15" hidden="1" customHeight="1" outlineLevel="1">
      <c r="C336" s="1101" t="str">
        <f t="shared" si="26"/>
        <v>R407F</v>
      </c>
      <c r="D336" s="1102"/>
      <c r="E336" s="1102"/>
      <c r="F336" s="1102"/>
      <c r="G336" s="1102"/>
      <c r="H336" s="1102"/>
      <c r="I336" s="1102"/>
      <c r="J336" s="1103"/>
      <c r="K336" s="1103"/>
      <c r="L336" s="220"/>
      <c r="M336" s="667"/>
      <c r="N336" s="1091" t="str">
        <f t="shared" si="22"/>
        <v>-</v>
      </c>
      <c r="O336" s="1091" t="str">
        <f t="shared" si="22"/>
        <v>-</v>
      </c>
      <c r="P336" s="1091" t="str">
        <f t="shared" si="22"/>
        <v>-</v>
      </c>
      <c r="Q336" s="1091" t="str">
        <f t="shared" si="22"/>
        <v>-</v>
      </c>
      <c r="R336" s="1091" t="str">
        <f t="shared" si="22"/>
        <v>-</v>
      </c>
      <c r="S336" s="1091" t="str">
        <f t="shared" si="22"/>
        <v>-</v>
      </c>
      <c r="T336" s="1108"/>
      <c r="U336" s="1091" t="str">
        <f t="shared" si="23"/>
        <v>-</v>
      </c>
      <c r="V336" s="1091" t="str">
        <f t="shared" si="23"/>
        <v>-</v>
      </c>
      <c r="W336" s="1091" t="str">
        <f t="shared" si="23"/>
        <v>-</v>
      </c>
      <c r="X336" s="1091" t="str">
        <f t="shared" si="23"/>
        <v>-</v>
      </c>
      <c r="Y336" s="1091" t="str">
        <f t="shared" si="23"/>
        <v>-</v>
      </c>
      <c r="Z336" s="1091" t="str">
        <f t="shared" si="23"/>
        <v>-</v>
      </c>
      <c r="AA336" s="1108"/>
      <c r="AB336" s="1091" t="str">
        <f t="shared" si="24"/>
        <v>-</v>
      </c>
      <c r="AC336" s="1091" t="str">
        <f t="shared" si="24"/>
        <v>-</v>
      </c>
      <c r="AD336" s="1091" t="str">
        <f t="shared" si="24"/>
        <v>-</v>
      </c>
      <c r="AE336" s="1091" t="str">
        <f t="shared" si="24"/>
        <v>-</v>
      </c>
      <c r="AF336" s="1091" t="str">
        <f t="shared" si="24"/>
        <v>-</v>
      </c>
      <c r="AG336" s="1091" t="str">
        <f t="shared" si="24"/>
        <v>-</v>
      </c>
      <c r="AH336" s="87"/>
      <c r="AI336" s="87"/>
      <c r="AJ336" s="1091" t="str">
        <f t="shared" si="27"/>
        <v>-</v>
      </c>
      <c r="AK336" s="1091" t="str">
        <f t="shared" si="28"/>
        <v>-</v>
      </c>
      <c r="AL336" s="1091" t="str">
        <f t="shared" si="29"/>
        <v>-</v>
      </c>
      <c r="AM336" s="1091" t="str">
        <f t="shared" si="30"/>
        <v>-</v>
      </c>
      <c r="AN336" s="1091" t="str">
        <f t="shared" si="31"/>
        <v>-</v>
      </c>
      <c r="AO336" s="1091" t="str">
        <f t="shared" si="32"/>
        <v>-</v>
      </c>
      <c r="BB336" s="31"/>
      <c r="BD336" s="31"/>
    </row>
    <row r="337" spans="3:56" ht="15" hidden="1" customHeight="1" outlineLevel="1">
      <c r="C337" s="1101" t="str">
        <f t="shared" si="26"/>
        <v>R410A</v>
      </c>
      <c r="D337" s="1102"/>
      <c r="E337" s="1102"/>
      <c r="F337" s="1102"/>
      <c r="G337" s="1102"/>
      <c r="H337" s="1102"/>
      <c r="I337" s="1102"/>
      <c r="J337" s="1103"/>
      <c r="K337" s="1103"/>
      <c r="L337" s="220"/>
      <c r="M337" s="667"/>
      <c r="N337" s="1091" t="str">
        <f t="shared" si="22"/>
        <v>-</v>
      </c>
      <c r="O337" s="1091" t="str">
        <f t="shared" si="22"/>
        <v>-</v>
      </c>
      <c r="P337" s="1091" t="str">
        <f t="shared" si="22"/>
        <v>-</v>
      </c>
      <c r="Q337" s="1091" t="str">
        <f t="shared" si="22"/>
        <v>-</v>
      </c>
      <c r="R337" s="1091" t="str">
        <f t="shared" si="22"/>
        <v>-</v>
      </c>
      <c r="S337" s="1091" t="str">
        <f t="shared" si="22"/>
        <v>-</v>
      </c>
      <c r="T337" s="1108"/>
      <c r="U337" s="1091" t="str">
        <f t="shared" si="23"/>
        <v>-</v>
      </c>
      <c r="V337" s="1091" t="str">
        <f t="shared" si="23"/>
        <v>-</v>
      </c>
      <c r="W337" s="1091" t="str">
        <f t="shared" si="23"/>
        <v>-</v>
      </c>
      <c r="X337" s="1091" t="str">
        <f t="shared" si="23"/>
        <v>-</v>
      </c>
      <c r="Y337" s="1091" t="str">
        <f t="shared" si="23"/>
        <v>-</v>
      </c>
      <c r="Z337" s="1091" t="str">
        <f t="shared" si="23"/>
        <v>-</v>
      </c>
      <c r="AA337" s="1108"/>
      <c r="AB337" s="1091" t="str">
        <f t="shared" si="24"/>
        <v>-</v>
      </c>
      <c r="AC337" s="1091" t="str">
        <f t="shared" si="24"/>
        <v>-</v>
      </c>
      <c r="AD337" s="1091" t="str">
        <f t="shared" si="24"/>
        <v>-</v>
      </c>
      <c r="AE337" s="1091" t="str">
        <f t="shared" si="24"/>
        <v>-</v>
      </c>
      <c r="AF337" s="1091" t="str">
        <f t="shared" si="24"/>
        <v>-</v>
      </c>
      <c r="AG337" s="1091" t="str">
        <f t="shared" si="24"/>
        <v>-</v>
      </c>
      <c r="AH337" s="87"/>
      <c r="AI337" s="87"/>
      <c r="AJ337" s="1091" t="str">
        <f t="shared" si="27"/>
        <v>-</v>
      </c>
      <c r="AK337" s="1091" t="str">
        <f t="shared" si="28"/>
        <v>-</v>
      </c>
      <c r="AL337" s="1091" t="str">
        <f t="shared" si="29"/>
        <v>-</v>
      </c>
      <c r="AM337" s="1091" t="str">
        <f t="shared" si="30"/>
        <v>-</v>
      </c>
      <c r="AN337" s="1091" t="str">
        <f t="shared" si="31"/>
        <v>-</v>
      </c>
      <c r="AO337" s="1091" t="str">
        <f t="shared" si="32"/>
        <v>-</v>
      </c>
      <c r="BB337" s="31"/>
      <c r="BD337" s="31"/>
    </row>
    <row r="338" spans="3:56" ht="15" hidden="1" customHeight="1" outlineLevel="1">
      <c r="C338" s="1101" t="str">
        <f t="shared" si="26"/>
        <v>R417A</v>
      </c>
      <c r="D338" s="1102"/>
      <c r="E338" s="1102"/>
      <c r="F338" s="1102"/>
      <c r="G338" s="1102"/>
      <c r="H338" s="1102"/>
      <c r="I338" s="1102"/>
      <c r="J338" s="1103"/>
      <c r="K338" s="1103"/>
      <c r="L338" s="220"/>
      <c r="M338" s="667"/>
      <c r="N338" s="1091" t="str">
        <f t="shared" si="22"/>
        <v>-</v>
      </c>
      <c r="O338" s="1091" t="str">
        <f t="shared" si="22"/>
        <v>-</v>
      </c>
      <c r="P338" s="1091" t="str">
        <f t="shared" si="22"/>
        <v>-</v>
      </c>
      <c r="Q338" s="1091" t="str">
        <f t="shared" si="22"/>
        <v>-</v>
      </c>
      <c r="R338" s="1091" t="str">
        <f t="shared" si="22"/>
        <v>-</v>
      </c>
      <c r="S338" s="1091" t="str">
        <f t="shared" si="22"/>
        <v>-</v>
      </c>
      <c r="T338" s="1108"/>
      <c r="U338" s="1091" t="str">
        <f t="shared" si="23"/>
        <v>-</v>
      </c>
      <c r="V338" s="1091" t="str">
        <f t="shared" si="23"/>
        <v>-</v>
      </c>
      <c r="W338" s="1091" t="str">
        <f t="shared" si="23"/>
        <v>-</v>
      </c>
      <c r="X338" s="1091" t="str">
        <f t="shared" si="23"/>
        <v>-</v>
      </c>
      <c r="Y338" s="1091" t="str">
        <f t="shared" si="23"/>
        <v>-</v>
      </c>
      <c r="Z338" s="1091" t="str">
        <f t="shared" si="23"/>
        <v>-</v>
      </c>
      <c r="AA338" s="1108"/>
      <c r="AB338" s="1091" t="str">
        <f t="shared" si="24"/>
        <v>-</v>
      </c>
      <c r="AC338" s="1091" t="str">
        <f t="shared" si="24"/>
        <v>-</v>
      </c>
      <c r="AD338" s="1091" t="str">
        <f t="shared" si="24"/>
        <v>-</v>
      </c>
      <c r="AE338" s="1091" t="str">
        <f t="shared" si="24"/>
        <v>-</v>
      </c>
      <c r="AF338" s="1091" t="str">
        <f t="shared" si="24"/>
        <v>-</v>
      </c>
      <c r="AG338" s="1091" t="str">
        <f t="shared" si="24"/>
        <v>-</v>
      </c>
      <c r="AH338" s="87"/>
      <c r="AI338" s="87"/>
      <c r="AJ338" s="1091" t="str">
        <f t="shared" si="27"/>
        <v>-</v>
      </c>
      <c r="AK338" s="1091" t="str">
        <f t="shared" si="28"/>
        <v>-</v>
      </c>
      <c r="AL338" s="1091" t="str">
        <f t="shared" si="29"/>
        <v>-</v>
      </c>
      <c r="AM338" s="1091" t="str">
        <f t="shared" si="30"/>
        <v>-</v>
      </c>
      <c r="AN338" s="1091" t="str">
        <f t="shared" si="31"/>
        <v>-</v>
      </c>
      <c r="AO338" s="1091" t="str">
        <f t="shared" si="32"/>
        <v>-</v>
      </c>
      <c r="BB338" s="31"/>
      <c r="BD338" s="31"/>
    </row>
    <row r="339" spans="3:56" ht="15" hidden="1" customHeight="1" outlineLevel="1">
      <c r="C339" s="1101" t="str">
        <f t="shared" si="26"/>
        <v>R422A</v>
      </c>
      <c r="D339" s="1102"/>
      <c r="E339" s="1102"/>
      <c r="F339" s="1102"/>
      <c r="G339" s="1102"/>
      <c r="H339" s="1102"/>
      <c r="I339" s="1102"/>
      <c r="J339" s="1103"/>
      <c r="K339" s="1103"/>
      <c r="L339" s="220"/>
      <c r="M339" s="667"/>
      <c r="N339" s="1091" t="str">
        <f t="shared" si="22"/>
        <v>-</v>
      </c>
      <c r="O339" s="1091" t="str">
        <f t="shared" si="22"/>
        <v>-</v>
      </c>
      <c r="P339" s="1091" t="str">
        <f t="shared" si="22"/>
        <v>-</v>
      </c>
      <c r="Q339" s="1091" t="str">
        <f t="shared" si="22"/>
        <v>-</v>
      </c>
      <c r="R339" s="1091" t="str">
        <f t="shared" si="22"/>
        <v>-</v>
      </c>
      <c r="S339" s="1091" t="str">
        <f t="shared" si="22"/>
        <v>-</v>
      </c>
      <c r="T339" s="1108"/>
      <c r="U339" s="1091" t="str">
        <f t="shared" si="23"/>
        <v>-</v>
      </c>
      <c r="V339" s="1091" t="str">
        <f t="shared" si="23"/>
        <v>-</v>
      </c>
      <c r="W339" s="1091" t="str">
        <f t="shared" si="23"/>
        <v>-</v>
      </c>
      <c r="X339" s="1091" t="str">
        <f t="shared" si="23"/>
        <v>-</v>
      </c>
      <c r="Y339" s="1091" t="str">
        <f t="shared" si="23"/>
        <v>-</v>
      </c>
      <c r="Z339" s="1091" t="str">
        <f t="shared" si="23"/>
        <v>-</v>
      </c>
      <c r="AA339" s="1108"/>
      <c r="AB339" s="1091" t="str">
        <f t="shared" si="24"/>
        <v>-</v>
      </c>
      <c r="AC339" s="1091" t="str">
        <f t="shared" si="24"/>
        <v>-</v>
      </c>
      <c r="AD339" s="1091" t="str">
        <f t="shared" si="24"/>
        <v>-</v>
      </c>
      <c r="AE339" s="1091" t="str">
        <f t="shared" si="24"/>
        <v>-</v>
      </c>
      <c r="AF339" s="1091" t="str">
        <f t="shared" si="24"/>
        <v>-</v>
      </c>
      <c r="AG339" s="1091" t="str">
        <f t="shared" si="24"/>
        <v>-</v>
      </c>
      <c r="AH339" s="87"/>
      <c r="AI339" s="87"/>
      <c r="AJ339" s="1091" t="str">
        <f t="shared" si="27"/>
        <v>-</v>
      </c>
      <c r="AK339" s="1091" t="str">
        <f t="shared" si="28"/>
        <v>-</v>
      </c>
      <c r="AL339" s="1091" t="str">
        <f t="shared" si="29"/>
        <v>-</v>
      </c>
      <c r="AM339" s="1091" t="str">
        <f t="shared" si="30"/>
        <v>-</v>
      </c>
      <c r="AN339" s="1091" t="str">
        <f t="shared" si="31"/>
        <v>-</v>
      </c>
      <c r="AO339" s="1091" t="str">
        <f t="shared" si="32"/>
        <v>-</v>
      </c>
      <c r="BB339" s="31"/>
      <c r="BD339" s="31"/>
    </row>
    <row r="340" spans="3:56" ht="15" hidden="1" customHeight="1" outlineLevel="1">
      <c r="C340" s="1101" t="str">
        <f t="shared" si="26"/>
        <v>R422D</v>
      </c>
      <c r="D340" s="1102"/>
      <c r="E340" s="1102"/>
      <c r="F340" s="1102"/>
      <c r="G340" s="1102"/>
      <c r="H340" s="1102"/>
      <c r="I340" s="1102"/>
      <c r="J340" s="1103"/>
      <c r="K340" s="1103"/>
      <c r="L340" s="220"/>
      <c r="M340" s="667"/>
      <c r="N340" s="1091" t="str">
        <f t="shared" si="22"/>
        <v>-</v>
      </c>
      <c r="O340" s="1091" t="str">
        <f t="shared" si="22"/>
        <v>-</v>
      </c>
      <c r="P340" s="1091" t="str">
        <f t="shared" si="22"/>
        <v>-</v>
      </c>
      <c r="Q340" s="1091" t="str">
        <f t="shared" si="22"/>
        <v>-</v>
      </c>
      <c r="R340" s="1091" t="str">
        <f t="shared" si="22"/>
        <v>-</v>
      </c>
      <c r="S340" s="1091" t="str">
        <f t="shared" si="22"/>
        <v>-</v>
      </c>
      <c r="T340" s="1108"/>
      <c r="U340" s="1091" t="str">
        <f t="shared" si="23"/>
        <v>-</v>
      </c>
      <c r="V340" s="1091" t="str">
        <f t="shared" si="23"/>
        <v>-</v>
      </c>
      <c r="W340" s="1091" t="str">
        <f t="shared" si="23"/>
        <v>-</v>
      </c>
      <c r="X340" s="1091" t="str">
        <f t="shared" si="23"/>
        <v>-</v>
      </c>
      <c r="Y340" s="1091" t="str">
        <f t="shared" si="23"/>
        <v>-</v>
      </c>
      <c r="Z340" s="1091" t="str">
        <f t="shared" si="23"/>
        <v>-</v>
      </c>
      <c r="AA340" s="1108"/>
      <c r="AB340" s="1091" t="str">
        <f t="shared" si="24"/>
        <v>-</v>
      </c>
      <c r="AC340" s="1091" t="str">
        <f t="shared" si="24"/>
        <v>-</v>
      </c>
      <c r="AD340" s="1091" t="str">
        <f t="shared" si="24"/>
        <v>-</v>
      </c>
      <c r="AE340" s="1091" t="str">
        <f t="shared" si="24"/>
        <v>-</v>
      </c>
      <c r="AF340" s="1091" t="str">
        <f t="shared" si="24"/>
        <v>-</v>
      </c>
      <c r="AG340" s="1091" t="str">
        <f t="shared" si="24"/>
        <v>-</v>
      </c>
      <c r="AH340" s="87"/>
      <c r="AI340" s="87"/>
      <c r="AJ340" s="1091" t="str">
        <f t="shared" si="27"/>
        <v>-</v>
      </c>
      <c r="AK340" s="1091" t="str">
        <f t="shared" si="28"/>
        <v>-</v>
      </c>
      <c r="AL340" s="1091" t="str">
        <f t="shared" si="29"/>
        <v>-</v>
      </c>
      <c r="AM340" s="1091" t="str">
        <f t="shared" si="30"/>
        <v>-</v>
      </c>
      <c r="AN340" s="1091" t="str">
        <f t="shared" si="31"/>
        <v>-</v>
      </c>
      <c r="AO340" s="1091" t="str">
        <f t="shared" si="32"/>
        <v>-</v>
      </c>
      <c r="BB340" s="31"/>
      <c r="BD340" s="31"/>
    </row>
    <row r="341" spans="3:56" ht="15" hidden="1" customHeight="1" outlineLevel="1">
      <c r="C341" s="1101" t="str">
        <f t="shared" si="26"/>
        <v>R427A</v>
      </c>
      <c r="D341" s="1102"/>
      <c r="E341" s="1102"/>
      <c r="F341" s="1102"/>
      <c r="G341" s="1102"/>
      <c r="H341" s="1102"/>
      <c r="I341" s="1102"/>
      <c r="J341" s="1103"/>
      <c r="K341" s="1103"/>
      <c r="L341" s="220"/>
      <c r="M341" s="667"/>
      <c r="N341" s="1091" t="str">
        <f t="shared" ref="N341:S350" si="33">IF($J$319=$C341,IF($J$320=N$328,IF($J$321=N$329,N269,"-"),"-"),"-")</f>
        <v>-</v>
      </c>
      <c r="O341" s="1091" t="str">
        <f t="shared" si="33"/>
        <v>-</v>
      </c>
      <c r="P341" s="1091" t="str">
        <f t="shared" si="33"/>
        <v>-</v>
      </c>
      <c r="Q341" s="1091" t="str">
        <f t="shared" si="33"/>
        <v>-</v>
      </c>
      <c r="R341" s="1091" t="str">
        <f t="shared" si="33"/>
        <v>-</v>
      </c>
      <c r="S341" s="1091" t="str">
        <f t="shared" si="33"/>
        <v>-</v>
      </c>
      <c r="T341" s="1108"/>
      <c r="U341" s="1091" t="str">
        <f t="shared" ref="U341:Z350" si="34">IF($J$319=$C341,IF($J$320=U$328,IF($J$321=U$329,U269,"-"),"-"),"-")</f>
        <v>-</v>
      </c>
      <c r="V341" s="1091" t="str">
        <f t="shared" si="34"/>
        <v>-</v>
      </c>
      <c r="W341" s="1091" t="str">
        <f t="shared" si="34"/>
        <v>-</v>
      </c>
      <c r="X341" s="1091" t="str">
        <f t="shared" si="34"/>
        <v>-</v>
      </c>
      <c r="Y341" s="1091" t="str">
        <f t="shared" si="34"/>
        <v>-</v>
      </c>
      <c r="Z341" s="1091" t="str">
        <f t="shared" si="34"/>
        <v>-</v>
      </c>
      <c r="AA341" s="1108"/>
      <c r="AB341" s="1091" t="str">
        <f t="shared" ref="AB341:AG350" si="35">IF($J$319=$C341,IF($J$320=AB$328,IF($J$321=AB$329,AB269,"-"),"-"),"-")</f>
        <v>-</v>
      </c>
      <c r="AC341" s="1091" t="str">
        <f t="shared" si="35"/>
        <v>-</v>
      </c>
      <c r="AD341" s="1091" t="str">
        <f t="shared" si="35"/>
        <v>-</v>
      </c>
      <c r="AE341" s="1091" t="str">
        <f t="shared" si="35"/>
        <v>-</v>
      </c>
      <c r="AF341" s="1091" t="str">
        <f t="shared" si="35"/>
        <v>-</v>
      </c>
      <c r="AG341" s="1091" t="str">
        <f t="shared" si="35"/>
        <v>-</v>
      </c>
      <c r="AH341" s="87"/>
      <c r="AI341" s="87"/>
      <c r="AJ341" s="1091" t="str">
        <f t="shared" si="27"/>
        <v>-</v>
      </c>
      <c r="AK341" s="1091" t="str">
        <f t="shared" si="28"/>
        <v>-</v>
      </c>
      <c r="AL341" s="1091" t="str">
        <f t="shared" si="29"/>
        <v>-</v>
      </c>
      <c r="AM341" s="1091" t="str">
        <f t="shared" si="30"/>
        <v>-</v>
      </c>
      <c r="AN341" s="1091" t="str">
        <f t="shared" si="31"/>
        <v>-</v>
      </c>
      <c r="AO341" s="1091" t="str">
        <f t="shared" si="32"/>
        <v>-</v>
      </c>
      <c r="BB341" s="31"/>
      <c r="BD341" s="31"/>
    </row>
    <row r="342" spans="3:56" ht="15" hidden="1" customHeight="1" outlineLevel="1">
      <c r="C342" s="1101" t="str">
        <f t="shared" si="26"/>
        <v>R448A</v>
      </c>
      <c r="D342" s="1102"/>
      <c r="E342" s="1102"/>
      <c r="F342" s="1102"/>
      <c r="G342" s="1102"/>
      <c r="H342" s="1102"/>
      <c r="I342" s="1102"/>
      <c r="J342" s="1103"/>
      <c r="K342" s="1103"/>
      <c r="L342" s="220"/>
      <c r="M342" s="667"/>
      <c r="N342" s="1091" t="str">
        <f t="shared" si="33"/>
        <v>-</v>
      </c>
      <c r="O342" s="1091" t="str">
        <f t="shared" si="33"/>
        <v>-</v>
      </c>
      <c r="P342" s="1091" t="str">
        <f t="shared" si="33"/>
        <v>-</v>
      </c>
      <c r="Q342" s="1091" t="str">
        <f t="shared" si="33"/>
        <v>-</v>
      </c>
      <c r="R342" s="1091" t="str">
        <f t="shared" si="33"/>
        <v>-</v>
      </c>
      <c r="S342" s="1091" t="str">
        <f t="shared" si="33"/>
        <v>-</v>
      </c>
      <c r="T342" s="1108"/>
      <c r="U342" s="1091" t="str">
        <f t="shared" si="34"/>
        <v>-</v>
      </c>
      <c r="V342" s="1091" t="str">
        <f t="shared" si="34"/>
        <v>-</v>
      </c>
      <c r="W342" s="1091" t="str">
        <f t="shared" si="34"/>
        <v>-</v>
      </c>
      <c r="X342" s="1091" t="str">
        <f t="shared" si="34"/>
        <v>-</v>
      </c>
      <c r="Y342" s="1091" t="str">
        <f t="shared" si="34"/>
        <v>-</v>
      </c>
      <c r="Z342" s="1091" t="str">
        <f t="shared" si="34"/>
        <v>-</v>
      </c>
      <c r="AA342" s="1108"/>
      <c r="AB342" s="1091" t="str">
        <f t="shared" si="35"/>
        <v>-</v>
      </c>
      <c r="AC342" s="1091" t="str">
        <f t="shared" si="35"/>
        <v>-</v>
      </c>
      <c r="AD342" s="1091" t="str">
        <f t="shared" si="35"/>
        <v>-</v>
      </c>
      <c r="AE342" s="1091" t="str">
        <f t="shared" si="35"/>
        <v>-</v>
      </c>
      <c r="AF342" s="1091" t="str">
        <f t="shared" si="35"/>
        <v>-</v>
      </c>
      <c r="AG342" s="1091" t="str">
        <f t="shared" si="35"/>
        <v>-</v>
      </c>
      <c r="AH342" s="87"/>
      <c r="AI342" s="87"/>
      <c r="AJ342" s="1091" t="str">
        <f t="shared" si="27"/>
        <v>-</v>
      </c>
      <c r="AK342" s="1091" t="str">
        <f t="shared" si="28"/>
        <v>-</v>
      </c>
      <c r="AL342" s="1091" t="str">
        <f t="shared" si="29"/>
        <v>-</v>
      </c>
      <c r="AM342" s="1091" t="str">
        <f t="shared" si="30"/>
        <v>-</v>
      </c>
      <c r="AN342" s="1091" t="str">
        <f t="shared" si="31"/>
        <v>-</v>
      </c>
      <c r="AO342" s="1091" t="str">
        <f t="shared" si="32"/>
        <v>-</v>
      </c>
      <c r="BB342" s="31"/>
      <c r="BD342" s="31"/>
    </row>
    <row r="343" spans="3:56" ht="15" hidden="1" customHeight="1" outlineLevel="1">
      <c r="C343" s="1101" t="str">
        <f t="shared" si="26"/>
        <v>R449A</v>
      </c>
      <c r="D343" s="1102"/>
      <c r="E343" s="1102"/>
      <c r="F343" s="1102"/>
      <c r="G343" s="1102"/>
      <c r="H343" s="1102"/>
      <c r="I343" s="1102"/>
      <c r="J343" s="1103"/>
      <c r="K343" s="1103"/>
      <c r="L343" s="220"/>
      <c r="M343" s="667"/>
      <c r="N343" s="1091" t="str">
        <f t="shared" si="33"/>
        <v>-</v>
      </c>
      <c r="O343" s="1091" t="str">
        <f t="shared" si="33"/>
        <v>-</v>
      </c>
      <c r="P343" s="1091" t="str">
        <f t="shared" si="33"/>
        <v>-</v>
      </c>
      <c r="Q343" s="1091" t="str">
        <f t="shared" si="33"/>
        <v>-</v>
      </c>
      <c r="R343" s="1091" t="str">
        <f t="shared" si="33"/>
        <v>-</v>
      </c>
      <c r="S343" s="1091" t="str">
        <f t="shared" si="33"/>
        <v>-</v>
      </c>
      <c r="T343" s="1108"/>
      <c r="U343" s="1091" t="str">
        <f t="shared" si="34"/>
        <v>-</v>
      </c>
      <c r="V343" s="1091" t="str">
        <f t="shared" si="34"/>
        <v>-</v>
      </c>
      <c r="W343" s="1091" t="str">
        <f t="shared" si="34"/>
        <v>-</v>
      </c>
      <c r="X343" s="1091" t="str">
        <f t="shared" si="34"/>
        <v>-</v>
      </c>
      <c r="Y343" s="1091" t="str">
        <f t="shared" si="34"/>
        <v>-</v>
      </c>
      <c r="Z343" s="1091" t="str">
        <f t="shared" si="34"/>
        <v>-</v>
      </c>
      <c r="AA343" s="1108"/>
      <c r="AB343" s="1091" t="str">
        <f t="shared" si="35"/>
        <v>-</v>
      </c>
      <c r="AC343" s="1091" t="str">
        <f t="shared" si="35"/>
        <v>-</v>
      </c>
      <c r="AD343" s="1091" t="str">
        <f t="shared" si="35"/>
        <v>-</v>
      </c>
      <c r="AE343" s="1091" t="str">
        <f t="shared" si="35"/>
        <v>-</v>
      </c>
      <c r="AF343" s="1091" t="str">
        <f t="shared" si="35"/>
        <v>-</v>
      </c>
      <c r="AG343" s="1091" t="str">
        <f t="shared" si="35"/>
        <v>-</v>
      </c>
      <c r="AH343" s="87"/>
      <c r="AI343" s="87"/>
      <c r="AJ343" s="1091" t="str">
        <f t="shared" si="27"/>
        <v>-</v>
      </c>
      <c r="AK343" s="1091" t="str">
        <f t="shared" si="28"/>
        <v>-</v>
      </c>
      <c r="AL343" s="1091" t="str">
        <f t="shared" si="29"/>
        <v>-</v>
      </c>
      <c r="AM343" s="1091" t="str">
        <f t="shared" si="30"/>
        <v>-</v>
      </c>
      <c r="AN343" s="1091" t="str">
        <f t="shared" si="31"/>
        <v>-</v>
      </c>
      <c r="AO343" s="1091" t="str">
        <f t="shared" si="32"/>
        <v>-</v>
      </c>
      <c r="BB343" s="31"/>
      <c r="BD343" s="31"/>
    </row>
    <row r="344" spans="3:56" ht="15" hidden="1" customHeight="1" outlineLevel="1">
      <c r="C344" s="1101" t="str">
        <f t="shared" si="26"/>
        <v>R450A</v>
      </c>
      <c r="D344" s="1102"/>
      <c r="E344" s="1102"/>
      <c r="F344" s="1102"/>
      <c r="G344" s="1102"/>
      <c r="H344" s="1102"/>
      <c r="I344" s="1102"/>
      <c r="J344" s="1103"/>
      <c r="K344" s="1103"/>
      <c r="L344" s="220"/>
      <c r="M344" s="667"/>
      <c r="N344" s="1091" t="str">
        <f t="shared" si="33"/>
        <v>-</v>
      </c>
      <c r="O344" s="1091" t="str">
        <f t="shared" si="33"/>
        <v>-</v>
      </c>
      <c r="P344" s="1091" t="str">
        <f t="shared" si="33"/>
        <v>-</v>
      </c>
      <c r="Q344" s="1091" t="str">
        <f t="shared" si="33"/>
        <v>-</v>
      </c>
      <c r="R344" s="1091" t="str">
        <f t="shared" si="33"/>
        <v>-</v>
      </c>
      <c r="S344" s="1091" t="str">
        <f t="shared" si="33"/>
        <v>-</v>
      </c>
      <c r="T344" s="1108"/>
      <c r="U344" s="1091" t="str">
        <f t="shared" si="34"/>
        <v>-</v>
      </c>
      <c r="V344" s="1091" t="str">
        <f t="shared" si="34"/>
        <v>-</v>
      </c>
      <c r="W344" s="1091" t="str">
        <f t="shared" si="34"/>
        <v>-</v>
      </c>
      <c r="X344" s="1091" t="str">
        <f t="shared" si="34"/>
        <v>-</v>
      </c>
      <c r="Y344" s="1091" t="str">
        <f t="shared" si="34"/>
        <v>-</v>
      </c>
      <c r="Z344" s="1091" t="str">
        <f t="shared" si="34"/>
        <v>-</v>
      </c>
      <c r="AA344" s="1108"/>
      <c r="AB344" s="1091" t="str">
        <f t="shared" si="35"/>
        <v>-</v>
      </c>
      <c r="AC344" s="1091" t="str">
        <f t="shared" si="35"/>
        <v>-</v>
      </c>
      <c r="AD344" s="1091" t="str">
        <f t="shared" si="35"/>
        <v>-</v>
      </c>
      <c r="AE344" s="1091" t="str">
        <f t="shared" si="35"/>
        <v>-</v>
      </c>
      <c r="AF344" s="1091" t="str">
        <f t="shared" si="35"/>
        <v>-</v>
      </c>
      <c r="AG344" s="1091" t="str">
        <f t="shared" si="35"/>
        <v>-</v>
      </c>
      <c r="AH344" s="87"/>
      <c r="AI344" s="87"/>
      <c r="AJ344" s="1091" t="str">
        <f t="shared" si="27"/>
        <v>-</v>
      </c>
      <c r="AK344" s="1091" t="str">
        <f t="shared" si="28"/>
        <v>-</v>
      </c>
      <c r="AL344" s="1091" t="str">
        <f t="shared" si="29"/>
        <v>-</v>
      </c>
      <c r="AM344" s="1091" t="str">
        <f t="shared" si="30"/>
        <v>-</v>
      </c>
      <c r="AN344" s="1091" t="str">
        <f t="shared" si="31"/>
        <v>-</v>
      </c>
      <c r="AO344" s="1091" t="str">
        <f t="shared" si="32"/>
        <v>-</v>
      </c>
      <c r="BB344" s="31"/>
      <c r="BD344" s="31"/>
    </row>
    <row r="345" spans="3:56" ht="15" hidden="1" customHeight="1" outlineLevel="1">
      <c r="C345" s="1101" t="str">
        <f t="shared" si="26"/>
        <v>R507 A</v>
      </c>
      <c r="D345" s="1102"/>
      <c r="E345" s="1102"/>
      <c r="F345" s="1102"/>
      <c r="G345" s="1102"/>
      <c r="H345" s="1102"/>
      <c r="I345" s="1102"/>
      <c r="J345" s="1103"/>
      <c r="K345" s="1103"/>
      <c r="L345" s="220"/>
      <c r="M345" s="667"/>
      <c r="N345" s="1091" t="str">
        <f t="shared" si="33"/>
        <v>-</v>
      </c>
      <c r="O345" s="1091" t="str">
        <f t="shared" si="33"/>
        <v>-</v>
      </c>
      <c r="P345" s="1091" t="str">
        <f t="shared" si="33"/>
        <v>-</v>
      </c>
      <c r="Q345" s="1091" t="str">
        <f t="shared" si="33"/>
        <v>-</v>
      </c>
      <c r="R345" s="1091" t="str">
        <f t="shared" si="33"/>
        <v>-</v>
      </c>
      <c r="S345" s="1091" t="str">
        <f t="shared" si="33"/>
        <v>-</v>
      </c>
      <c r="T345" s="1108"/>
      <c r="U345" s="1091" t="str">
        <f t="shared" si="34"/>
        <v>-</v>
      </c>
      <c r="V345" s="1091" t="str">
        <f t="shared" si="34"/>
        <v>-</v>
      </c>
      <c r="W345" s="1091" t="str">
        <f t="shared" si="34"/>
        <v>-</v>
      </c>
      <c r="X345" s="1091" t="str">
        <f t="shared" si="34"/>
        <v>-</v>
      </c>
      <c r="Y345" s="1091" t="str">
        <f t="shared" si="34"/>
        <v>-</v>
      </c>
      <c r="Z345" s="1091" t="str">
        <f t="shared" si="34"/>
        <v>-</v>
      </c>
      <c r="AA345" s="1108"/>
      <c r="AB345" s="1091" t="str">
        <f t="shared" si="35"/>
        <v>-</v>
      </c>
      <c r="AC345" s="1091" t="str">
        <f t="shared" si="35"/>
        <v>-</v>
      </c>
      <c r="AD345" s="1091" t="str">
        <f t="shared" si="35"/>
        <v>-</v>
      </c>
      <c r="AE345" s="1091" t="str">
        <f t="shared" si="35"/>
        <v>-</v>
      </c>
      <c r="AF345" s="1091" t="str">
        <f t="shared" si="35"/>
        <v>-</v>
      </c>
      <c r="AG345" s="1091" t="str">
        <f t="shared" si="35"/>
        <v>-</v>
      </c>
      <c r="AH345" s="87"/>
      <c r="AI345" s="87"/>
      <c r="AJ345" s="1091" t="str">
        <f t="shared" si="27"/>
        <v>-</v>
      </c>
      <c r="AK345" s="1091" t="str">
        <f t="shared" si="28"/>
        <v>-</v>
      </c>
      <c r="AL345" s="1091" t="str">
        <f t="shared" si="29"/>
        <v>-</v>
      </c>
      <c r="AM345" s="1091" t="str">
        <f t="shared" si="30"/>
        <v>-</v>
      </c>
      <c r="AN345" s="1091" t="str">
        <f t="shared" si="31"/>
        <v>-</v>
      </c>
      <c r="AO345" s="1091" t="str">
        <f t="shared" si="32"/>
        <v>-</v>
      </c>
      <c r="BB345" s="31"/>
      <c r="BD345" s="31"/>
    </row>
    <row r="346" spans="3:56" ht="15" hidden="1" customHeight="1" outlineLevel="1">
      <c r="C346" s="1101" t="str">
        <f t="shared" si="26"/>
        <v>R513 A</v>
      </c>
      <c r="D346" s="1102"/>
      <c r="E346" s="1102"/>
      <c r="F346" s="1102"/>
      <c r="G346" s="1102"/>
      <c r="H346" s="1102"/>
      <c r="I346" s="1102"/>
      <c r="J346" s="1103"/>
      <c r="K346" s="1103"/>
      <c r="L346" s="220"/>
      <c r="M346" s="667"/>
      <c r="N346" s="1091" t="str">
        <f t="shared" si="33"/>
        <v>-</v>
      </c>
      <c r="O346" s="1091" t="str">
        <f t="shared" si="33"/>
        <v>-</v>
      </c>
      <c r="P346" s="1091" t="str">
        <f t="shared" si="33"/>
        <v>-</v>
      </c>
      <c r="Q346" s="1091" t="str">
        <f t="shared" si="33"/>
        <v>-</v>
      </c>
      <c r="R346" s="1091" t="str">
        <f t="shared" si="33"/>
        <v>-</v>
      </c>
      <c r="S346" s="1091" t="str">
        <f t="shared" si="33"/>
        <v>-</v>
      </c>
      <c r="T346" s="1108"/>
      <c r="U346" s="1091" t="str">
        <f t="shared" si="34"/>
        <v>-</v>
      </c>
      <c r="V346" s="1091" t="str">
        <f t="shared" si="34"/>
        <v>-</v>
      </c>
      <c r="W346" s="1091" t="str">
        <f t="shared" si="34"/>
        <v>-</v>
      </c>
      <c r="X346" s="1091" t="str">
        <f t="shared" si="34"/>
        <v>-</v>
      </c>
      <c r="Y346" s="1091" t="str">
        <f t="shared" si="34"/>
        <v>-</v>
      </c>
      <c r="Z346" s="1091" t="str">
        <f t="shared" si="34"/>
        <v>-</v>
      </c>
      <c r="AA346" s="1108"/>
      <c r="AB346" s="1091" t="str">
        <f t="shared" si="35"/>
        <v>-</v>
      </c>
      <c r="AC346" s="1091" t="str">
        <f t="shared" si="35"/>
        <v>-</v>
      </c>
      <c r="AD346" s="1091" t="str">
        <f t="shared" si="35"/>
        <v>-</v>
      </c>
      <c r="AE346" s="1091" t="str">
        <f t="shared" si="35"/>
        <v>-</v>
      </c>
      <c r="AF346" s="1091" t="str">
        <f t="shared" si="35"/>
        <v>-</v>
      </c>
      <c r="AG346" s="1091" t="str">
        <f t="shared" si="35"/>
        <v>-</v>
      </c>
      <c r="AH346" s="87"/>
      <c r="AI346" s="87"/>
      <c r="AJ346" s="1091" t="str">
        <f t="shared" si="27"/>
        <v>-</v>
      </c>
      <c r="AK346" s="1091" t="str">
        <f t="shared" si="28"/>
        <v>-</v>
      </c>
      <c r="AL346" s="1091" t="str">
        <f t="shared" si="29"/>
        <v>-</v>
      </c>
      <c r="AM346" s="1091" t="str">
        <f t="shared" si="30"/>
        <v>-</v>
      </c>
      <c r="AN346" s="1091" t="str">
        <f t="shared" si="31"/>
        <v>-</v>
      </c>
      <c r="AO346" s="1091" t="str">
        <f t="shared" si="32"/>
        <v>-</v>
      </c>
      <c r="BB346" s="31"/>
      <c r="BD346" s="31"/>
    </row>
    <row r="347" spans="3:56" ht="15" hidden="1" customHeight="1" outlineLevel="1">
      <c r="C347" s="1128" t="str">
        <f t="shared" si="26"/>
        <v>R717 (Ammoniak - NH3)</v>
      </c>
      <c r="D347" s="1105"/>
      <c r="E347" s="1105"/>
      <c r="F347" s="1105"/>
      <c r="G347" s="1105"/>
      <c r="H347" s="1105"/>
      <c r="I347" s="1105"/>
      <c r="J347" s="1103"/>
      <c r="K347" s="1103"/>
      <c r="L347" s="220"/>
      <c r="M347" s="667"/>
      <c r="N347" s="1091" t="str">
        <f t="shared" si="33"/>
        <v>-</v>
      </c>
      <c r="O347" s="1091" t="str">
        <f t="shared" si="33"/>
        <v>-</v>
      </c>
      <c r="P347" s="1091" t="str">
        <f t="shared" si="33"/>
        <v>-</v>
      </c>
      <c r="Q347" s="1091" t="str">
        <f t="shared" si="33"/>
        <v>-</v>
      </c>
      <c r="R347" s="1091" t="str">
        <f t="shared" si="33"/>
        <v>-</v>
      </c>
      <c r="S347" s="1091" t="str">
        <f t="shared" si="33"/>
        <v>-</v>
      </c>
      <c r="T347" s="1108"/>
      <c r="U347" s="1091" t="str">
        <f t="shared" si="34"/>
        <v>-</v>
      </c>
      <c r="V347" s="1091" t="str">
        <f t="shared" si="34"/>
        <v>-</v>
      </c>
      <c r="W347" s="1091" t="str">
        <f t="shared" si="34"/>
        <v>-</v>
      </c>
      <c r="X347" s="1091" t="str">
        <f t="shared" si="34"/>
        <v>-</v>
      </c>
      <c r="Y347" s="1091" t="str">
        <f t="shared" si="34"/>
        <v>-</v>
      </c>
      <c r="Z347" s="1091" t="str">
        <f t="shared" si="34"/>
        <v>-</v>
      </c>
      <c r="AA347" s="1108"/>
      <c r="AB347" s="1091" t="str">
        <f t="shared" si="35"/>
        <v>-</v>
      </c>
      <c r="AC347" s="1091" t="str">
        <f t="shared" si="35"/>
        <v>-</v>
      </c>
      <c r="AD347" s="1091" t="str">
        <f t="shared" si="35"/>
        <v>-</v>
      </c>
      <c r="AE347" s="1091" t="str">
        <f t="shared" si="35"/>
        <v>-</v>
      </c>
      <c r="AF347" s="1091" t="str">
        <f t="shared" si="35"/>
        <v>-</v>
      </c>
      <c r="AG347" s="1091" t="str">
        <f t="shared" si="35"/>
        <v>-</v>
      </c>
      <c r="AH347" s="87"/>
      <c r="AI347" s="87"/>
      <c r="AJ347" s="1091" t="str">
        <f t="shared" si="27"/>
        <v>-</v>
      </c>
      <c r="AK347" s="1091" t="str">
        <f t="shared" si="28"/>
        <v>-</v>
      </c>
      <c r="AL347" s="1091" t="str">
        <f t="shared" si="29"/>
        <v>-</v>
      </c>
      <c r="AM347" s="1091" t="str">
        <f t="shared" si="30"/>
        <v>-</v>
      </c>
      <c r="AN347" s="1091" t="str">
        <f t="shared" si="31"/>
        <v>-</v>
      </c>
      <c r="AO347" s="1091" t="str">
        <f t="shared" si="32"/>
        <v>-</v>
      </c>
      <c r="BB347" s="31"/>
      <c r="BD347" s="31"/>
    </row>
    <row r="348" spans="3:56" ht="15" hidden="1" customHeight="1" outlineLevel="1">
      <c r="C348" s="1129" t="str">
        <f t="shared" si="26"/>
        <v>R723</v>
      </c>
      <c r="D348" s="1106"/>
      <c r="E348" s="1106"/>
      <c r="F348" s="1106"/>
      <c r="G348" s="1106"/>
      <c r="H348" s="1106"/>
      <c r="I348" s="1106"/>
      <c r="J348" s="1103"/>
      <c r="K348" s="1103"/>
      <c r="L348" s="220"/>
      <c r="M348" s="667"/>
      <c r="N348" s="1091" t="str">
        <f t="shared" si="33"/>
        <v>-</v>
      </c>
      <c r="O348" s="1091" t="str">
        <f t="shared" si="33"/>
        <v>-</v>
      </c>
      <c r="P348" s="1091" t="str">
        <f t="shared" si="33"/>
        <v>-</v>
      </c>
      <c r="Q348" s="1091" t="str">
        <f t="shared" si="33"/>
        <v>-</v>
      </c>
      <c r="R348" s="1091" t="str">
        <f t="shared" si="33"/>
        <v>-</v>
      </c>
      <c r="S348" s="1091" t="str">
        <f t="shared" si="33"/>
        <v>-</v>
      </c>
      <c r="T348" s="1108"/>
      <c r="U348" s="1091" t="str">
        <f t="shared" si="34"/>
        <v>-</v>
      </c>
      <c r="V348" s="1091" t="str">
        <f t="shared" si="34"/>
        <v>-</v>
      </c>
      <c r="W348" s="1091" t="str">
        <f t="shared" si="34"/>
        <v>-</v>
      </c>
      <c r="X348" s="1091" t="str">
        <f t="shared" si="34"/>
        <v>-</v>
      </c>
      <c r="Y348" s="1091" t="str">
        <f t="shared" si="34"/>
        <v>-</v>
      </c>
      <c r="Z348" s="1091" t="str">
        <f t="shared" si="34"/>
        <v>-</v>
      </c>
      <c r="AA348" s="1108"/>
      <c r="AB348" s="1091" t="str">
        <f t="shared" si="35"/>
        <v>-</v>
      </c>
      <c r="AC348" s="1091" t="str">
        <f t="shared" si="35"/>
        <v>-</v>
      </c>
      <c r="AD348" s="1091" t="str">
        <f t="shared" si="35"/>
        <v>-</v>
      </c>
      <c r="AE348" s="1091" t="str">
        <f t="shared" si="35"/>
        <v>-</v>
      </c>
      <c r="AF348" s="1091" t="str">
        <f t="shared" si="35"/>
        <v>-</v>
      </c>
      <c r="AG348" s="1091" t="str">
        <f t="shared" si="35"/>
        <v>-</v>
      </c>
      <c r="AH348" s="87"/>
      <c r="AI348" s="87"/>
      <c r="AJ348" s="1091" t="str">
        <f t="shared" si="27"/>
        <v>-</v>
      </c>
      <c r="AK348" s="1091" t="str">
        <f t="shared" si="28"/>
        <v>-</v>
      </c>
      <c r="AL348" s="1091" t="str">
        <f t="shared" si="29"/>
        <v>-</v>
      </c>
      <c r="AM348" s="1091" t="str">
        <f t="shared" si="30"/>
        <v>-</v>
      </c>
      <c r="AN348" s="1091" t="str">
        <f t="shared" si="31"/>
        <v>-</v>
      </c>
      <c r="AO348" s="1091" t="str">
        <f t="shared" si="32"/>
        <v>-</v>
      </c>
      <c r="BB348" s="31"/>
      <c r="BD348" s="31"/>
    </row>
    <row r="349" spans="3:56" ht="15" hidden="1" customHeight="1" outlineLevel="1">
      <c r="C349" s="1130" t="str">
        <f t="shared" si="26"/>
        <v>R744  (CO2)</v>
      </c>
      <c r="D349" s="1107"/>
      <c r="E349" s="1107"/>
      <c r="F349" s="1107"/>
      <c r="G349" s="1107"/>
      <c r="H349" s="1107"/>
      <c r="I349" s="1107"/>
      <c r="J349" s="1103"/>
      <c r="K349" s="1103"/>
      <c r="L349" s="220"/>
      <c r="M349" s="667"/>
      <c r="N349" s="1091" t="str">
        <f t="shared" si="33"/>
        <v>-</v>
      </c>
      <c r="O349" s="1091" t="str">
        <f t="shared" si="33"/>
        <v>-</v>
      </c>
      <c r="P349" s="1091" t="str">
        <f t="shared" si="33"/>
        <v>-</v>
      </c>
      <c r="Q349" s="1091" t="str">
        <f t="shared" si="33"/>
        <v>-</v>
      </c>
      <c r="R349" s="1091" t="str">
        <f t="shared" si="33"/>
        <v>-</v>
      </c>
      <c r="S349" s="1091" t="str">
        <f t="shared" si="33"/>
        <v>-</v>
      </c>
      <c r="T349" s="1108"/>
      <c r="U349" s="1091" t="str">
        <f t="shared" si="34"/>
        <v>-</v>
      </c>
      <c r="V349" s="1091" t="str">
        <f t="shared" si="34"/>
        <v>-</v>
      </c>
      <c r="W349" s="1091" t="str">
        <f t="shared" si="34"/>
        <v>-</v>
      </c>
      <c r="X349" s="1091" t="str">
        <f t="shared" si="34"/>
        <v>-</v>
      </c>
      <c r="Y349" s="1091" t="str">
        <f t="shared" si="34"/>
        <v>-</v>
      </c>
      <c r="Z349" s="1091" t="str">
        <f t="shared" si="34"/>
        <v>-</v>
      </c>
      <c r="AA349" s="1108"/>
      <c r="AB349" s="1091" t="str">
        <f t="shared" si="35"/>
        <v>-</v>
      </c>
      <c r="AC349" s="1091" t="str">
        <f t="shared" si="35"/>
        <v>-</v>
      </c>
      <c r="AD349" s="1091" t="str">
        <f t="shared" si="35"/>
        <v>-</v>
      </c>
      <c r="AE349" s="1091" t="str">
        <f t="shared" si="35"/>
        <v>-</v>
      </c>
      <c r="AF349" s="1091" t="str">
        <f t="shared" si="35"/>
        <v>-</v>
      </c>
      <c r="AG349" s="1091" t="str">
        <f t="shared" si="35"/>
        <v>-</v>
      </c>
      <c r="AH349" s="87"/>
      <c r="AI349" s="87"/>
      <c r="AJ349" s="1091" t="str">
        <f t="shared" si="27"/>
        <v>-</v>
      </c>
      <c r="AK349" s="1091" t="str">
        <f t="shared" si="28"/>
        <v>-</v>
      </c>
      <c r="AL349" s="1091" t="str">
        <f t="shared" si="29"/>
        <v>-</v>
      </c>
      <c r="AM349" s="1091" t="str">
        <f t="shared" si="30"/>
        <v>-</v>
      </c>
      <c r="AN349" s="1091" t="str">
        <f t="shared" si="31"/>
        <v>-</v>
      </c>
      <c r="AO349" s="1091" t="str">
        <f t="shared" si="32"/>
        <v>-</v>
      </c>
      <c r="BB349" s="31"/>
      <c r="BD349" s="31"/>
    </row>
    <row r="350" spans="3:56" ht="15" hidden="1" customHeight="1" outlineLevel="1">
      <c r="C350" s="1123" t="str">
        <f t="shared" si="26"/>
        <v>R1270 (Propylen)</v>
      </c>
      <c r="D350" s="1125"/>
      <c r="E350" s="1125"/>
      <c r="F350" s="1125"/>
      <c r="G350" s="1125"/>
      <c r="H350" s="1125"/>
      <c r="I350" s="1125"/>
      <c r="J350" s="1103"/>
      <c r="K350" s="1103"/>
      <c r="L350" s="220"/>
      <c r="M350" s="667"/>
      <c r="N350" s="1091" t="str">
        <f t="shared" si="33"/>
        <v>-</v>
      </c>
      <c r="O350" s="1091" t="str">
        <f t="shared" si="33"/>
        <v>-</v>
      </c>
      <c r="P350" s="1091" t="str">
        <f t="shared" si="33"/>
        <v>-</v>
      </c>
      <c r="Q350" s="1091" t="str">
        <f t="shared" si="33"/>
        <v>-</v>
      </c>
      <c r="R350" s="1091" t="str">
        <f t="shared" si="33"/>
        <v>-</v>
      </c>
      <c r="S350" s="1091" t="str">
        <f t="shared" si="33"/>
        <v>-</v>
      </c>
      <c r="T350" s="1108"/>
      <c r="U350" s="1091" t="str">
        <f t="shared" si="34"/>
        <v>-</v>
      </c>
      <c r="V350" s="1091" t="str">
        <f t="shared" si="34"/>
        <v>-</v>
      </c>
      <c r="W350" s="1091" t="str">
        <f t="shared" si="34"/>
        <v>-</v>
      </c>
      <c r="X350" s="1091" t="str">
        <f t="shared" si="34"/>
        <v>-</v>
      </c>
      <c r="Y350" s="1091" t="str">
        <f t="shared" si="34"/>
        <v>-</v>
      </c>
      <c r="Z350" s="1091" t="str">
        <f t="shared" si="34"/>
        <v>-</v>
      </c>
      <c r="AA350" s="1108"/>
      <c r="AB350" s="1091" t="str">
        <f t="shared" si="35"/>
        <v>-</v>
      </c>
      <c r="AC350" s="1091" t="str">
        <f t="shared" si="35"/>
        <v>-</v>
      </c>
      <c r="AD350" s="1091" t="str">
        <f t="shared" si="35"/>
        <v>-</v>
      </c>
      <c r="AE350" s="1091" t="str">
        <f t="shared" si="35"/>
        <v>-</v>
      </c>
      <c r="AF350" s="1091" t="str">
        <f t="shared" si="35"/>
        <v>-</v>
      </c>
      <c r="AG350" s="1091" t="str">
        <f t="shared" si="35"/>
        <v>-</v>
      </c>
      <c r="AH350" s="87"/>
      <c r="AI350" s="87"/>
      <c r="AJ350" s="1091" t="str">
        <f t="shared" si="27"/>
        <v>-</v>
      </c>
      <c r="AK350" s="1091" t="str">
        <f t="shared" si="28"/>
        <v>-</v>
      </c>
      <c r="AL350" s="1091" t="str">
        <f t="shared" si="29"/>
        <v>-</v>
      </c>
      <c r="AM350" s="1091" t="str">
        <f t="shared" si="30"/>
        <v>-</v>
      </c>
      <c r="AN350" s="1091" t="str">
        <f t="shared" si="31"/>
        <v>-</v>
      </c>
      <c r="AO350" s="1091" t="str">
        <f t="shared" si="32"/>
        <v>-</v>
      </c>
      <c r="BB350" s="31"/>
      <c r="BD350" s="31"/>
    </row>
    <row r="351" spans="3:56" ht="15" hidden="1" customHeight="1" outlineLevel="1">
      <c r="C351" s="1101" t="str">
        <f t="shared" si="26"/>
        <v>R1233zd</v>
      </c>
      <c r="D351" s="1102"/>
      <c r="E351" s="1102"/>
      <c r="F351" s="1102"/>
      <c r="G351" s="1102"/>
      <c r="H351" s="1102"/>
      <c r="I351" s="1102"/>
      <c r="J351" s="1103"/>
      <c r="K351" s="1103"/>
      <c r="L351" s="220"/>
      <c r="M351" s="667"/>
      <c r="N351" s="1091" t="str">
        <f t="shared" ref="N351:S353" si="36">IF($J$319=$C351,IF($J$320=N$328,IF($J$321=N$329,N279,"-"),"-"),"-")</f>
        <v>-</v>
      </c>
      <c r="O351" s="1091" t="str">
        <f t="shared" si="36"/>
        <v>-</v>
      </c>
      <c r="P351" s="1091" t="str">
        <f t="shared" si="36"/>
        <v>-</v>
      </c>
      <c r="Q351" s="1091" t="str">
        <f t="shared" si="36"/>
        <v>-</v>
      </c>
      <c r="R351" s="1091" t="str">
        <f t="shared" si="36"/>
        <v>-</v>
      </c>
      <c r="S351" s="1091" t="str">
        <f t="shared" si="36"/>
        <v>-</v>
      </c>
      <c r="T351" s="1108"/>
      <c r="U351" s="1091" t="str">
        <f t="shared" ref="U351:Z353" si="37">IF($J$319=$C351,IF($J$320=U$328,IF($J$321=U$329,U279,"-"),"-"),"-")</f>
        <v>-</v>
      </c>
      <c r="V351" s="1091" t="str">
        <f t="shared" si="37"/>
        <v>-</v>
      </c>
      <c r="W351" s="1091" t="str">
        <f t="shared" si="37"/>
        <v>-</v>
      </c>
      <c r="X351" s="1091" t="str">
        <f t="shared" si="37"/>
        <v>-</v>
      </c>
      <c r="Y351" s="1091" t="str">
        <f t="shared" si="37"/>
        <v>-</v>
      </c>
      <c r="Z351" s="1091" t="str">
        <f t="shared" si="37"/>
        <v>-</v>
      </c>
      <c r="AA351" s="1108"/>
      <c r="AB351" s="1091" t="str">
        <f t="shared" ref="AB351:AG353" si="38">IF($J$319=$C351,IF($J$320=AB$328,IF($J$321=AB$329,AB279,"-"),"-"),"-")</f>
        <v>-</v>
      </c>
      <c r="AC351" s="1091" t="str">
        <f t="shared" si="38"/>
        <v>-</v>
      </c>
      <c r="AD351" s="1091" t="str">
        <f t="shared" si="38"/>
        <v>-</v>
      </c>
      <c r="AE351" s="1091" t="str">
        <f t="shared" si="38"/>
        <v>-</v>
      </c>
      <c r="AF351" s="1091" t="str">
        <f t="shared" si="38"/>
        <v>-</v>
      </c>
      <c r="AG351" s="1091" t="str">
        <f t="shared" si="38"/>
        <v>-</v>
      </c>
      <c r="AH351" s="87"/>
      <c r="AI351" s="87"/>
      <c r="AJ351" s="1091" t="str">
        <f t="shared" si="27"/>
        <v>-</v>
      </c>
      <c r="AK351" s="1091" t="str">
        <f t="shared" si="28"/>
        <v>-</v>
      </c>
      <c r="AL351" s="1091" t="str">
        <f t="shared" si="29"/>
        <v>-</v>
      </c>
      <c r="AM351" s="1091" t="str">
        <f t="shared" si="30"/>
        <v>-</v>
      </c>
      <c r="AN351" s="1091" t="str">
        <f t="shared" si="31"/>
        <v>-</v>
      </c>
      <c r="AO351" s="1091" t="str">
        <f t="shared" si="32"/>
        <v>-</v>
      </c>
      <c r="BB351" s="31"/>
      <c r="BD351" s="31"/>
    </row>
    <row r="352" spans="3:56" ht="15" hidden="1" customHeight="1" outlineLevel="1">
      <c r="C352" s="1101" t="str">
        <f t="shared" si="26"/>
        <v xml:space="preserve">R1234ze </v>
      </c>
      <c r="D352" s="1102"/>
      <c r="E352" s="1102"/>
      <c r="F352" s="1102"/>
      <c r="G352" s="1102"/>
      <c r="H352" s="1102"/>
      <c r="I352" s="1102"/>
      <c r="J352" s="1103"/>
      <c r="K352" s="1103"/>
      <c r="L352" s="220"/>
      <c r="M352" s="667"/>
      <c r="N352" s="1091" t="str">
        <f t="shared" si="36"/>
        <v>-</v>
      </c>
      <c r="O352" s="1091" t="str">
        <f t="shared" si="36"/>
        <v>-</v>
      </c>
      <c r="P352" s="1091" t="str">
        <f t="shared" si="36"/>
        <v>-</v>
      </c>
      <c r="Q352" s="1091" t="str">
        <f t="shared" si="36"/>
        <v>-</v>
      </c>
      <c r="R352" s="1091" t="str">
        <f t="shared" si="36"/>
        <v>-</v>
      </c>
      <c r="S352" s="1091" t="str">
        <f t="shared" si="36"/>
        <v>-</v>
      </c>
      <c r="T352" s="1108"/>
      <c r="U352" s="1091" t="str">
        <f t="shared" si="37"/>
        <v>-</v>
      </c>
      <c r="V352" s="1091" t="str">
        <f t="shared" si="37"/>
        <v>-</v>
      </c>
      <c r="W352" s="1091" t="str">
        <f t="shared" si="37"/>
        <v>-</v>
      </c>
      <c r="X352" s="1091" t="str">
        <f t="shared" si="37"/>
        <v>-</v>
      </c>
      <c r="Y352" s="1091" t="str">
        <f t="shared" si="37"/>
        <v>-</v>
      </c>
      <c r="Z352" s="1091" t="str">
        <f t="shared" si="37"/>
        <v>-</v>
      </c>
      <c r="AA352" s="1108"/>
      <c r="AB352" s="1091" t="str">
        <f t="shared" si="38"/>
        <v>-</v>
      </c>
      <c r="AC352" s="1091" t="str">
        <f t="shared" si="38"/>
        <v>-</v>
      </c>
      <c r="AD352" s="1091" t="str">
        <f t="shared" si="38"/>
        <v>-</v>
      </c>
      <c r="AE352" s="1091" t="str">
        <f t="shared" si="38"/>
        <v>-</v>
      </c>
      <c r="AF352" s="1091" t="str">
        <f t="shared" si="38"/>
        <v>-</v>
      </c>
      <c r="AG352" s="1091" t="str">
        <f t="shared" si="38"/>
        <v>-</v>
      </c>
      <c r="AH352" s="87"/>
      <c r="AI352" s="87"/>
      <c r="AJ352" s="1091" t="str">
        <f t="shared" si="27"/>
        <v>-</v>
      </c>
      <c r="AK352" s="1091" t="str">
        <f t="shared" si="28"/>
        <v>-</v>
      </c>
      <c r="AL352" s="1091" t="str">
        <f t="shared" si="29"/>
        <v>-</v>
      </c>
      <c r="AM352" s="1091" t="str">
        <f t="shared" si="30"/>
        <v>-</v>
      </c>
      <c r="AN352" s="1091" t="str">
        <f t="shared" si="31"/>
        <v>-</v>
      </c>
      <c r="AO352" s="1091" t="str">
        <f t="shared" si="32"/>
        <v>-</v>
      </c>
      <c r="BB352" s="31"/>
      <c r="BD352" s="31"/>
    </row>
    <row r="353" spans="3:57" ht="15" hidden="1" customHeight="1" outlineLevel="1">
      <c r="C353" s="1101" t="str">
        <f t="shared" si="26"/>
        <v>R1234yf</v>
      </c>
      <c r="D353" s="1102"/>
      <c r="E353" s="1102"/>
      <c r="F353" s="1102"/>
      <c r="G353" s="1102"/>
      <c r="H353" s="1102"/>
      <c r="I353" s="1102"/>
      <c r="J353" s="1103"/>
      <c r="K353" s="1103"/>
      <c r="L353" s="220"/>
      <c r="M353" s="667"/>
      <c r="N353" s="1091" t="str">
        <f t="shared" si="36"/>
        <v>-</v>
      </c>
      <c r="O353" s="1091" t="str">
        <f t="shared" si="36"/>
        <v>-</v>
      </c>
      <c r="P353" s="1091" t="str">
        <f t="shared" si="36"/>
        <v>-</v>
      </c>
      <c r="Q353" s="1091" t="str">
        <f t="shared" si="36"/>
        <v>-</v>
      </c>
      <c r="R353" s="1091" t="str">
        <f t="shared" si="36"/>
        <v>-</v>
      </c>
      <c r="S353" s="1091" t="str">
        <f t="shared" si="36"/>
        <v>-</v>
      </c>
      <c r="T353" s="1108"/>
      <c r="U353" s="1091" t="str">
        <f t="shared" si="37"/>
        <v>-</v>
      </c>
      <c r="V353" s="1091" t="str">
        <f t="shared" si="37"/>
        <v>-</v>
      </c>
      <c r="W353" s="1091" t="str">
        <f t="shared" si="37"/>
        <v>-</v>
      </c>
      <c r="X353" s="1091" t="str">
        <f t="shared" si="37"/>
        <v>-</v>
      </c>
      <c r="Y353" s="1091" t="str">
        <f t="shared" si="37"/>
        <v>-</v>
      </c>
      <c r="Z353" s="1091" t="str">
        <f t="shared" si="37"/>
        <v>-</v>
      </c>
      <c r="AA353" s="1108"/>
      <c r="AB353" s="1091" t="str">
        <f t="shared" si="38"/>
        <v>-</v>
      </c>
      <c r="AC353" s="1091" t="str">
        <f t="shared" si="38"/>
        <v>-</v>
      </c>
      <c r="AD353" s="1091" t="str">
        <f t="shared" si="38"/>
        <v>-</v>
      </c>
      <c r="AE353" s="1091" t="str">
        <f t="shared" si="38"/>
        <v>-</v>
      </c>
      <c r="AF353" s="1091" t="str">
        <f t="shared" si="38"/>
        <v>-</v>
      </c>
      <c r="AG353" s="1091" t="str">
        <f t="shared" si="38"/>
        <v>-</v>
      </c>
      <c r="AH353" s="87"/>
      <c r="AI353" s="87"/>
      <c r="AJ353" s="1091" t="str">
        <f t="shared" si="27"/>
        <v>-</v>
      </c>
      <c r="AK353" s="1091" t="str">
        <f t="shared" si="28"/>
        <v>-</v>
      </c>
      <c r="AL353" s="1091" t="str">
        <f t="shared" si="29"/>
        <v>-</v>
      </c>
      <c r="AM353" s="1091" t="str">
        <f t="shared" si="30"/>
        <v>-</v>
      </c>
      <c r="AN353" s="1091" t="str">
        <f t="shared" si="31"/>
        <v>-</v>
      </c>
      <c r="AO353" s="1091" t="str">
        <f t="shared" si="32"/>
        <v>-</v>
      </c>
      <c r="BB353" s="31"/>
      <c r="BD353" s="31"/>
    </row>
    <row r="354" spans="3:57" hidden="1" outlineLevel="1">
      <c r="C354" s="31"/>
      <c r="AI354" s="31"/>
      <c r="AK354" s="31"/>
      <c r="AL354" s="31"/>
      <c r="BB354" s="31"/>
      <c r="BD354" s="31"/>
    </row>
    <row r="355" spans="3:57" hidden="1" outlineLevel="1">
      <c r="C355" s="31"/>
      <c r="AI355" s="31"/>
      <c r="AK355" s="31"/>
      <c r="AL355" s="31"/>
      <c r="BB355" s="31"/>
      <c r="BD355" s="31"/>
    </row>
    <row r="356" spans="3:57" ht="17.100000000000001" hidden="1" customHeight="1" outlineLevel="1">
      <c r="C356" s="499" t="s">
        <v>271</v>
      </c>
      <c r="D356" s="74"/>
      <c r="E356" s="74"/>
      <c r="F356" s="74"/>
      <c r="G356" s="74"/>
      <c r="H356" s="74"/>
      <c r="I356" s="74"/>
      <c r="J356" s="74" t="s">
        <v>1006</v>
      </c>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row>
    <row r="357" spans="3:57" hidden="1" outlineLevel="1">
      <c r="C357" s="31"/>
      <c r="N357" s="824"/>
      <c r="O357" s="824"/>
      <c r="P357" s="824"/>
      <c r="Q357" s="824"/>
      <c r="R357" s="824"/>
      <c r="S357" s="824"/>
      <c r="T357" s="824"/>
      <c r="U357" s="824"/>
      <c r="V357" s="824"/>
      <c r="W357" s="824"/>
      <c r="X357" s="824"/>
      <c r="Y357" s="824"/>
      <c r="Z357" s="824"/>
      <c r="AA357" s="824"/>
      <c r="AI357" s="31"/>
      <c r="AK357" s="31"/>
      <c r="AL357" s="31"/>
      <c r="BB357" s="31"/>
      <c r="BD357" s="31"/>
    </row>
    <row r="358" spans="3:57" hidden="1" outlineLevel="1">
      <c r="C358" s="31" t="s">
        <v>18</v>
      </c>
      <c r="J358" s="1775">
        <f>AR33</f>
        <v>0</v>
      </c>
      <c r="K358" s="1775"/>
      <c r="L358" s="1775"/>
      <c r="M358" s="1775"/>
      <c r="N358" s="1775"/>
      <c r="O358" s="1775"/>
      <c r="P358" s="1775"/>
      <c r="Q358" s="1775"/>
      <c r="R358" s="1775"/>
      <c r="S358" s="1775"/>
      <c r="T358" s="1775"/>
      <c r="U358" s="1775"/>
      <c r="V358" s="824"/>
      <c r="W358" s="824"/>
      <c r="X358" s="824"/>
      <c r="Y358" s="824"/>
      <c r="Z358" s="824"/>
      <c r="AA358" s="824"/>
      <c r="AI358" s="31"/>
      <c r="AK358" s="31"/>
      <c r="AL358" s="31"/>
      <c r="BB358" s="31"/>
      <c r="BD358" s="31"/>
    </row>
    <row r="359" spans="3:57" hidden="1" outlineLevel="1">
      <c r="C359" s="31" t="s">
        <v>303</v>
      </c>
      <c r="J359" s="1774">
        <f>AR44</f>
        <v>0</v>
      </c>
      <c r="K359" s="1774"/>
      <c r="L359" s="1774"/>
      <c r="M359" s="1774"/>
      <c r="N359" s="1774"/>
      <c r="O359" s="1774"/>
      <c r="P359" s="1774"/>
      <c r="Q359" s="1774"/>
      <c r="R359" s="1774"/>
      <c r="S359" s="1774"/>
      <c r="T359" s="1774"/>
      <c r="U359" s="1774"/>
      <c r="V359" s="824"/>
      <c r="W359" s="824"/>
      <c r="X359" s="824"/>
      <c r="Y359" s="824"/>
      <c r="Z359" s="824"/>
      <c r="AA359" s="824"/>
      <c r="AI359" s="31"/>
      <c r="AK359" s="31"/>
      <c r="AL359" s="31"/>
      <c r="BB359" s="31"/>
      <c r="BD359" s="31"/>
    </row>
    <row r="360" spans="3:57" hidden="1" outlineLevel="1">
      <c r="C360" s="31" t="s">
        <v>15</v>
      </c>
      <c r="J360" s="1773" t="str">
        <f>AR42</f>
        <v/>
      </c>
      <c r="K360" s="1773"/>
      <c r="L360" s="1773"/>
      <c r="M360" s="1773"/>
      <c r="N360" s="1773"/>
      <c r="O360" s="1773"/>
      <c r="P360" s="1773"/>
      <c r="Q360" s="1773"/>
      <c r="R360" s="1773"/>
      <c r="S360" s="1773"/>
      <c r="T360" s="1773"/>
      <c r="U360" s="1773"/>
      <c r="V360" s="824"/>
      <c r="W360" s="824"/>
      <c r="X360" s="824"/>
      <c r="Y360" s="824"/>
      <c r="Z360" s="824"/>
      <c r="AA360" s="824"/>
      <c r="AI360" s="31"/>
      <c r="AK360" s="31"/>
      <c r="AL360" s="31"/>
      <c r="BB360" s="31"/>
      <c r="BD360" s="31"/>
    </row>
    <row r="361" spans="3:57" hidden="1" outlineLevel="1">
      <c r="C361" s="31"/>
      <c r="N361" s="824"/>
      <c r="O361" s="824"/>
      <c r="P361" s="824"/>
      <c r="Q361" s="824"/>
      <c r="R361" s="824"/>
      <c r="S361" s="824"/>
      <c r="T361" s="824"/>
      <c r="U361" s="824"/>
      <c r="V361" s="824"/>
      <c r="W361" s="824"/>
      <c r="X361" s="824"/>
      <c r="Y361" s="824"/>
      <c r="Z361" s="824"/>
      <c r="AA361" s="824"/>
      <c r="AI361" s="31"/>
      <c r="AK361" s="31"/>
      <c r="AL361" s="31"/>
      <c r="BB361" s="31"/>
      <c r="BD361" s="31"/>
    </row>
    <row r="362" spans="3:57" hidden="1" outlineLevel="1">
      <c r="C362" s="31" t="s">
        <v>863</v>
      </c>
      <c r="J362" s="1768">
        <f>IF(N362=0,1,N362)</f>
        <v>1</v>
      </c>
      <c r="K362" s="1768"/>
      <c r="L362" s="1768"/>
      <c r="N362" s="1769">
        <f>SUM(N370:AG392)</f>
        <v>0</v>
      </c>
      <c r="O362" s="1770"/>
      <c r="P362" s="1770"/>
      <c r="Q362" s="1770"/>
      <c r="R362" s="1770"/>
      <c r="S362" s="1770"/>
      <c r="T362" s="1770"/>
      <c r="U362" s="1770"/>
      <c r="V362" s="1770"/>
      <c r="W362" s="1770"/>
      <c r="X362" s="1770"/>
      <c r="Y362" s="1770"/>
      <c r="Z362" s="1770"/>
      <c r="AA362" s="1770"/>
      <c r="AB362" s="1770"/>
      <c r="AC362" s="1770"/>
      <c r="AD362" s="1770"/>
      <c r="AE362" s="1770"/>
      <c r="AF362" s="1770"/>
      <c r="AG362" s="1771"/>
      <c r="AI362" s="31"/>
      <c r="AJ362" s="1768"/>
      <c r="AK362" s="1768"/>
      <c r="AL362" s="1768"/>
      <c r="BB362" s="31"/>
      <c r="BD362" s="31"/>
    </row>
    <row r="363" spans="3:57" hidden="1" outlineLevel="1">
      <c r="C363" s="31" t="s">
        <v>72</v>
      </c>
      <c r="J363" s="1772">
        <f>IF(AJ363&gt;0,AJ363,0)</f>
        <v>0</v>
      </c>
      <c r="K363" s="1772"/>
      <c r="L363" s="1772"/>
      <c r="N363" s="824"/>
      <c r="O363" s="824"/>
      <c r="P363" s="824"/>
      <c r="Q363" s="824"/>
      <c r="R363" s="824"/>
      <c r="S363" s="824"/>
      <c r="T363" s="824"/>
      <c r="U363" s="824"/>
      <c r="V363" s="824"/>
      <c r="W363" s="824"/>
      <c r="X363" s="824"/>
      <c r="Y363" s="824"/>
      <c r="Z363" s="824"/>
      <c r="AA363" s="824"/>
      <c r="AI363" s="31"/>
      <c r="AJ363" s="1769">
        <f>SUM(AJ370:AO392)</f>
        <v>0</v>
      </c>
      <c r="AK363" s="1770"/>
      <c r="AL363" s="1770"/>
      <c r="AM363" s="1770"/>
      <c r="AN363" s="1770"/>
      <c r="AO363" s="1771"/>
      <c r="BB363" s="31"/>
      <c r="BD363" s="31"/>
    </row>
    <row r="364" spans="3:57" hidden="1" outlineLevel="1">
      <c r="C364" s="31"/>
      <c r="AI364" s="31"/>
      <c r="AK364" s="31"/>
      <c r="AL364" s="31"/>
      <c r="BB364" s="31"/>
      <c r="BD364" s="31"/>
    </row>
    <row r="365" spans="3:57" hidden="1" outlineLevel="1">
      <c r="C365" s="31"/>
      <c r="N365" s="264" t="s">
        <v>935</v>
      </c>
      <c r="O365" s="264"/>
      <c r="P365" s="264"/>
      <c r="Q365" s="264"/>
      <c r="R365" s="264"/>
      <c r="S365" s="264"/>
      <c r="T365" s="264"/>
      <c r="U365" s="264"/>
      <c r="V365" s="264"/>
      <c r="W365" s="264"/>
      <c r="X365" s="264"/>
      <c r="Y365" s="264"/>
      <c r="Z365" s="264"/>
      <c r="AA365" s="264"/>
      <c r="AB365" s="264"/>
      <c r="AC365" s="264"/>
      <c r="AD365" s="264"/>
      <c r="AE365" s="264"/>
      <c r="AF365" s="264"/>
      <c r="AG365" s="264"/>
      <c r="AI365" s="31"/>
      <c r="AJ365" s="264" t="s">
        <v>72</v>
      </c>
      <c r="AK365" s="264"/>
      <c r="AL365" s="264"/>
      <c r="AM365" s="264"/>
      <c r="AN365" s="264"/>
      <c r="AO365" s="264"/>
      <c r="BB365" s="31"/>
      <c r="BD365" s="31"/>
    </row>
    <row r="366" spans="3:57" hidden="1" outlineLevel="1">
      <c r="C366" s="31"/>
      <c r="AI366" s="31"/>
      <c r="AK366" s="31"/>
      <c r="AL366" s="31"/>
      <c r="BB366" s="31"/>
      <c r="BD366" s="31"/>
    </row>
    <row r="367" spans="3:57" hidden="1" outlineLevel="1">
      <c r="C367" s="28"/>
      <c r="D367" s="28"/>
      <c r="E367" s="28"/>
      <c r="F367" s="28"/>
      <c r="G367" s="28"/>
      <c r="H367" s="28"/>
      <c r="I367" s="28"/>
      <c r="J367" s="302"/>
      <c r="K367" s="302"/>
      <c r="L367" s="302"/>
      <c r="N367" s="87" t="str">
        <f>N328</f>
        <v>Montage auf Platz</v>
      </c>
      <c r="O367" s="87" t="str">
        <f t="shared" ref="O367:S367" si="39">O328</f>
        <v>Montage auf Platz</v>
      </c>
      <c r="P367" s="87" t="str">
        <f t="shared" si="39"/>
        <v>Montage auf Platz</v>
      </c>
      <c r="Q367" s="87" t="str">
        <f t="shared" si="39"/>
        <v>Montage auf Platz</v>
      </c>
      <c r="R367" s="87" t="str">
        <f t="shared" si="39"/>
        <v>Montage auf Platz</v>
      </c>
      <c r="S367" s="87" t="str">
        <f t="shared" si="39"/>
        <v>Montage auf Platz</v>
      </c>
      <c r="T367" s="87" t="str">
        <f t="shared" ref="T367:AG367" si="40">T328</f>
        <v>.</v>
      </c>
      <c r="U367" s="87" t="str">
        <f t="shared" si="40"/>
        <v>Werksgefertigt</v>
      </c>
      <c r="V367" s="87" t="str">
        <f t="shared" si="40"/>
        <v>Werksgefertigt</v>
      </c>
      <c r="W367" s="87" t="str">
        <f t="shared" si="40"/>
        <v>Werksgefertigt</v>
      </c>
      <c r="X367" s="87" t="str">
        <f t="shared" si="40"/>
        <v>Werksgefertigt</v>
      </c>
      <c r="Y367" s="87" t="str">
        <f t="shared" si="40"/>
        <v>Werksgefertigt</v>
      </c>
      <c r="Z367" s="87" t="str">
        <f t="shared" si="40"/>
        <v>Werksgefertigt</v>
      </c>
      <c r="AA367" s="87" t="str">
        <f t="shared" si="40"/>
        <v>.</v>
      </c>
      <c r="AB367" s="87" t="str">
        <f t="shared" si="40"/>
        <v>Werksgefertigt hermetisiert</v>
      </c>
      <c r="AC367" s="87" t="str">
        <f t="shared" si="40"/>
        <v>Werksgefertigt hermetisiert</v>
      </c>
      <c r="AD367" s="87" t="str">
        <f t="shared" si="40"/>
        <v>Werksgefertigt hermetisiert</v>
      </c>
      <c r="AE367" s="87" t="str">
        <f t="shared" si="40"/>
        <v>Werksgefertigt hermetisiert</v>
      </c>
      <c r="AF367" s="87" t="str">
        <f t="shared" si="40"/>
        <v>Werksgefertigt hermetisiert</v>
      </c>
      <c r="AG367" s="87" t="str">
        <f t="shared" si="40"/>
        <v>Werksgefertigt hermetisiert</v>
      </c>
      <c r="AH367" s="87" t="s">
        <v>1005</v>
      </c>
      <c r="AI367" s="87"/>
      <c r="AJ367" s="220"/>
      <c r="AK367" s="220"/>
      <c r="AL367" s="220"/>
      <c r="AM367" s="220"/>
      <c r="AN367" s="220"/>
      <c r="AO367" s="220"/>
      <c r="BB367" s="31"/>
      <c r="BD367" s="31"/>
    </row>
    <row r="368" spans="3:57" ht="75" hidden="1" customHeight="1" outlineLevel="1">
      <c r="C368" s="1120" t="s">
        <v>18</v>
      </c>
      <c r="D368" s="1121"/>
      <c r="E368" s="1121"/>
      <c r="F368" s="1121"/>
      <c r="G368" s="1121"/>
      <c r="H368" s="1121"/>
      <c r="I368" s="1121"/>
      <c r="J368" s="1122"/>
      <c r="K368" s="1122"/>
      <c r="L368" s="1089"/>
      <c r="M368" s="1089"/>
      <c r="N368" s="1132" t="str">
        <f>N329</f>
        <v>Supermarkt</v>
      </c>
      <c r="O368" s="1132" t="str">
        <f t="shared" ref="O368:S368" si="41">O329</f>
        <v>Industrie</v>
      </c>
      <c r="P368" s="1132" t="str">
        <f t="shared" si="41"/>
        <v>Gewerbe</v>
      </c>
      <c r="Q368" s="1132" t="str">
        <f t="shared" si="41"/>
        <v>Klima-Kälte Direktverdampfung (VRV-, VRF-Systeme)</v>
      </c>
      <c r="R368" s="1132" t="str">
        <f t="shared" si="41"/>
        <v>Klima-Kälte (wassergekühlte Kaltwassersätze)</v>
      </c>
      <c r="S368" s="1132" t="str">
        <f t="shared" si="41"/>
        <v>Klima-Kälte (luftgekühlte Kaltwassersätze)</v>
      </c>
      <c r="T368" s="1133"/>
      <c r="U368" s="1132" t="str">
        <f>N368</f>
        <v>Supermarkt</v>
      </c>
      <c r="V368" s="1132" t="str">
        <f t="shared" ref="V368" si="42">O368</f>
        <v>Industrie</v>
      </c>
      <c r="W368" s="1132" t="str">
        <f t="shared" ref="W368" si="43">P368</f>
        <v>Gewerbe</v>
      </c>
      <c r="X368" s="1132" t="str">
        <f t="shared" ref="X368" si="44">Q368</f>
        <v>Klima-Kälte Direktverdampfung (VRV-, VRF-Systeme)</v>
      </c>
      <c r="Y368" s="1132" t="str">
        <f t="shared" ref="Y368" si="45">R368</f>
        <v>Klima-Kälte (wassergekühlte Kaltwassersätze)</v>
      </c>
      <c r="Z368" s="1132" t="str">
        <f t="shared" ref="Z368" si="46">S368</f>
        <v>Klima-Kälte (luftgekühlte Kaltwassersätze)</v>
      </c>
      <c r="AA368" s="1133"/>
      <c r="AB368" s="1132" t="str">
        <f>N368</f>
        <v>Supermarkt</v>
      </c>
      <c r="AC368" s="1132" t="str">
        <f t="shared" ref="AC368" si="47">O368</f>
        <v>Industrie</v>
      </c>
      <c r="AD368" s="1132" t="str">
        <f t="shared" ref="AD368" si="48">P368</f>
        <v>Gewerbe</v>
      </c>
      <c r="AE368" s="1132" t="str">
        <f t="shared" ref="AE368" si="49">Q368</f>
        <v>Klima-Kälte Direktverdampfung (VRV-, VRF-Systeme)</v>
      </c>
      <c r="AF368" s="1132" t="str">
        <f t="shared" ref="AF368" si="50">R368</f>
        <v>Klima-Kälte (wassergekühlte Kaltwassersätze)</v>
      </c>
      <c r="AG368" s="1132" t="str">
        <f t="shared" ref="AG368" si="51">S368</f>
        <v>Klima-Kälte (luftgekühlte Kaltwassersätze)</v>
      </c>
      <c r="AH368" s="87"/>
      <c r="AI368" s="87"/>
      <c r="AJ368" s="1132" t="str">
        <f>U368</f>
        <v>Supermarkt</v>
      </c>
      <c r="AK368" s="1132" t="str">
        <f t="shared" ref="AK368" si="52">V368</f>
        <v>Industrie</v>
      </c>
      <c r="AL368" s="1132" t="str">
        <f t="shared" ref="AL368" si="53">W368</f>
        <v>Gewerbe</v>
      </c>
      <c r="AM368" s="1132" t="str">
        <f t="shared" ref="AM368" si="54">X368</f>
        <v>Klima-Kälte Direktverdampfung (VRV-, VRF-Systeme)</v>
      </c>
      <c r="AN368" s="1132" t="str">
        <f t="shared" ref="AN368" si="55">Y368</f>
        <v>Klima-Kälte (wassergekühlte Kaltwassersätze)</v>
      </c>
      <c r="AO368" s="1132" t="str">
        <f t="shared" ref="AO368" si="56">Z368</f>
        <v>Klima-Kälte (luftgekühlte Kaltwassersätze)</v>
      </c>
      <c r="BB368" s="31"/>
      <c r="BD368" s="31"/>
    </row>
    <row r="369" spans="3:56" hidden="1" outlineLevel="1">
      <c r="C369" s="31"/>
      <c r="K369" s="1030"/>
      <c r="L369" s="1031"/>
      <c r="M369" s="52"/>
      <c r="N369" s="694"/>
      <c r="O369" s="694"/>
      <c r="P369" s="694"/>
      <c r="Q369" s="694"/>
      <c r="R369" s="694"/>
      <c r="S369" s="694"/>
      <c r="U369" s="694"/>
      <c r="V369" s="694"/>
      <c r="W369" s="694"/>
      <c r="X369" s="694"/>
      <c r="Y369" s="694"/>
      <c r="Z369" s="694"/>
      <c r="AB369" s="694"/>
      <c r="AC369" s="694"/>
      <c r="AD369" s="694"/>
      <c r="AE369" s="694"/>
      <c r="AF369" s="694"/>
      <c r="AG369" s="694"/>
      <c r="AI369" s="31"/>
      <c r="AJ369" s="694"/>
      <c r="AK369" s="694"/>
      <c r="AL369" s="694"/>
      <c r="AM369" s="694"/>
      <c r="AN369" s="694"/>
      <c r="AO369" s="694"/>
      <c r="BB369" s="31"/>
      <c r="BD369" s="31"/>
    </row>
    <row r="370" spans="3:56" hidden="1" outlineLevel="1">
      <c r="C370" s="1101" t="str">
        <f>C259</f>
        <v>R 32</v>
      </c>
      <c r="D370" s="1102"/>
      <c r="E370" s="1102"/>
      <c r="F370" s="1102"/>
      <c r="G370" s="1102"/>
      <c r="H370" s="1102"/>
      <c r="I370" s="1102"/>
      <c r="J370" s="1103"/>
      <c r="K370" s="1103"/>
      <c r="L370" s="1031"/>
      <c r="M370" s="52"/>
      <c r="N370" s="1091" t="str">
        <f>IF($J$358=$C370,IF($J$359=N$367,IF($J$360=N$368,N259,"-"),"-"),"-")</f>
        <v>-</v>
      </c>
      <c r="O370" s="1091" t="str">
        <f t="shared" ref="O370:S370" si="57">IF($J$358=$C370,IF($J$359=O$367,IF($J$360=O$368,O259,"-"),"-"),"-")</f>
        <v>-</v>
      </c>
      <c r="P370" s="1091" t="str">
        <f t="shared" si="57"/>
        <v>-</v>
      </c>
      <c r="Q370" s="1091" t="str">
        <f t="shared" si="57"/>
        <v>-</v>
      </c>
      <c r="R370" s="1091" t="str">
        <f t="shared" si="57"/>
        <v>-</v>
      </c>
      <c r="S370" s="1091" t="str">
        <f t="shared" si="57"/>
        <v>-</v>
      </c>
      <c r="U370" s="1091" t="str">
        <f>IF($J$358=$C370,IF($J$359=U$367,IF($J$360=U$368,U259,"-"),"-"),"-")</f>
        <v>-</v>
      </c>
      <c r="V370" s="1091" t="str">
        <f t="shared" ref="V370:Z370" si="58">IF($J$358=$C370,IF($J$359=V$367,IF($J$360=V$368,V259,"-"),"-"),"-")</f>
        <v>-</v>
      </c>
      <c r="W370" s="1091" t="str">
        <f t="shared" si="58"/>
        <v>-</v>
      </c>
      <c r="X370" s="1091" t="str">
        <f t="shared" si="58"/>
        <v>-</v>
      </c>
      <c r="Y370" s="1091" t="str">
        <f t="shared" si="58"/>
        <v>-</v>
      </c>
      <c r="Z370" s="1091" t="str">
        <f t="shared" si="58"/>
        <v>-</v>
      </c>
      <c r="AB370" s="1091" t="str">
        <f>IF($J$358=$C370,IF($J$359=AB$367,IF($J$360=AB$368,AB259,"-"),"-"),"-")</f>
        <v>-</v>
      </c>
      <c r="AC370" s="1091" t="str">
        <f t="shared" ref="AC370:AG370" si="59">IF($J$358=$C370,IF($J$359=AC$367,IF($J$360=AC$368,AC259,"-"),"-"),"-")</f>
        <v>-</v>
      </c>
      <c r="AD370" s="1091" t="str">
        <f t="shared" si="59"/>
        <v>-</v>
      </c>
      <c r="AE370" s="1091" t="str">
        <f t="shared" si="59"/>
        <v>-</v>
      </c>
      <c r="AF370" s="1091" t="str">
        <f t="shared" si="59"/>
        <v>-</v>
      </c>
      <c r="AG370" s="1091" t="str">
        <f t="shared" si="59"/>
        <v>-</v>
      </c>
      <c r="AI370" s="31"/>
      <c r="AJ370" s="1091" t="str">
        <f>IF($J$358=$C370,IF($J$360=AJ$368,N288,"-"),"-")</f>
        <v>-</v>
      </c>
      <c r="AK370" s="1091" t="str">
        <f t="shared" ref="AK370:AO370" si="60">IF($J$358=$C370,IF($J$360=AK$368,O288,"-"),"-")</f>
        <v>-</v>
      </c>
      <c r="AL370" s="1091" t="str">
        <f t="shared" si="60"/>
        <v>-</v>
      </c>
      <c r="AM370" s="1091" t="str">
        <f t="shared" si="60"/>
        <v>-</v>
      </c>
      <c r="AN370" s="1091" t="str">
        <f t="shared" si="60"/>
        <v>-</v>
      </c>
      <c r="AO370" s="1091" t="str">
        <f t="shared" si="60"/>
        <v>-</v>
      </c>
      <c r="BB370" s="31"/>
      <c r="BD370" s="31"/>
    </row>
    <row r="371" spans="3:56" hidden="1" outlineLevel="1">
      <c r="C371" s="1101" t="str">
        <f t="shared" ref="C371:C392" si="61">C260</f>
        <v>R134a</v>
      </c>
      <c r="D371" s="1102"/>
      <c r="E371" s="1102"/>
      <c r="F371" s="1102"/>
      <c r="G371" s="1102"/>
      <c r="H371" s="1102"/>
      <c r="I371" s="1102"/>
      <c r="J371" s="1103"/>
      <c r="K371" s="1103"/>
      <c r="L371" s="1031"/>
      <c r="M371" s="52"/>
      <c r="N371" s="1091" t="str">
        <f t="shared" ref="N371:S371" si="62">IF($J$358=$C371,IF($J$359=N$367,IF($J$360=N$368,N260,"-"),"-"),"-")</f>
        <v>-</v>
      </c>
      <c r="O371" s="1091" t="str">
        <f t="shared" si="62"/>
        <v>-</v>
      </c>
      <c r="P371" s="1091" t="str">
        <f t="shared" si="62"/>
        <v>-</v>
      </c>
      <c r="Q371" s="1091" t="str">
        <f t="shared" si="62"/>
        <v>-</v>
      </c>
      <c r="R371" s="1091" t="str">
        <f t="shared" si="62"/>
        <v>-</v>
      </c>
      <c r="S371" s="1091" t="str">
        <f t="shared" si="62"/>
        <v>-</v>
      </c>
      <c r="U371" s="1091" t="str">
        <f t="shared" ref="U371:Z371" si="63">IF($J$358=$C371,IF($J$359=U$367,IF($J$360=U$368,U260,"-"),"-"),"-")</f>
        <v>-</v>
      </c>
      <c r="V371" s="1091" t="str">
        <f t="shared" si="63"/>
        <v>-</v>
      </c>
      <c r="W371" s="1091" t="str">
        <f t="shared" si="63"/>
        <v>-</v>
      </c>
      <c r="X371" s="1091" t="str">
        <f t="shared" si="63"/>
        <v>-</v>
      </c>
      <c r="Y371" s="1091" t="str">
        <f t="shared" si="63"/>
        <v>-</v>
      </c>
      <c r="Z371" s="1091" t="str">
        <f t="shared" si="63"/>
        <v>-</v>
      </c>
      <c r="AB371" s="1091" t="str">
        <f t="shared" ref="AB371:AG371" si="64">IF($J$358=$C371,IF($J$359=AB$367,IF($J$360=AB$368,AB260,"-"),"-"),"-")</f>
        <v>-</v>
      </c>
      <c r="AC371" s="1091" t="str">
        <f t="shared" si="64"/>
        <v>-</v>
      </c>
      <c r="AD371" s="1091" t="str">
        <f t="shared" si="64"/>
        <v>-</v>
      </c>
      <c r="AE371" s="1091" t="str">
        <f t="shared" si="64"/>
        <v>-</v>
      </c>
      <c r="AF371" s="1091" t="str">
        <f t="shared" si="64"/>
        <v>-</v>
      </c>
      <c r="AG371" s="1091" t="str">
        <f t="shared" si="64"/>
        <v>-</v>
      </c>
      <c r="AI371" s="31"/>
      <c r="AJ371" s="1091" t="str">
        <f t="shared" ref="AJ371:AJ392" si="65">IF($J$358=$C371,IF($J$360=AJ$368,N289,"-"),"-")</f>
        <v>-</v>
      </c>
      <c r="AK371" s="1091" t="str">
        <f t="shared" ref="AK371:AK392" si="66">IF($J$358=$C371,IF($J$360=AK$368,O289,"-"),"-")</f>
        <v>-</v>
      </c>
      <c r="AL371" s="1091" t="str">
        <f t="shared" ref="AL371:AL392" si="67">IF($J$358=$C371,IF($J$360=AL$368,P289,"-"),"-")</f>
        <v>-</v>
      </c>
      <c r="AM371" s="1091" t="str">
        <f t="shared" ref="AM371:AM392" si="68">IF($J$358=$C371,IF($J$360=AM$368,Q289,"-"),"-")</f>
        <v>-</v>
      </c>
      <c r="AN371" s="1091" t="str">
        <f t="shared" ref="AN371:AN392" si="69">IF($J$358=$C371,IF($J$360=AN$368,R289,"-"),"-")</f>
        <v>-</v>
      </c>
      <c r="AO371" s="1091" t="str">
        <f t="shared" ref="AO371:AO392" si="70">IF($J$358=$C371,IF($J$360=AO$368,S289,"-"),"-")</f>
        <v>-</v>
      </c>
      <c r="BB371" s="31"/>
      <c r="BD371" s="31"/>
    </row>
    <row r="372" spans="3:56" hidden="1" outlineLevel="1">
      <c r="C372" s="1123" t="str">
        <f t="shared" si="61"/>
        <v>R290 (Propan)</v>
      </c>
      <c r="D372" s="1104"/>
      <c r="E372" s="1104"/>
      <c r="F372" s="1104"/>
      <c r="G372" s="1104"/>
      <c r="H372" s="1104"/>
      <c r="I372" s="1104"/>
      <c r="J372" s="1103"/>
      <c r="K372" s="1103"/>
      <c r="L372" s="1031"/>
      <c r="M372" s="52"/>
      <c r="N372" s="1091" t="str">
        <f t="shared" ref="N372:S372" si="71">IF($J$358=$C372,IF($J$359=N$367,IF($J$360=N$368,N261,"-"),"-"),"-")</f>
        <v>-</v>
      </c>
      <c r="O372" s="1091" t="str">
        <f t="shared" si="71"/>
        <v>-</v>
      </c>
      <c r="P372" s="1091" t="str">
        <f t="shared" si="71"/>
        <v>-</v>
      </c>
      <c r="Q372" s="1091" t="str">
        <f t="shared" si="71"/>
        <v>-</v>
      </c>
      <c r="R372" s="1091" t="str">
        <f t="shared" si="71"/>
        <v>-</v>
      </c>
      <c r="S372" s="1091" t="str">
        <f t="shared" si="71"/>
        <v>-</v>
      </c>
      <c r="U372" s="1091" t="str">
        <f t="shared" ref="U372:Z372" si="72">IF($J$358=$C372,IF($J$359=U$367,IF($J$360=U$368,U261,"-"),"-"),"-")</f>
        <v>-</v>
      </c>
      <c r="V372" s="1091" t="str">
        <f t="shared" si="72"/>
        <v>-</v>
      </c>
      <c r="W372" s="1091" t="str">
        <f t="shared" si="72"/>
        <v>-</v>
      </c>
      <c r="X372" s="1091" t="str">
        <f t="shared" si="72"/>
        <v>-</v>
      </c>
      <c r="Y372" s="1091" t="str">
        <f t="shared" si="72"/>
        <v>-</v>
      </c>
      <c r="Z372" s="1091" t="str">
        <f t="shared" si="72"/>
        <v>-</v>
      </c>
      <c r="AB372" s="1091" t="str">
        <f t="shared" ref="AB372:AG372" si="73">IF($J$358=$C372,IF($J$359=AB$367,IF($J$360=AB$368,AB261,"-"),"-"),"-")</f>
        <v>-</v>
      </c>
      <c r="AC372" s="1091" t="str">
        <f t="shared" si="73"/>
        <v>-</v>
      </c>
      <c r="AD372" s="1091" t="str">
        <f t="shared" si="73"/>
        <v>-</v>
      </c>
      <c r="AE372" s="1091" t="str">
        <f t="shared" si="73"/>
        <v>-</v>
      </c>
      <c r="AF372" s="1091" t="str">
        <f t="shared" si="73"/>
        <v>-</v>
      </c>
      <c r="AG372" s="1091" t="str">
        <f t="shared" si="73"/>
        <v>-</v>
      </c>
      <c r="AI372" s="31"/>
      <c r="AJ372" s="1091" t="str">
        <f t="shared" si="65"/>
        <v>-</v>
      </c>
      <c r="AK372" s="1091" t="str">
        <f t="shared" si="66"/>
        <v>-</v>
      </c>
      <c r="AL372" s="1091" t="str">
        <f t="shared" si="67"/>
        <v>-</v>
      </c>
      <c r="AM372" s="1091" t="str">
        <f t="shared" si="68"/>
        <v>-</v>
      </c>
      <c r="AN372" s="1091" t="str">
        <f t="shared" si="69"/>
        <v>-</v>
      </c>
      <c r="AO372" s="1091" t="str">
        <f t="shared" si="70"/>
        <v>-</v>
      </c>
      <c r="BB372" s="31"/>
      <c r="BD372" s="31"/>
    </row>
    <row r="373" spans="3:56" hidden="1" outlineLevel="1">
      <c r="C373" s="1101" t="str">
        <f t="shared" si="61"/>
        <v>R404A</v>
      </c>
      <c r="D373" s="1102"/>
      <c r="E373" s="1102"/>
      <c r="F373" s="1102"/>
      <c r="G373" s="1102"/>
      <c r="H373" s="1102"/>
      <c r="I373" s="1102"/>
      <c r="J373" s="1103"/>
      <c r="K373" s="1103"/>
      <c r="L373" s="1031"/>
      <c r="M373" s="52"/>
      <c r="N373" s="1091" t="str">
        <f t="shared" ref="N373:S373" si="74">IF($J$358=$C373,IF($J$359=N$367,IF($J$360=N$368,N262,"-"),"-"),"-")</f>
        <v>-</v>
      </c>
      <c r="O373" s="1091" t="str">
        <f t="shared" si="74"/>
        <v>-</v>
      </c>
      <c r="P373" s="1091" t="str">
        <f t="shared" si="74"/>
        <v>-</v>
      </c>
      <c r="Q373" s="1091" t="str">
        <f t="shared" si="74"/>
        <v>-</v>
      </c>
      <c r="R373" s="1091" t="str">
        <f t="shared" si="74"/>
        <v>-</v>
      </c>
      <c r="S373" s="1091" t="str">
        <f t="shared" si="74"/>
        <v>-</v>
      </c>
      <c r="U373" s="1091" t="str">
        <f t="shared" ref="U373:Z373" si="75">IF($J$358=$C373,IF($J$359=U$367,IF($J$360=U$368,U262,"-"),"-"),"-")</f>
        <v>-</v>
      </c>
      <c r="V373" s="1091" t="str">
        <f t="shared" si="75"/>
        <v>-</v>
      </c>
      <c r="W373" s="1091" t="str">
        <f t="shared" si="75"/>
        <v>-</v>
      </c>
      <c r="X373" s="1091" t="str">
        <f t="shared" si="75"/>
        <v>-</v>
      </c>
      <c r="Y373" s="1091" t="str">
        <f t="shared" si="75"/>
        <v>-</v>
      </c>
      <c r="Z373" s="1091" t="str">
        <f t="shared" si="75"/>
        <v>-</v>
      </c>
      <c r="AB373" s="1091" t="str">
        <f t="shared" ref="AB373:AG373" si="76">IF($J$358=$C373,IF($J$359=AB$367,IF($J$360=AB$368,AB262,"-"),"-"),"-")</f>
        <v>-</v>
      </c>
      <c r="AC373" s="1091" t="str">
        <f t="shared" si="76"/>
        <v>-</v>
      </c>
      <c r="AD373" s="1091" t="str">
        <f t="shared" si="76"/>
        <v>-</v>
      </c>
      <c r="AE373" s="1091" t="str">
        <f t="shared" si="76"/>
        <v>-</v>
      </c>
      <c r="AF373" s="1091" t="str">
        <f t="shared" si="76"/>
        <v>-</v>
      </c>
      <c r="AG373" s="1091" t="str">
        <f t="shared" si="76"/>
        <v>-</v>
      </c>
      <c r="AI373" s="31"/>
      <c r="AJ373" s="1091" t="str">
        <f t="shared" si="65"/>
        <v>-</v>
      </c>
      <c r="AK373" s="1091" t="str">
        <f t="shared" si="66"/>
        <v>-</v>
      </c>
      <c r="AL373" s="1091" t="str">
        <f t="shared" si="67"/>
        <v>-</v>
      </c>
      <c r="AM373" s="1091" t="str">
        <f t="shared" si="68"/>
        <v>-</v>
      </c>
      <c r="AN373" s="1091" t="str">
        <f t="shared" si="69"/>
        <v>-</v>
      </c>
      <c r="AO373" s="1091" t="str">
        <f t="shared" si="70"/>
        <v>-</v>
      </c>
      <c r="BB373" s="31"/>
      <c r="BD373" s="31"/>
    </row>
    <row r="374" spans="3:56" hidden="1" outlineLevel="1">
      <c r="C374" s="1101" t="str">
        <f t="shared" si="61"/>
        <v>R407C</v>
      </c>
      <c r="D374" s="1102"/>
      <c r="E374" s="1102"/>
      <c r="F374" s="1102"/>
      <c r="G374" s="1102"/>
      <c r="H374" s="1102"/>
      <c r="I374" s="1102"/>
      <c r="J374" s="1103"/>
      <c r="K374" s="1103"/>
      <c r="L374" s="1031"/>
      <c r="M374" s="52"/>
      <c r="N374" s="1091" t="str">
        <f t="shared" ref="N374:S374" si="77">IF($J$358=$C374,IF($J$359=N$367,IF($J$360=N$368,N263,"-"),"-"),"-")</f>
        <v>-</v>
      </c>
      <c r="O374" s="1091" t="str">
        <f t="shared" si="77"/>
        <v>-</v>
      </c>
      <c r="P374" s="1091" t="str">
        <f t="shared" si="77"/>
        <v>-</v>
      </c>
      <c r="Q374" s="1091" t="str">
        <f t="shared" si="77"/>
        <v>-</v>
      </c>
      <c r="R374" s="1091" t="str">
        <f t="shared" si="77"/>
        <v>-</v>
      </c>
      <c r="S374" s="1091" t="str">
        <f t="shared" si="77"/>
        <v>-</v>
      </c>
      <c r="U374" s="1091" t="str">
        <f t="shared" ref="U374:Z374" si="78">IF($J$358=$C374,IF($J$359=U$367,IF($J$360=U$368,U263,"-"),"-"),"-")</f>
        <v>-</v>
      </c>
      <c r="V374" s="1091" t="str">
        <f t="shared" si="78"/>
        <v>-</v>
      </c>
      <c r="W374" s="1091" t="str">
        <f t="shared" si="78"/>
        <v>-</v>
      </c>
      <c r="X374" s="1091" t="str">
        <f t="shared" si="78"/>
        <v>-</v>
      </c>
      <c r="Y374" s="1091" t="str">
        <f t="shared" si="78"/>
        <v>-</v>
      </c>
      <c r="Z374" s="1091" t="str">
        <f t="shared" si="78"/>
        <v>-</v>
      </c>
      <c r="AB374" s="1091" t="str">
        <f t="shared" ref="AB374:AG374" si="79">IF($J$358=$C374,IF($J$359=AB$367,IF($J$360=AB$368,AB263,"-"),"-"),"-")</f>
        <v>-</v>
      </c>
      <c r="AC374" s="1091" t="str">
        <f t="shared" si="79"/>
        <v>-</v>
      </c>
      <c r="AD374" s="1091" t="str">
        <f t="shared" si="79"/>
        <v>-</v>
      </c>
      <c r="AE374" s="1091" t="str">
        <f t="shared" si="79"/>
        <v>-</v>
      </c>
      <c r="AF374" s="1091" t="str">
        <f t="shared" si="79"/>
        <v>-</v>
      </c>
      <c r="AG374" s="1091" t="str">
        <f t="shared" si="79"/>
        <v>-</v>
      </c>
      <c r="AI374" s="31"/>
      <c r="AJ374" s="1091" t="str">
        <f t="shared" si="65"/>
        <v>-</v>
      </c>
      <c r="AK374" s="1091" t="str">
        <f t="shared" si="66"/>
        <v>-</v>
      </c>
      <c r="AL374" s="1091" t="str">
        <f t="shared" si="67"/>
        <v>-</v>
      </c>
      <c r="AM374" s="1091" t="str">
        <f t="shared" si="68"/>
        <v>-</v>
      </c>
      <c r="AN374" s="1091" t="str">
        <f t="shared" si="69"/>
        <v>-</v>
      </c>
      <c r="AO374" s="1091" t="str">
        <f t="shared" si="70"/>
        <v>-</v>
      </c>
      <c r="BB374" s="31"/>
      <c r="BD374" s="31"/>
    </row>
    <row r="375" spans="3:56" hidden="1" outlineLevel="1">
      <c r="C375" s="1101" t="str">
        <f t="shared" si="61"/>
        <v>R407F</v>
      </c>
      <c r="D375" s="1102"/>
      <c r="E375" s="1102"/>
      <c r="F375" s="1102"/>
      <c r="G375" s="1102"/>
      <c r="H375" s="1102"/>
      <c r="I375" s="1102"/>
      <c r="J375" s="1103"/>
      <c r="K375" s="1103"/>
      <c r="L375" s="1031"/>
      <c r="M375" s="52"/>
      <c r="N375" s="1091" t="str">
        <f t="shared" ref="N375:S375" si="80">IF($J$358=$C375,IF($J$359=N$367,IF($J$360=N$368,N264,"-"),"-"),"-")</f>
        <v>-</v>
      </c>
      <c r="O375" s="1091" t="str">
        <f t="shared" si="80"/>
        <v>-</v>
      </c>
      <c r="P375" s="1091" t="str">
        <f t="shared" si="80"/>
        <v>-</v>
      </c>
      <c r="Q375" s="1091" t="str">
        <f t="shared" si="80"/>
        <v>-</v>
      </c>
      <c r="R375" s="1091" t="str">
        <f t="shared" si="80"/>
        <v>-</v>
      </c>
      <c r="S375" s="1091" t="str">
        <f t="shared" si="80"/>
        <v>-</v>
      </c>
      <c r="U375" s="1091" t="str">
        <f t="shared" ref="U375:Z375" si="81">IF($J$358=$C375,IF($J$359=U$367,IF($J$360=U$368,U264,"-"),"-"),"-")</f>
        <v>-</v>
      </c>
      <c r="V375" s="1091" t="str">
        <f t="shared" si="81"/>
        <v>-</v>
      </c>
      <c r="W375" s="1091" t="str">
        <f t="shared" si="81"/>
        <v>-</v>
      </c>
      <c r="X375" s="1091" t="str">
        <f t="shared" si="81"/>
        <v>-</v>
      </c>
      <c r="Y375" s="1091" t="str">
        <f t="shared" si="81"/>
        <v>-</v>
      </c>
      <c r="Z375" s="1091" t="str">
        <f t="shared" si="81"/>
        <v>-</v>
      </c>
      <c r="AB375" s="1091" t="str">
        <f t="shared" ref="AB375:AG375" si="82">IF($J$358=$C375,IF($J$359=AB$367,IF($J$360=AB$368,AB264,"-"),"-"),"-")</f>
        <v>-</v>
      </c>
      <c r="AC375" s="1091" t="str">
        <f t="shared" si="82"/>
        <v>-</v>
      </c>
      <c r="AD375" s="1091" t="str">
        <f t="shared" si="82"/>
        <v>-</v>
      </c>
      <c r="AE375" s="1091" t="str">
        <f t="shared" si="82"/>
        <v>-</v>
      </c>
      <c r="AF375" s="1091" t="str">
        <f t="shared" si="82"/>
        <v>-</v>
      </c>
      <c r="AG375" s="1091" t="str">
        <f t="shared" si="82"/>
        <v>-</v>
      </c>
      <c r="AI375" s="31"/>
      <c r="AJ375" s="1091" t="str">
        <f t="shared" si="65"/>
        <v>-</v>
      </c>
      <c r="AK375" s="1091" t="str">
        <f t="shared" si="66"/>
        <v>-</v>
      </c>
      <c r="AL375" s="1091" t="str">
        <f t="shared" si="67"/>
        <v>-</v>
      </c>
      <c r="AM375" s="1091" t="str">
        <f t="shared" si="68"/>
        <v>-</v>
      </c>
      <c r="AN375" s="1091" t="str">
        <f t="shared" si="69"/>
        <v>-</v>
      </c>
      <c r="AO375" s="1091" t="str">
        <f t="shared" si="70"/>
        <v>-</v>
      </c>
      <c r="BB375" s="31"/>
      <c r="BD375" s="31"/>
    </row>
    <row r="376" spans="3:56" hidden="1" outlineLevel="1">
      <c r="C376" s="1101" t="str">
        <f t="shared" si="61"/>
        <v>R410A</v>
      </c>
      <c r="D376" s="1102"/>
      <c r="E376" s="1102"/>
      <c r="F376" s="1102"/>
      <c r="G376" s="1102"/>
      <c r="H376" s="1102"/>
      <c r="I376" s="1102"/>
      <c r="J376" s="1103"/>
      <c r="K376" s="1103"/>
      <c r="L376" s="1031"/>
      <c r="M376" s="52"/>
      <c r="N376" s="1091" t="str">
        <f t="shared" ref="N376:S376" si="83">IF($J$358=$C376,IF($J$359=N$367,IF($J$360=N$368,N265,"-"),"-"),"-")</f>
        <v>-</v>
      </c>
      <c r="O376" s="1091" t="str">
        <f t="shared" si="83"/>
        <v>-</v>
      </c>
      <c r="P376" s="1091" t="str">
        <f t="shared" si="83"/>
        <v>-</v>
      </c>
      <c r="Q376" s="1091" t="str">
        <f t="shared" si="83"/>
        <v>-</v>
      </c>
      <c r="R376" s="1091" t="str">
        <f t="shared" si="83"/>
        <v>-</v>
      </c>
      <c r="S376" s="1091" t="str">
        <f t="shared" si="83"/>
        <v>-</v>
      </c>
      <c r="U376" s="1091" t="str">
        <f t="shared" ref="U376:Z376" si="84">IF($J$358=$C376,IF($J$359=U$367,IF($J$360=U$368,U265,"-"),"-"),"-")</f>
        <v>-</v>
      </c>
      <c r="V376" s="1091" t="str">
        <f t="shared" si="84"/>
        <v>-</v>
      </c>
      <c r="W376" s="1091" t="str">
        <f t="shared" si="84"/>
        <v>-</v>
      </c>
      <c r="X376" s="1091" t="str">
        <f t="shared" si="84"/>
        <v>-</v>
      </c>
      <c r="Y376" s="1091" t="str">
        <f t="shared" si="84"/>
        <v>-</v>
      </c>
      <c r="Z376" s="1091" t="str">
        <f t="shared" si="84"/>
        <v>-</v>
      </c>
      <c r="AB376" s="1091" t="str">
        <f t="shared" ref="AB376:AG376" si="85">IF($J$358=$C376,IF($J$359=AB$367,IF($J$360=AB$368,AB265,"-"),"-"),"-")</f>
        <v>-</v>
      </c>
      <c r="AC376" s="1091" t="str">
        <f t="shared" si="85"/>
        <v>-</v>
      </c>
      <c r="AD376" s="1091" t="str">
        <f t="shared" si="85"/>
        <v>-</v>
      </c>
      <c r="AE376" s="1091" t="str">
        <f t="shared" si="85"/>
        <v>-</v>
      </c>
      <c r="AF376" s="1091" t="str">
        <f t="shared" si="85"/>
        <v>-</v>
      </c>
      <c r="AG376" s="1091" t="str">
        <f t="shared" si="85"/>
        <v>-</v>
      </c>
      <c r="AI376" s="31"/>
      <c r="AJ376" s="1091" t="str">
        <f t="shared" si="65"/>
        <v>-</v>
      </c>
      <c r="AK376" s="1091" t="str">
        <f t="shared" si="66"/>
        <v>-</v>
      </c>
      <c r="AL376" s="1091" t="str">
        <f t="shared" si="67"/>
        <v>-</v>
      </c>
      <c r="AM376" s="1091" t="str">
        <f t="shared" si="68"/>
        <v>-</v>
      </c>
      <c r="AN376" s="1091" t="str">
        <f t="shared" si="69"/>
        <v>-</v>
      </c>
      <c r="AO376" s="1091" t="str">
        <f t="shared" si="70"/>
        <v>-</v>
      </c>
      <c r="BB376" s="31"/>
      <c r="BD376" s="31"/>
    </row>
    <row r="377" spans="3:56" hidden="1" outlineLevel="1">
      <c r="C377" s="1101" t="str">
        <f t="shared" si="61"/>
        <v>R417A</v>
      </c>
      <c r="D377" s="1102"/>
      <c r="E377" s="1102"/>
      <c r="F377" s="1102"/>
      <c r="G377" s="1102"/>
      <c r="H377" s="1102"/>
      <c r="I377" s="1102"/>
      <c r="J377" s="1103"/>
      <c r="K377" s="1103"/>
      <c r="L377" s="1031"/>
      <c r="M377" s="52"/>
      <c r="N377" s="1091" t="str">
        <f t="shared" ref="N377:S377" si="86">IF($J$358=$C377,IF($J$359=N$367,IF($J$360=N$368,N266,"-"),"-"),"-")</f>
        <v>-</v>
      </c>
      <c r="O377" s="1091" t="str">
        <f t="shared" si="86"/>
        <v>-</v>
      </c>
      <c r="P377" s="1091" t="str">
        <f t="shared" si="86"/>
        <v>-</v>
      </c>
      <c r="Q377" s="1091" t="str">
        <f t="shared" si="86"/>
        <v>-</v>
      </c>
      <c r="R377" s="1091" t="str">
        <f t="shared" si="86"/>
        <v>-</v>
      </c>
      <c r="S377" s="1091" t="str">
        <f t="shared" si="86"/>
        <v>-</v>
      </c>
      <c r="U377" s="1091" t="str">
        <f t="shared" ref="U377:Z377" si="87">IF($J$358=$C377,IF($J$359=U$367,IF($J$360=U$368,U266,"-"),"-"),"-")</f>
        <v>-</v>
      </c>
      <c r="V377" s="1091" t="str">
        <f t="shared" si="87"/>
        <v>-</v>
      </c>
      <c r="W377" s="1091" t="str">
        <f t="shared" si="87"/>
        <v>-</v>
      </c>
      <c r="X377" s="1091" t="str">
        <f t="shared" si="87"/>
        <v>-</v>
      </c>
      <c r="Y377" s="1091" t="str">
        <f t="shared" si="87"/>
        <v>-</v>
      </c>
      <c r="Z377" s="1091" t="str">
        <f t="shared" si="87"/>
        <v>-</v>
      </c>
      <c r="AB377" s="1091" t="str">
        <f t="shared" ref="AB377:AG377" si="88">IF($J$358=$C377,IF($J$359=AB$367,IF($J$360=AB$368,AB266,"-"),"-"),"-")</f>
        <v>-</v>
      </c>
      <c r="AC377" s="1091" t="str">
        <f t="shared" si="88"/>
        <v>-</v>
      </c>
      <c r="AD377" s="1091" t="str">
        <f t="shared" si="88"/>
        <v>-</v>
      </c>
      <c r="AE377" s="1091" t="str">
        <f t="shared" si="88"/>
        <v>-</v>
      </c>
      <c r="AF377" s="1091" t="str">
        <f t="shared" si="88"/>
        <v>-</v>
      </c>
      <c r="AG377" s="1091" t="str">
        <f t="shared" si="88"/>
        <v>-</v>
      </c>
      <c r="AI377" s="31"/>
      <c r="AJ377" s="1091" t="str">
        <f t="shared" si="65"/>
        <v>-</v>
      </c>
      <c r="AK377" s="1091" t="str">
        <f t="shared" si="66"/>
        <v>-</v>
      </c>
      <c r="AL377" s="1091" t="str">
        <f t="shared" si="67"/>
        <v>-</v>
      </c>
      <c r="AM377" s="1091" t="str">
        <f t="shared" si="68"/>
        <v>-</v>
      </c>
      <c r="AN377" s="1091" t="str">
        <f t="shared" si="69"/>
        <v>-</v>
      </c>
      <c r="AO377" s="1091" t="str">
        <f t="shared" si="70"/>
        <v>-</v>
      </c>
      <c r="BB377" s="31"/>
      <c r="BD377" s="31"/>
    </row>
    <row r="378" spans="3:56" ht="15" hidden="1" customHeight="1" outlineLevel="1">
      <c r="C378" s="1101" t="str">
        <f t="shared" si="61"/>
        <v>R422A</v>
      </c>
      <c r="D378" s="1102"/>
      <c r="E378" s="1102"/>
      <c r="F378" s="1102"/>
      <c r="G378" s="1102"/>
      <c r="H378" s="1102"/>
      <c r="I378" s="1102"/>
      <c r="J378" s="1103"/>
      <c r="K378" s="1103"/>
      <c r="L378" s="220"/>
      <c r="M378" s="667"/>
      <c r="N378" s="1091" t="str">
        <f t="shared" ref="N378:S378" si="89">IF($J$358=$C378,IF($J$359=N$367,IF($J$360=N$368,N267,"-"),"-"),"-")</f>
        <v>-</v>
      </c>
      <c r="O378" s="1091" t="str">
        <f t="shared" si="89"/>
        <v>-</v>
      </c>
      <c r="P378" s="1091" t="str">
        <f t="shared" si="89"/>
        <v>-</v>
      </c>
      <c r="Q378" s="1091" t="str">
        <f t="shared" si="89"/>
        <v>-</v>
      </c>
      <c r="R378" s="1091" t="str">
        <f t="shared" si="89"/>
        <v>-</v>
      </c>
      <c r="S378" s="1091" t="str">
        <f t="shared" si="89"/>
        <v>-</v>
      </c>
      <c r="T378" s="1108"/>
      <c r="U378" s="1091" t="str">
        <f t="shared" ref="U378:Z378" si="90">IF($J$358=$C378,IF($J$359=U$367,IF($J$360=U$368,U267,"-"),"-"),"-")</f>
        <v>-</v>
      </c>
      <c r="V378" s="1091" t="str">
        <f t="shared" si="90"/>
        <v>-</v>
      </c>
      <c r="W378" s="1091" t="str">
        <f t="shared" si="90"/>
        <v>-</v>
      </c>
      <c r="X378" s="1091" t="str">
        <f t="shared" si="90"/>
        <v>-</v>
      </c>
      <c r="Y378" s="1091" t="str">
        <f t="shared" si="90"/>
        <v>-</v>
      </c>
      <c r="Z378" s="1091" t="str">
        <f t="shared" si="90"/>
        <v>-</v>
      </c>
      <c r="AA378" s="1108"/>
      <c r="AB378" s="1091" t="str">
        <f t="shared" ref="AB378:AG378" si="91">IF($J$358=$C378,IF($J$359=AB$367,IF($J$360=AB$368,AB267,"-"),"-"),"-")</f>
        <v>-</v>
      </c>
      <c r="AC378" s="1091" t="str">
        <f t="shared" si="91"/>
        <v>-</v>
      </c>
      <c r="AD378" s="1091" t="str">
        <f t="shared" si="91"/>
        <v>-</v>
      </c>
      <c r="AE378" s="1091" t="str">
        <f t="shared" si="91"/>
        <v>-</v>
      </c>
      <c r="AF378" s="1091" t="str">
        <f t="shared" si="91"/>
        <v>-</v>
      </c>
      <c r="AG378" s="1091" t="str">
        <f t="shared" si="91"/>
        <v>-</v>
      </c>
      <c r="AH378" s="87"/>
      <c r="AI378" s="87"/>
      <c r="AJ378" s="1091" t="str">
        <f t="shared" si="65"/>
        <v>-</v>
      </c>
      <c r="AK378" s="1091" t="str">
        <f t="shared" si="66"/>
        <v>-</v>
      </c>
      <c r="AL378" s="1091" t="str">
        <f t="shared" si="67"/>
        <v>-</v>
      </c>
      <c r="AM378" s="1091" t="str">
        <f t="shared" si="68"/>
        <v>-</v>
      </c>
      <c r="AN378" s="1091" t="str">
        <f t="shared" si="69"/>
        <v>-</v>
      </c>
      <c r="AO378" s="1091" t="str">
        <f t="shared" si="70"/>
        <v>-</v>
      </c>
      <c r="BB378" s="31"/>
      <c r="BD378" s="31"/>
    </row>
    <row r="379" spans="3:56" ht="15" hidden="1" customHeight="1" outlineLevel="1">
      <c r="C379" s="1101" t="str">
        <f t="shared" si="61"/>
        <v>R422D</v>
      </c>
      <c r="D379" s="1102"/>
      <c r="E379" s="1102"/>
      <c r="F379" s="1102"/>
      <c r="G379" s="1102"/>
      <c r="H379" s="1102"/>
      <c r="I379" s="1102"/>
      <c r="J379" s="1103"/>
      <c r="K379" s="1103"/>
      <c r="L379" s="220"/>
      <c r="M379" s="667"/>
      <c r="N379" s="1091" t="str">
        <f t="shared" ref="N379:S379" si="92">IF($J$358=$C379,IF($J$359=N$367,IF($J$360=N$368,N268,"-"),"-"),"-")</f>
        <v>-</v>
      </c>
      <c r="O379" s="1091" t="str">
        <f t="shared" si="92"/>
        <v>-</v>
      </c>
      <c r="P379" s="1091" t="str">
        <f t="shared" si="92"/>
        <v>-</v>
      </c>
      <c r="Q379" s="1091" t="str">
        <f t="shared" si="92"/>
        <v>-</v>
      </c>
      <c r="R379" s="1091" t="str">
        <f t="shared" si="92"/>
        <v>-</v>
      </c>
      <c r="S379" s="1091" t="str">
        <f t="shared" si="92"/>
        <v>-</v>
      </c>
      <c r="T379" s="1108"/>
      <c r="U379" s="1091" t="str">
        <f t="shared" ref="U379:Z379" si="93">IF($J$358=$C379,IF($J$359=U$367,IF($J$360=U$368,U268,"-"),"-"),"-")</f>
        <v>-</v>
      </c>
      <c r="V379" s="1091" t="str">
        <f t="shared" si="93"/>
        <v>-</v>
      </c>
      <c r="W379" s="1091" t="str">
        <f t="shared" si="93"/>
        <v>-</v>
      </c>
      <c r="X379" s="1091" t="str">
        <f t="shared" si="93"/>
        <v>-</v>
      </c>
      <c r="Y379" s="1091" t="str">
        <f t="shared" si="93"/>
        <v>-</v>
      </c>
      <c r="Z379" s="1091" t="str">
        <f t="shared" si="93"/>
        <v>-</v>
      </c>
      <c r="AA379" s="1108"/>
      <c r="AB379" s="1091" t="str">
        <f t="shared" ref="AB379:AG379" si="94">IF($J$358=$C379,IF($J$359=AB$367,IF($J$360=AB$368,AB268,"-"),"-"),"-")</f>
        <v>-</v>
      </c>
      <c r="AC379" s="1091" t="str">
        <f t="shared" si="94"/>
        <v>-</v>
      </c>
      <c r="AD379" s="1091" t="str">
        <f t="shared" si="94"/>
        <v>-</v>
      </c>
      <c r="AE379" s="1091" t="str">
        <f t="shared" si="94"/>
        <v>-</v>
      </c>
      <c r="AF379" s="1091" t="str">
        <f t="shared" si="94"/>
        <v>-</v>
      </c>
      <c r="AG379" s="1091" t="str">
        <f t="shared" si="94"/>
        <v>-</v>
      </c>
      <c r="AH379" s="87"/>
      <c r="AI379" s="87"/>
      <c r="AJ379" s="1091" t="str">
        <f t="shared" si="65"/>
        <v>-</v>
      </c>
      <c r="AK379" s="1091" t="str">
        <f t="shared" si="66"/>
        <v>-</v>
      </c>
      <c r="AL379" s="1091" t="str">
        <f t="shared" si="67"/>
        <v>-</v>
      </c>
      <c r="AM379" s="1091" t="str">
        <f t="shared" si="68"/>
        <v>-</v>
      </c>
      <c r="AN379" s="1091" t="str">
        <f t="shared" si="69"/>
        <v>-</v>
      </c>
      <c r="AO379" s="1091" t="str">
        <f t="shared" si="70"/>
        <v>-</v>
      </c>
      <c r="BB379" s="31"/>
      <c r="BD379" s="31"/>
    </row>
    <row r="380" spans="3:56" ht="15" hidden="1" customHeight="1" outlineLevel="1">
      <c r="C380" s="1101" t="str">
        <f t="shared" si="61"/>
        <v>R427A</v>
      </c>
      <c r="D380" s="1102"/>
      <c r="E380" s="1102"/>
      <c r="F380" s="1102"/>
      <c r="G380" s="1102"/>
      <c r="H380" s="1102"/>
      <c r="I380" s="1102"/>
      <c r="J380" s="1103"/>
      <c r="K380" s="1103"/>
      <c r="L380" s="220"/>
      <c r="M380" s="667"/>
      <c r="N380" s="1091" t="str">
        <f t="shared" ref="N380:S380" si="95">IF($J$358=$C380,IF($J$359=N$367,IF($J$360=N$368,N269,"-"),"-"),"-")</f>
        <v>-</v>
      </c>
      <c r="O380" s="1091" t="str">
        <f t="shared" si="95"/>
        <v>-</v>
      </c>
      <c r="P380" s="1091" t="str">
        <f t="shared" si="95"/>
        <v>-</v>
      </c>
      <c r="Q380" s="1091" t="str">
        <f t="shared" si="95"/>
        <v>-</v>
      </c>
      <c r="R380" s="1091" t="str">
        <f t="shared" si="95"/>
        <v>-</v>
      </c>
      <c r="S380" s="1091" t="str">
        <f t="shared" si="95"/>
        <v>-</v>
      </c>
      <c r="T380" s="1108"/>
      <c r="U380" s="1091" t="str">
        <f t="shared" ref="U380:Z380" si="96">IF($J$358=$C380,IF($J$359=U$367,IF($J$360=U$368,U269,"-"),"-"),"-")</f>
        <v>-</v>
      </c>
      <c r="V380" s="1091" t="str">
        <f t="shared" si="96"/>
        <v>-</v>
      </c>
      <c r="W380" s="1091" t="str">
        <f t="shared" si="96"/>
        <v>-</v>
      </c>
      <c r="X380" s="1091" t="str">
        <f t="shared" si="96"/>
        <v>-</v>
      </c>
      <c r="Y380" s="1091" t="str">
        <f t="shared" si="96"/>
        <v>-</v>
      </c>
      <c r="Z380" s="1091" t="str">
        <f t="shared" si="96"/>
        <v>-</v>
      </c>
      <c r="AA380" s="1108"/>
      <c r="AB380" s="1091" t="str">
        <f t="shared" ref="AB380:AG380" si="97">IF($J$358=$C380,IF($J$359=AB$367,IF($J$360=AB$368,AB269,"-"),"-"),"-")</f>
        <v>-</v>
      </c>
      <c r="AC380" s="1091" t="str">
        <f t="shared" si="97"/>
        <v>-</v>
      </c>
      <c r="AD380" s="1091" t="str">
        <f t="shared" si="97"/>
        <v>-</v>
      </c>
      <c r="AE380" s="1091" t="str">
        <f t="shared" si="97"/>
        <v>-</v>
      </c>
      <c r="AF380" s="1091" t="str">
        <f t="shared" si="97"/>
        <v>-</v>
      </c>
      <c r="AG380" s="1091" t="str">
        <f t="shared" si="97"/>
        <v>-</v>
      </c>
      <c r="AH380" s="87"/>
      <c r="AI380" s="87"/>
      <c r="AJ380" s="1091" t="str">
        <f t="shared" si="65"/>
        <v>-</v>
      </c>
      <c r="AK380" s="1091" t="str">
        <f t="shared" si="66"/>
        <v>-</v>
      </c>
      <c r="AL380" s="1091" t="str">
        <f t="shared" si="67"/>
        <v>-</v>
      </c>
      <c r="AM380" s="1091" t="str">
        <f t="shared" si="68"/>
        <v>-</v>
      </c>
      <c r="AN380" s="1091" t="str">
        <f t="shared" si="69"/>
        <v>-</v>
      </c>
      <c r="AO380" s="1091" t="str">
        <f t="shared" si="70"/>
        <v>-</v>
      </c>
      <c r="BB380" s="31"/>
      <c r="BD380" s="31"/>
    </row>
    <row r="381" spans="3:56" ht="15" hidden="1" customHeight="1" outlineLevel="1">
      <c r="C381" s="1101" t="str">
        <f t="shared" si="61"/>
        <v>R448A</v>
      </c>
      <c r="D381" s="1102"/>
      <c r="E381" s="1102"/>
      <c r="F381" s="1102"/>
      <c r="G381" s="1102"/>
      <c r="H381" s="1102"/>
      <c r="I381" s="1102"/>
      <c r="J381" s="1103"/>
      <c r="K381" s="1103"/>
      <c r="L381" s="220"/>
      <c r="M381" s="667"/>
      <c r="N381" s="1091" t="str">
        <f t="shared" ref="N381:S381" si="98">IF($J$358=$C381,IF($J$359=N$367,IF($J$360=N$368,N270,"-"),"-"),"-")</f>
        <v>-</v>
      </c>
      <c r="O381" s="1091" t="str">
        <f t="shared" si="98"/>
        <v>-</v>
      </c>
      <c r="P381" s="1091" t="str">
        <f t="shared" si="98"/>
        <v>-</v>
      </c>
      <c r="Q381" s="1091" t="str">
        <f t="shared" si="98"/>
        <v>-</v>
      </c>
      <c r="R381" s="1091" t="str">
        <f t="shared" si="98"/>
        <v>-</v>
      </c>
      <c r="S381" s="1091" t="str">
        <f t="shared" si="98"/>
        <v>-</v>
      </c>
      <c r="T381" s="1108"/>
      <c r="U381" s="1091" t="str">
        <f t="shared" ref="U381:Z381" si="99">IF($J$358=$C381,IF($J$359=U$367,IF($J$360=U$368,U270,"-"),"-"),"-")</f>
        <v>-</v>
      </c>
      <c r="V381" s="1091" t="str">
        <f t="shared" si="99"/>
        <v>-</v>
      </c>
      <c r="W381" s="1091" t="str">
        <f t="shared" si="99"/>
        <v>-</v>
      </c>
      <c r="X381" s="1091" t="str">
        <f t="shared" si="99"/>
        <v>-</v>
      </c>
      <c r="Y381" s="1091" t="str">
        <f t="shared" si="99"/>
        <v>-</v>
      </c>
      <c r="Z381" s="1091" t="str">
        <f t="shared" si="99"/>
        <v>-</v>
      </c>
      <c r="AA381" s="1108"/>
      <c r="AB381" s="1091" t="str">
        <f t="shared" ref="AB381:AG381" si="100">IF($J$358=$C381,IF($J$359=AB$367,IF($J$360=AB$368,AB270,"-"),"-"),"-")</f>
        <v>-</v>
      </c>
      <c r="AC381" s="1091" t="str">
        <f t="shared" si="100"/>
        <v>-</v>
      </c>
      <c r="AD381" s="1091" t="str">
        <f t="shared" si="100"/>
        <v>-</v>
      </c>
      <c r="AE381" s="1091" t="str">
        <f t="shared" si="100"/>
        <v>-</v>
      </c>
      <c r="AF381" s="1091" t="str">
        <f t="shared" si="100"/>
        <v>-</v>
      </c>
      <c r="AG381" s="1091" t="str">
        <f t="shared" si="100"/>
        <v>-</v>
      </c>
      <c r="AH381" s="87"/>
      <c r="AI381" s="87"/>
      <c r="AJ381" s="1091" t="str">
        <f t="shared" si="65"/>
        <v>-</v>
      </c>
      <c r="AK381" s="1091" t="str">
        <f t="shared" si="66"/>
        <v>-</v>
      </c>
      <c r="AL381" s="1091" t="str">
        <f t="shared" si="67"/>
        <v>-</v>
      </c>
      <c r="AM381" s="1091" t="str">
        <f t="shared" si="68"/>
        <v>-</v>
      </c>
      <c r="AN381" s="1091" t="str">
        <f t="shared" si="69"/>
        <v>-</v>
      </c>
      <c r="AO381" s="1091" t="str">
        <f t="shared" si="70"/>
        <v>-</v>
      </c>
      <c r="BB381" s="31"/>
      <c r="BD381" s="31"/>
    </row>
    <row r="382" spans="3:56" ht="15" hidden="1" customHeight="1" outlineLevel="1">
      <c r="C382" s="1101" t="str">
        <f t="shared" si="61"/>
        <v>R449A</v>
      </c>
      <c r="D382" s="1102"/>
      <c r="E382" s="1102"/>
      <c r="F382" s="1102"/>
      <c r="G382" s="1102"/>
      <c r="H382" s="1102"/>
      <c r="I382" s="1102"/>
      <c r="J382" s="1103"/>
      <c r="K382" s="1103"/>
      <c r="L382" s="220"/>
      <c r="M382" s="667"/>
      <c r="N382" s="1091" t="str">
        <f t="shared" ref="N382:S382" si="101">IF($J$358=$C382,IF($J$359=N$367,IF($J$360=N$368,N271,"-"),"-"),"-")</f>
        <v>-</v>
      </c>
      <c r="O382" s="1091" t="str">
        <f t="shared" si="101"/>
        <v>-</v>
      </c>
      <c r="P382" s="1091" t="str">
        <f t="shared" si="101"/>
        <v>-</v>
      </c>
      <c r="Q382" s="1091" t="str">
        <f t="shared" si="101"/>
        <v>-</v>
      </c>
      <c r="R382" s="1091" t="str">
        <f t="shared" si="101"/>
        <v>-</v>
      </c>
      <c r="S382" s="1091" t="str">
        <f t="shared" si="101"/>
        <v>-</v>
      </c>
      <c r="T382" s="1108"/>
      <c r="U382" s="1091" t="str">
        <f t="shared" ref="U382:Z382" si="102">IF($J$358=$C382,IF($J$359=U$367,IF($J$360=U$368,U271,"-"),"-"),"-")</f>
        <v>-</v>
      </c>
      <c r="V382" s="1091" t="str">
        <f t="shared" si="102"/>
        <v>-</v>
      </c>
      <c r="W382" s="1091" t="str">
        <f t="shared" si="102"/>
        <v>-</v>
      </c>
      <c r="X382" s="1091" t="str">
        <f t="shared" si="102"/>
        <v>-</v>
      </c>
      <c r="Y382" s="1091" t="str">
        <f t="shared" si="102"/>
        <v>-</v>
      </c>
      <c r="Z382" s="1091" t="str">
        <f t="shared" si="102"/>
        <v>-</v>
      </c>
      <c r="AA382" s="1108"/>
      <c r="AB382" s="1091" t="str">
        <f t="shared" ref="AB382:AG382" si="103">IF($J$358=$C382,IF($J$359=AB$367,IF($J$360=AB$368,AB271,"-"),"-"),"-")</f>
        <v>-</v>
      </c>
      <c r="AC382" s="1091" t="str">
        <f t="shared" si="103"/>
        <v>-</v>
      </c>
      <c r="AD382" s="1091" t="str">
        <f t="shared" si="103"/>
        <v>-</v>
      </c>
      <c r="AE382" s="1091" t="str">
        <f t="shared" si="103"/>
        <v>-</v>
      </c>
      <c r="AF382" s="1091" t="str">
        <f t="shared" si="103"/>
        <v>-</v>
      </c>
      <c r="AG382" s="1091" t="str">
        <f t="shared" si="103"/>
        <v>-</v>
      </c>
      <c r="AH382" s="87"/>
      <c r="AI382" s="87"/>
      <c r="AJ382" s="1091" t="str">
        <f t="shared" si="65"/>
        <v>-</v>
      </c>
      <c r="AK382" s="1091" t="str">
        <f t="shared" si="66"/>
        <v>-</v>
      </c>
      <c r="AL382" s="1091" t="str">
        <f t="shared" si="67"/>
        <v>-</v>
      </c>
      <c r="AM382" s="1091" t="str">
        <f t="shared" si="68"/>
        <v>-</v>
      </c>
      <c r="AN382" s="1091" t="str">
        <f t="shared" si="69"/>
        <v>-</v>
      </c>
      <c r="AO382" s="1091" t="str">
        <f t="shared" si="70"/>
        <v>-</v>
      </c>
      <c r="BB382" s="31"/>
      <c r="BD382" s="31"/>
    </row>
    <row r="383" spans="3:56" ht="15" hidden="1" customHeight="1" outlineLevel="1">
      <c r="C383" s="1101" t="str">
        <f t="shared" si="61"/>
        <v>R450A</v>
      </c>
      <c r="D383" s="1102"/>
      <c r="E383" s="1102"/>
      <c r="F383" s="1102"/>
      <c r="G383" s="1102"/>
      <c r="H383" s="1102"/>
      <c r="I383" s="1102"/>
      <c r="J383" s="1103"/>
      <c r="K383" s="1103"/>
      <c r="L383" s="220"/>
      <c r="M383" s="667"/>
      <c r="N383" s="1091" t="str">
        <f t="shared" ref="N383:S383" si="104">IF($J$358=$C383,IF($J$359=N$367,IF($J$360=N$368,N272,"-"),"-"),"-")</f>
        <v>-</v>
      </c>
      <c r="O383" s="1091" t="str">
        <f t="shared" si="104"/>
        <v>-</v>
      </c>
      <c r="P383" s="1091" t="str">
        <f t="shared" si="104"/>
        <v>-</v>
      </c>
      <c r="Q383" s="1091" t="str">
        <f t="shared" si="104"/>
        <v>-</v>
      </c>
      <c r="R383" s="1091" t="str">
        <f t="shared" si="104"/>
        <v>-</v>
      </c>
      <c r="S383" s="1091" t="str">
        <f t="shared" si="104"/>
        <v>-</v>
      </c>
      <c r="T383" s="1108"/>
      <c r="U383" s="1091" t="str">
        <f t="shared" ref="U383:Z383" si="105">IF($J$358=$C383,IF($J$359=U$367,IF($J$360=U$368,U272,"-"),"-"),"-")</f>
        <v>-</v>
      </c>
      <c r="V383" s="1091" t="str">
        <f t="shared" si="105"/>
        <v>-</v>
      </c>
      <c r="W383" s="1091" t="str">
        <f t="shared" si="105"/>
        <v>-</v>
      </c>
      <c r="X383" s="1091" t="str">
        <f t="shared" si="105"/>
        <v>-</v>
      </c>
      <c r="Y383" s="1091" t="str">
        <f t="shared" si="105"/>
        <v>-</v>
      </c>
      <c r="Z383" s="1091" t="str">
        <f t="shared" si="105"/>
        <v>-</v>
      </c>
      <c r="AA383" s="1108"/>
      <c r="AB383" s="1091" t="str">
        <f t="shared" ref="AB383:AG383" si="106">IF($J$358=$C383,IF($J$359=AB$367,IF($J$360=AB$368,AB272,"-"),"-"),"-")</f>
        <v>-</v>
      </c>
      <c r="AC383" s="1091" t="str">
        <f t="shared" si="106"/>
        <v>-</v>
      </c>
      <c r="AD383" s="1091" t="str">
        <f t="shared" si="106"/>
        <v>-</v>
      </c>
      <c r="AE383" s="1091" t="str">
        <f t="shared" si="106"/>
        <v>-</v>
      </c>
      <c r="AF383" s="1091" t="str">
        <f t="shared" si="106"/>
        <v>-</v>
      </c>
      <c r="AG383" s="1091" t="str">
        <f t="shared" si="106"/>
        <v>-</v>
      </c>
      <c r="AH383" s="87"/>
      <c r="AI383" s="87"/>
      <c r="AJ383" s="1091" t="str">
        <f t="shared" si="65"/>
        <v>-</v>
      </c>
      <c r="AK383" s="1091" t="str">
        <f t="shared" si="66"/>
        <v>-</v>
      </c>
      <c r="AL383" s="1091" t="str">
        <f t="shared" si="67"/>
        <v>-</v>
      </c>
      <c r="AM383" s="1091" t="str">
        <f t="shared" si="68"/>
        <v>-</v>
      </c>
      <c r="AN383" s="1091" t="str">
        <f t="shared" si="69"/>
        <v>-</v>
      </c>
      <c r="AO383" s="1091" t="str">
        <f t="shared" si="70"/>
        <v>-</v>
      </c>
      <c r="BB383" s="31"/>
      <c r="BD383" s="31"/>
    </row>
    <row r="384" spans="3:56" ht="15" hidden="1" customHeight="1" outlineLevel="1">
      <c r="C384" s="1101" t="str">
        <f t="shared" si="61"/>
        <v>R507 A</v>
      </c>
      <c r="D384" s="1102"/>
      <c r="E384" s="1102"/>
      <c r="F384" s="1102"/>
      <c r="G384" s="1102"/>
      <c r="H384" s="1102"/>
      <c r="I384" s="1102"/>
      <c r="J384" s="1103"/>
      <c r="K384" s="1103"/>
      <c r="L384" s="220"/>
      <c r="M384" s="667"/>
      <c r="N384" s="1091" t="str">
        <f t="shared" ref="N384:S384" si="107">IF($J$358=$C384,IF($J$359=N$367,IF($J$360=N$368,N273,"-"),"-"),"-")</f>
        <v>-</v>
      </c>
      <c r="O384" s="1091" t="str">
        <f t="shared" si="107"/>
        <v>-</v>
      </c>
      <c r="P384" s="1091" t="str">
        <f t="shared" si="107"/>
        <v>-</v>
      </c>
      <c r="Q384" s="1091" t="str">
        <f t="shared" si="107"/>
        <v>-</v>
      </c>
      <c r="R384" s="1091" t="str">
        <f t="shared" si="107"/>
        <v>-</v>
      </c>
      <c r="S384" s="1091" t="str">
        <f t="shared" si="107"/>
        <v>-</v>
      </c>
      <c r="T384" s="1108"/>
      <c r="U384" s="1091" t="str">
        <f t="shared" ref="U384:Z384" si="108">IF($J$358=$C384,IF($J$359=U$367,IF($J$360=U$368,U273,"-"),"-"),"-")</f>
        <v>-</v>
      </c>
      <c r="V384" s="1091" t="str">
        <f t="shared" si="108"/>
        <v>-</v>
      </c>
      <c r="W384" s="1091" t="str">
        <f t="shared" si="108"/>
        <v>-</v>
      </c>
      <c r="X384" s="1091" t="str">
        <f t="shared" si="108"/>
        <v>-</v>
      </c>
      <c r="Y384" s="1091" t="str">
        <f t="shared" si="108"/>
        <v>-</v>
      </c>
      <c r="Z384" s="1091" t="str">
        <f t="shared" si="108"/>
        <v>-</v>
      </c>
      <c r="AA384" s="1108"/>
      <c r="AB384" s="1091" t="str">
        <f t="shared" ref="AB384:AG384" si="109">IF($J$358=$C384,IF($J$359=AB$367,IF($J$360=AB$368,AB273,"-"),"-"),"-")</f>
        <v>-</v>
      </c>
      <c r="AC384" s="1091" t="str">
        <f t="shared" si="109"/>
        <v>-</v>
      </c>
      <c r="AD384" s="1091" t="str">
        <f t="shared" si="109"/>
        <v>-</v>
      </c>
      <c r="AE384" s="1091" t="str">
        <f t="shared" si="109"/>
        <v>-</v>
      </c>
      <c r="AF384" s="1091" t="str">
        <f t="shared" si="109"/>
        <v>-</v>
      </c>
      <c r="AG384" s="1091" t="str">
        <f t="shared" si="109"/>
        <v>-</v>
      </c>
      <c r="AH384" s="87"/>
      <c r="AI384" s="87"/>
      <c r="AJ384" s="1091" t="str">
        <f t="shared" si="65"/>
        <v>-</v>
      </c>
      <c r="AK384" s="1091" t="str">
        <f t="shared" si="66"/>
        <v>-</v>
      </c>
      <c r="AL384" s="1091" t="str">
        <f t="shared" si="67"/>
        <v>-</v>
      </c>
      <c r="AM384" s="1091" t="str">
        <f t="shared" si="68"/>
        <v>-</v>
      </c>
      <c r="AN384" s="1091" t="str">
        <f t="shared" si="69"/>
        <v>-</v>
      </c>
      <c r="AO384" s="1091" t="str">
        <f t="shared" si="70"/>
        <v>-</v>
      </c>
      <c r="BB384" s="31"/>
      <c r="BD384" s="31"/>
    </row>
    <row r="385" spans="3:57" ht="15" hidden="1" customHeight="1" outlineLevel="1">
      <c r="C385" s="1101" t="str">
        <f t="shared" si="61"/>
        <v>R513 A</v>
      </c>
      <c r="D385" s="1102"/>
      <c r="E385" s="1102"/>
      <c r="F385" s="1102"/>
      <c r="G385" s="1102"/>
      <c r="H385" s="1102"/>
      <c r="I385" s="1102"/>
      <c r="J385" s="1103"/>
      <c r="K385" s="1103"/>
      <c r="L385" s="220"/>
      <c r="M385" s="667"/>
      <c r="N385" s="1091" t="str">
        <f t="shared" ref="N385:S385" si="110">IF($J$358=$C385,IF($J$359=N$367,IF($J$360=N$368,N274,"-"),"-"),"-")</f>
        <v>-</v>
      </c>
      <c r="O385" s="1091" t="str">
        <f t="shared" si="110"/>
        <v>-</v>
      </c>
      <c r="P385" s="1091" t="str">
        <f t="shared" si="110"/>
        <v>-</v>
      </c>
      <c r="Q385" s="1091" t="str">
        <f t="shared" si="110"/>
        <v>-</v>
      </c>
      <c r="R385" s="1091" t="str">
        <f t="shared" si="110"/>
        <v>-</v>
      </c>
      <c r="S385" s="1091" t="str">
        <f t="shared" si="110"/>
        <v>-</v>
      </c>
      <c r="T385" s="1108"/>
      <c r="U385" s="1091" t="str">
        <f t="shared" ref="U385:Z385" si="111">IF($J$358=$C385,IF($J$359=U$367,IF($J$360=U$368,U274,"-"),"-"),"-")</f>
        <v>-</v>
      </c>
      <c r="V385" s="1091" t="str">
        <f t="shared" si="111"/>
        <v>-</v>
      </c>
      <c r="W385" s="1091" t="str">
        <f t="shared" si="111"/>
        <v>-</v>
      </c>
      <c r="X385" s="1091" t="str">
        <f t="shared" si="111"/>
        <v>-</v>
      </c>
      <c r="Y385" s="1091" t="str">
        <f t="shared" si="111"/>
        <v>-</v>
      </c>
      <c r="Z385" s="1091" t="str">
        <f t="shared" si="111"/>
        <v>-</v>
      </c>
      <c r="AA385" s="1108"/>
      <c r="AB385" s="1091" t="str">
        <f t="shared" ref="AB385:AG385" si="112">IF($J$358=$C385,IF($J$359=AB$367,IF($J$360=AB$368,AB274,"-"),"-"),"-")</f>
        <v>-</v>
      </c>
      <c r="AC385" s="1091" t="str">
        <f t="shared" si="112"/>
        <v>-</v>
      </c>
      <c r="AD385" s="1091" t="str">
        <f t="shared" si="112"/>
        <v>-</v>
      </c>
      <c r="AE385" s="1091" t="str">
        <f t="shared" si="112"/>
        <v>-</v>
      </c>
      <c r="AF385" s="1091" t="str">
        <f t="shared" si="112"/>
        <v>-</v>
      </c>
      <c r="AG385" s="1091" t="str">
        <f t="shared" si="112"/>
        <v>-</v>
      </c>
      <c r="AH385" s="87"/>
      <c r="AI385" s="87"/>
      <c r="AJ385" s="1091" t="str">
        <f t="shared" si="65"/>
        <v>-</v>
      </c>
      <c r="AK385" s="1091" t="str">
        <f t="shared" si="66"/>
        <v>-</v>
      </c>
      <c r="AL385" s="1091" t="str">
        <f t="shared" si="67"/>
        <v>-</v>
      </c>
      <c r="AM385" s="1091" t="str">
        <f t="shared" si="68"/>
        <v>-</v>
      </c>
      <c r="AN385" s="1091" t="str">
        <f t="shared" si="69"/>
        <v>-</v>
      </c>
      <c r="AO385" s="1091" t="str">
        <f t="shared" si="70"/>
        <v>-</v>
      </c>
      <c r="BB385" s="31"/>
      <c r="BD385" s="31"/>
    </row>
    <row r="386" spans="3:57" ht="15" hidden="1" customHeight="1" outlineLevel="1">
      <c r="C386" s="1128" t="str">
        <f t="shared" si="61"/>
        <v>R717 (Ammoniak - NH3)</v>
      </c>
      <c r="D386" s="1105"/>
      <c r="E386" s="1105"/>
      <c r="F386" s="1105"/>
      <c r="G386" s="1105"/>
      <c r="H386" s="1105"/>
      <c r="I386" s="1105"/>
      <c r="J386" s="1103"/>
      <c r="K386" s="1103"/>
      <c r="L386" s="220"/>
      <c r="M386" s="667"/>
      <c r="N386" s="1091" t="str">
        <f t="shared" ref="N386:S386" si="113">IF($J$358=$C386,IF($J$359=N$367,IF($J$360=N$368,N275,"-"),"-"),"-")</f>
        <v>-</v>
      </c>
      <c r="O386" s="1091" t="str">
        <f t="shared" si="113"/>
        <v>-</v>
      </c>
      <c r="P386" s="1091" t="str">
        <f t="shared" si="113"/>
        <v>-</v>
      </c>
      <c r="Q386" s="1091" t="str">
        <f t="shared" si="113"/>
        <v>-</v>
      </c>
      <c r="R386" s="1091" t="str">
        <f t="shared" si="113"/>
        <v>-</v>
      </c>
      <c r="S386" s="1091" t="str">
        <f t="shared" si="113"/>
        <v>-</v>
      </c>
      <c r="T386" s="1108"/>
      <c r="U386" s="1091" t="str">
        <f t="shared" ref="U386:Z386" si="114">IF($J$358=$C386,IF($J$359=U$367,IF($J$360=U$368,U275,"-"),"-"),"-")</f>
        <v>-</v>
      </c>
      <c r="V386" s="1091" t="str">
        <f t="shared" si="114"/>
        <v>-</v>
      </c>
      <c r="W386" s="1091" t="str">
        <f t="shared" si="114"/>
        <v>-</v>
      </c>
      <c r="X386" s="1091" t="str">
        <f t="shared" si="114"/>
        <v>-</v>
      </c>
      <c r="Y386" s="1091" t="str">
        <f t="shared" si="114"/>
        <v>-</v>
      </c>
      <c r="Z386" s="1091" t="str">
        <f t="shared" si="114"/>
        <v>-</v>
      </c>
      <c r="AA386" s="1108"/>
      <c r="AB386" s="1091" t="str">
        <f t="shared" ref="AB386:AG386" si="115">IF($J$358=$C386,IF($J$359=AB$367,IF($J$360=AB$368,AB275,"-"),"-"),"-")</f>
        <v>-</v>
      </c>
      <c r="AC386" s="1091" t="str">
        <f t="shared" si="115"/>
        <v>-</v>
      </c>
      <c r="AD386" s="1091" t="str">
        <f t="shared" si="115"/>
        <v>-</v>
      </c>
      <c r="AE386" s="1091" t="str">
        <f t="shared" si="115"/>
        <v>-</v>
      </c>
      <c r="AF386" s="1091" t="str">
        <f t="shared" si="115"/>
        <v>-</v>
      </c>
      <c r="AG386" s="1091" t="str">
        <f t="shared" si="115"/>
        <v>-</v>
      </c>
      <c r="AH386" s="87"/>
      <c r="AI386" s="87"/>
      <c r="AJ386" s="1091" t="str">
        <f t="shared" si="65"/>
        <v>-</v>
      </c>
      <c r="AK386" s="1091" t="str">
        <f t="shared" si="66"/>
        <v>-</v>
      </c>
      <c r="AL386" s="1091" t="str">
        <f t="shared" si="67"/>
        <v>-</v>
      </c>
      <c r="AM386" s="1091" t="str">
        <f t="shared" si="68"/>
        <v>-</v>
      </c>
      <c r="AN386" s="1091" t="str">
        <f t="shared" si="69"/>
        <v>-</v>
      </c>
      <c r="AO386" s="1091" t="str">
        <f t="shared" si="70"/>
        <v>-</v>
      </c>
      <c r="BB386" s="31"/>
      <c r="BD386" s="31"/>
    </row>
    <row r="387" spans="3:57" ht="15" hidden="1" customHeight="1" outlineLevel="1">
      <c r="C387" s="1129" t="str">
        <f t="shared" si="61"/>
        <v>R723</v>
      </c>
      <c r="D387" s="1106"/>
      <c r="E387" s="1106"/>
      <c r="F387" s="1106"/>
      <c r="G387" s="1106"/>
      <c r="H387" s="1106"/>
      <c r="I387" s="1106"/>
      <c r="J387" s="1103"/>
      <c r="K387" s="1103"/>
      <c r="L387" s="220"/>
      <c r="M387" s="667"/>
      <c r="N387" s="1091" t="str">
        <f t="shared" ref="N387:S387" si="116">IF($J$358=$C387,IF($J$359=N$367,IF($J$360=N$368,N276,"-"),"-"),"-")</f>
        <v>-</v>
      </c>
      <c r="O387" s="1091" t="str">
        <f t="shared" si="116"/>
        <v>-</v>
      </c>
      <c r="P387" s="1091" t="str">
        <f t="shared" si="116"/>
        <v>-</v>
      </c>
      <c r="Q387" s="1091" t="str">
        <f t="shared" si="116"/>
        <v>-</v>
      </c>
      <c r="R387" s="1091" t="str">
        <f t="shared" si="116"/>
        <v>-</v>
      </c>
      <c r="S387" s="1091" t="str">
        <f t="shared" si="116"/>
        <v>-</v>
      </c>
      <c r="T387" s="1108"/>
      <c r="U387" s="1091" t="str">
        <f t="shared" ref="U387:Z387" si="117">IF($J$358=$C387,IF($J$359=U$367,IF($J$360=U$368,U276,"-"),"-"),"-")</f>
        <v>-</v>
      </c>
      <c r="V387" s="1091" t="str">
        <f t="shared" si="117"/>
        <v>-</v>
      </c>
      <c r="W387" s="1091" t="str">
        <f t="shared" si="117"/>
        <v>-</v>
      </c>
      <c r="X387" s="1091" t="str">
        <f t="shared" si="117"/>
        <v>-</v>
      </c>
      <c r="Y387" s="1091" t="str">
        <f t="shared" si="117"/>
        <v>-</v>
      </c>
      <c r="Z387" s="1091" t="str">
        <f t="shared" si="117"/>
        <v>-</v>
      </c>
      <c r="AA387" s="1108"/>
      <c r="AB387" s="1091" t="str">
        <f t="shared" ref="AB387:AG387" si="118">IF($J$358=$C387,IF($J$359=AB$367,IF($J$360=AB$368,AB276,"-"),"-"),"-")</f>
        <v>-</v>
      </c>
      <c r="AC387" s="1091" t="str">
        <f t="shared" si="118"/>
        <v>-</v>
      </c>
      <c r="AD387" s="1091" t="str">
        <f t="shared" si="118"/>
        <v>-</v>
      </c>
      <c r="AE387" s="1091" t="str">
        <f t="shared" si="118"/>
        <v>-</v>
      </c>
      <c r="AF387" s="1091" t="str">
        <f t="shared" si="118"/>
        <v>-</v>
      </c>
      <c r="AG387" s="1091" t="str">
        <f t="shared" si="118"/>
        <v>-</v>
      </c>
      <c r="AH387" s="87"/>
      <c r="AI387" s="87"/>
      <c r="AJ387" s="1091" t="str">
        <f t="shared" si="65"/>
        <v>-</v>
      </c>
      <c r="AK387" s="1091" t="str">
        <f t="shared" si="66"/>
        <v>-</v>
      </c>
      <c r="AL387" s="1091" t="str">
        <f t="shared" si="67"/>
        <v>-</v>
      </c>
      <c r="AM387" s="1091" t="str">
        <f t="shared" si="68"/>
        <v>-</v>
      </c>
      <c r="AN387" s="1091" t="str">
        <f t="shared" si="69"/>
        <v>-</v>
      </c>
      <c r="AO387" s="1091" t="str">
        <f t="shared" si="70"/>
        <v>-</v>
      </c>
      <c r="BB387" s="31"/>
      <c r="BD387" s="31"/>
    </row>
    <row r="388" spans="3:57" ht="15" hidden="1" customHeight="1" outlineLevel="1">
      <c r="C388" s="1130" t="str">
        <f t="shared" si="61"/>
        <v>R744  (CO2)</v>
      </c>
      <c r="D388" s="1107"/>
      <c r="E388" s="1107"/>
      <c r="F388" s="1107"/>
      <c r="G388" s="1107"/>
      <c r="H388" s="1107"/>
      <c r="I388" s="1107"/>
      <c r="J388" s="1103"/>
      <c r="K388" s="1103"/>
      <c r="L388" s="220"/>
      <c r="M388" s="667"/>
      <c r="N388" s="1091" t="str">
        <f t="shared" ref="N388:S388" si="119">IF($J$358=$C388,IF($J$359=N$367,IF($J$360=N$368,N277,"-"),"-"),"-")</f>
        <v>-</v>
      </c>
      <c r="O388" s="1091" t="str">
        <f t="shared" si="119"/>
        <v>-</v>
      </c>
      <c r="P388" s="1091" t="str">
        <f t="shared" si="119"/>
        <v>-</v>
      </c>
      <c r="Q388" s="1091" t="str">
        <f t="shared" si="119"/>
        <v>-</v>
      </c>
      <c r="R388" s="1091" t="str">
        <f t="shared" si="119"/>
        <v>-</v>
      </c>
      <c r="S388" s="1091" t="str">
        <f t="shared" si="119"/>
        <v>-</v>
      </c>
      <c r="T388" s="1108"/>
      <c r="U388" s="1091" t="str">
        <f t="shared" ref="U388:Z388" si="120">IF($J$358=$C388,IF($J$359=U$367,IF($J$360=U$368,U277,"-"),"-"),"-")</f>
        <v>-</v>
      </c>
      <c r="V388" s="1091" t="str">
        <f t="shared" si="120"/>
        <v>-</v>
      </c>
      <c r="W388" s="1091" t="str">
        <f t="shared" si="120"/>
        <v>-</v>
      </c>
      <c r="X388" s="1091" t="str">
        <f t="shared" si="120"/>
        <v>-</v>
      </c>
      <c r="Y388" s="1091" t="str">
        <f t="shared" si="120"/>
        <v>-</v>
      </c>
      <c r="Z388" s="1091" t="str">
        <f t="shared" si="120"/>
        <v>-</v>
      </c>
      <c r="AA388" s="1108"/>
      <c r="AB388" s="1091" t="str">
        <f t="shared" ref="AB388:AG388" si="121">IF($J$358=$C388,IF($J$359=AB$367,IF($J$360=AB$368,AB277,"-"),"-"),"-")</f>
        <v>-</v>
      </c>
      <c r="AC388" s="1091" t="str">
        <f t="shared" si="121"/>
        <v>-</v>
      </c>
      <c r="AD388" s="1091" t="str">
        <f t="shared" si="121"/>
        <v>-</v>
      </c>
      <c r="AE388" s="1091" t="str">
        <f t="shared" si="121"/>
        <v>-</v>
      </c>
      <c r="AF388" s="1091" t="str">
        <f t="shared" si="121"/>
        <v>-</v>
      </c>
      <c r="AG388" s="1091" t="str">
        <f t="shared" si="121"/>
        <v>-</v>
      </c>
      <c r="AH388" s="87"/>
      <c r="AI388" s="87"/>
      <c r="AJ388" s="1091" t="str">
        <f t="shared" si="65"/>
        <v>-</v>
      </c>
      <c r="AK388" s="1091" t="str">
        <f t="shared" si="66"/>
        <v>-</v>
      </c>
      <c r="AL388" s="1091" t="str">
        <f t="shared" si="67"/>
        <v>-</v>
      </c>
      <c r="AM388" s="1091" t="str">
        <f t="shared" si="68"/>
        <v>-</v>
      </c>
      <c r="AN388" s="1091" t="str">
        <f t="shared" si="69"/>
        <v>-</v>
      </c>
      <c r="AO388" s="1091" t="str">
        <f t="shared" si="70"/>
        <v>-</v>
      </c>
      <c r="BB388" s="31"/>
      <c r="BD388" s="31"/>
    </row>
    <row r="389" spans="3:57" ht="15" hidden="1" customHeight="1" outlineLevel="1">
      <c r="C389" s="1123" t="str">
        <f t="shared" si="61"/>
        <v>R1270 (Propylen)</v>
      </c>
      <c r="D389" s="1125"/>
      <c r="E389" s="1125"/>
      <c r="F389" s="1125"/>
      <c r="G389" s="1125"/>
      <c r="H389" s="1125"/>
      <c r="I389" s="1125"/>
      <c r="J389" s="1103"/>
      <c r="K389" s="1103"/>
      <c r="L389" s="220"/>
      <c r="M389" s="667"/>
      <c r="N389" s="1091" t="str">
        <f t="shared" ref="N389:S389" si="122">IF($J$358=$C389,IF($J$359=N$367,IF($J$360=N$368,N278,"-"),"-"),"-")</f>
        <v>-</v>
      </c>
      <c r="O389" s="1091" t="str">
        <f t="shared" si="122"/>
        <v>-</v>
      </c>
      <c r="P389" s="1091" t="str">
        <f t="shared" si="122"/>
        <v>-</v>
      </c>
      <c r="Q389" s="1091" t="str">
        <f t="shared" si="122"/>
        <v>-</v>
      </c>
      <c r="R389" s="1091" t="str">
        <f t="shared" si="122"/>
        <v>-</v>
      </c>
      <c r="S389" s="1091" t="str">
        <f t="shared" si="122"/>
        <v>-</v>
      </c>
      <c r="T389" s="1108"/>
      <c r="U389" s="1091" t="str">
        <f t="shared" ref="U389:Z389" si="123">IF($J$358=$C389,IF($J$359=U$367,IF($J$360=U$368,U278,"-"),"-"),"-")</f>
        <v>-</v>
      </c>
      <c r="V389" s="1091" t="str">
        <f t="shared" si="123"/>
        <v>-</v>
      </c>
      <c r="W389" s="1091" t="str">
        <f t="shared" si="123"/>
        <v>-</v>
      </c>
      <c r="X389" s="1091" t="str">
        <f t="shared" si="123"/>
        <v>-</v>
      </c>
      <c r="Y389" s="1091" t="str">
        <f t="shared" si="123"/>
        <v>-</v>
      </c>
      <c r="Z389" s="1091" t="str">
        <f t="shared" si="123"/>
        <v>-</v>
      </c>
      <c r="AA389" s="1108"/>
      <c r="AB389" s="1091" t="str">
        <f t="shared" ref="AB389:AG389" si="124">IF($J$358=$C389,IF($J$359=AB$367,IF($J$360=AB$368,AB278,"-"),"-"),"-")</f>
        <v>-</v>
      </c>
      <c r="AC389" s="1091" t="str">
        <f t="shared" si="124"/>
        <v>-</v>
      </c>
      <c r="AD389" s="1091" t="str">
        <f t="shared" si="124"/>
        <v>-</v>
      </c>
      <c r="AE389" s="1091" t="str">
        <f t="shared" si="124"/>
        <v>-</v>
      </c>
      <c r="AF389" s="1091" t="str">
        <f t="shared" si="124"/>
        <v>-</v>
      </c>
      <c r="AG389" s="1091" t="str">
        <f t="shared" si="124"/>
        <v>-</v>
      </c>
      <c r="AH389" s="87"/>
      <c r="AI389" s="87"/>
      <c r="AJ389" s="1091" t="str">
        <f t="shared" si="65"/>
        <v>-</v>
      </c>
      <c r="AK389" s="1091" t="str">
        <f t="shared" si="66"/>
        <v>-</v>
      </c>
      <c r="AL389" s="1091" t="str">
        <f t="shared" si="67"/>
        <v>-</v>
      </c>
      <c r="AM389" s="1091" t="str">
        <f t="shared" si="68"/>
        <v>-</v>
      </c>
      <c r="AN389" s="1091" t="str">
        <f t="shared" si="69"/>
        <v>-</v>
      </c>
      <c r="AO389" s="1091" t="str">
        <f t="shared" si="70"/>
        <v>-</v>
      </c>
      <c r="BB389" s="31"/>
      <c r="BD389" s="31"/>
    </row>
    <row r="390" spans="3:57" ht="15" hidden="1" customHeight="1" outlineLevel="1">
      <c r="C390" s="1101" t="str">
        <f t="shared" si="61"/>
        <v>R1233zd</v>
      </c>
      <c r="D390" s="1102"/>
      <c r="E390" s="1102"/>
      <c r="F390" s="1102"/>
      <c r="G390" s="1102"/>
      <c r="H390" s="1102"/>
      <c r="I390" s="1102"/>
      <c r="J390" s="1103"/>
      <c r="K390" s="1103"/>
      <c r="L390" s="220"/>
      <c r="M390" s="667"/>
      <c r="N390" s="1091" t="str">
        <f t="shared" ref="N390:S390" si="125">IF($J$358=$C390,IF($J$359=N$367,IF($J$360=N$368,N279,"-"),"-"),"-")</f>
        <v>-</v>
      </c>
      <c r="O390" s="1091" t="str">
        <f t="shared" si="125"/>
        <v>-</v>
      </c>
      <c r="P390" s="1091" t="str">
        <f t="shared" si="125"/>
        <v>-</v>
      </c>
      <c r="Q390" s="1091" t="str">
        <f t="shared" si="125"/>
        <v>-</v>
      </c>
      <c r="R390" s="1091" t="str">
        <f t="shared" si="125"/>
        <v>-</v>
      </c>
      <c r="S390" s="1091" t="str">
        <f t="shared" si="125"/>
        <v>-</v>
      </c>
      <c r="T390" s="1108"/>
      <c r="U390" s="1091" t="str">
        <f t="shared" ref="U390:Z390" si="126">IF($J$358=$C390,IF($J$359=U$367,IF($J$360=U$368,U279,"-"),"-"),"-")</f>
        <v>-</v>
      </c>
      <c r="V390" s="1091" t="str">
        <f t="shared" si="126"/>
        <v>-</v>
      </c>
      <c r="W390" s="1091" t="str">
        <f t="shared" si="126"/>
        <v>-</v>
      </c>
      <c r="X390" s="1091" t="str">
        <f t="shared" si="126"/>
        <v>-</v>
      </c>
      <c r="Y390" s="1091" t="str">
        <f t="shared" si="126"/>
        <v>-</v>
      </c>
      <c r="Z390" s="1091" t="str">
        <f t="shared" si="126"/>
        <v>-</v>
      </c>
      <c r="AA390" s="1108"/>
      <c r="AB390" s="1091" t="str">
        <f t="shared" ref="AB390:AG390" si="127">IF($J$358=$C390,IF($J$359=AB$367,IF($J$360=AB$368,AB279,"-"),"-"),"-")</f>
        <v>-</v>
      </c>
      <c r="AC390" s="1091" t="str">
        <f t="shared" si="127"/>
        <v>-</v>
      </c>
      <c r="AD390" s="1091" t="str">
        <f t="shared" si="127"/>
        <v>-</v>
      </c>
      <c r="AE390" s="1091" t="str">
        <f t="shared" si="127"/>
        <v>-</v>
      </c>
      <c r="AF390" s="1091" t="str">
        <f t="shared" si="127"/>
        <v>-</v>
      </c>
      <c r="AG390" s="1091" t="str">
        <f t="shared" si="127"/>
        <v>-</v>
      </c>
      <c r="AH390" s="87"/>
      <c r="AI390" s="87"/>
      <c r="AJ390" s="1091" t="str">
        <f t="shared" si="65"/>
        <v>-</v>
      </c>
      <c r="AK390" s="1091" t="str">
        <f t="shared" si="66"/>
        <v>-</v>
      </c>
      <c r="AL390" s="1091" t="str">
        <f t="shared" si="67"/>
        <v>-</v>
      </c>
      <c r="AM390" s="1091" t="str">
        <f t="shared" si="68"/>
        <v>-</v>
      </c>
      <c r="AN390" s="1091" t="str">
        <f t="shared" si="69"/>
        <v>-</v>
      </c>
      <c r="AO390" s="1091" t="str">
        <f t="shared" si="70"/>
        <v>-</v>
      </c>
      <c r="BB390" s="31"/>
      <c r="BD390" s="31"/>
    </row>
    <row r="391" spans="3:57" ht="15" hidden="1" customHeight="1" outlineLevel="1">
      <c r="C391" s="1101" t="str">
        <f t="shared" si="61"/>
        <v xml:space="preserve">R1234ze </v>
      </c>
      <c r="D391" s="1102"/>
      <c r="E391" s="1102"/>
      <c r="F391" s="1102"/>
      <c r="G391" s="1102"/>
      <c r="H391" s="1102"/>
      <c r="I391" s="1102"/>
      <c r="J391" s="1103"/>
      <c r="K391" s="1103"/>
      <c r="L391" s="220"/>
      <c r="M391" s="667"/>
      <c r="N391" s="1091" t="str">
        <f t="shared" ref="N391:S391" si="128">IF($J$358=$C391,IF($J$359=N$367,IF($J$360=N$368,N280,"-"),"-"),"-")</f>
        <v>-</v>
      </c>
      <c r="O391" s="1091" t="str">
        <f t="shared" si="128"/>
        <v>-</v>
      </c>
      <c r="P391" s="1091" t="str">
        <f t="shared" si="128"/>
        <v>-</v>
      </c>
      <c r="Q391" s="1091" t="str">
        <f t="shared" si="128"/>
        <v>-</v>
      </c>
      <c r="R391" s="1091" t="str">
        <f t="shared" si="128"/>
        <v>-</v>
      </c>
      <c r="S391" s="1091" t="str">
        <f t="shared" si="128"/>
        <v>-</v>
      </c>
      <c r="T391" s="1108"/>
      <c r="U391" s="1091" t="str">
        <f t="shared" ref="U391:Z391" si="129">IF($J$358=$C391,IF($J$359=U$367,IF($J$360=U$368,U280,"-"),"-"),"-")</f>
        <v>-</v>
      </c>
      <c r="V391" s="1091" t="str">
        <f t="shared" si="129"/>
        <v>-</v>
      </c>
      <c r="W391" s="1091" t="str">
        <f t="shared" si="129"/>
        <v>-</v>
      </c>
      <c r="X391" s="1091" t="str">
        <f t="shared" si="129"/>
        <v>-</v>
      </c>
      <c r="Y391" s="1091" t="str">
        <f t="shared" si="129"/>
        <v>-</v>
      </c>
      <c r="Z391" s="1091" t="str">
        <f t="shared" si="129"/>
        <v>-</v>
      </c>
      <c r="AA391" s="1108"/>
      <c r="AB391" s="1091" t="str">
        <f t="shared" ref="AB391:AG391" si="130">IF($J$358=$C391,IF($J$359=AB$367,IF($J$360=AB$368,AB280,"-"),"-"),"-")</f>
        <v>-</v>
      </c>
      <c r="AC391" s="1091" t="str">
        <f t="shared" si="130"/>
        <v>-</v>
      </c>
      <c r="AD391" s="1091" t="str">
        <f t="shared" si="130"/>
        <v>-</v>
      </c>
      <c r="AE391" s="1091" t="str">
        <f t="shared" si="130"/>
        <v>-</v>
      </c>
      <c r="AF391" s="1091" t="str">
        <f t="shared" si="130"/>
        <v>-</v>
      </c>
      <c r="AG391" s="1091" t="str">
        <f t="shared" si="130"/>
        <v>-</v>
      </c>
      <c r="AH391" s="87"/>
      <c r="AI391" s="87"/>
      <c r="AJ391" s="1091" t="str">
        <f t="shared" si="65"/>
        <v>-</v>
      </c>
      <c r="AK391" s="1091" t="str">
        <f t="shared" si="66"/>
        <v>-</v>
      </c>
      <c r="AL391" s="1091" t="str">
        <f t="shared" si="67"/>
        <v>-</v>
      </c>
      <c r="AM391" s="1091" t="str">
        <f t="shared" si="68"/>
        <v>-</v>
      </c>
      <c r="AN391" s="1091" t="str">
        <f t="shared" si="69"/>
        <v>-</v>
      </c>
      <c r="AO391" s="1091" t="str">
        <f t="shared" si="70"/>
        <v>-</v>
      </c>
      <c r="BB391" s="31"/>
      <c r="BD391" s="31"/>
    </row>
    <row r="392" spans="3:57" ht="15" hidden="1" customHeight="1" outlineLevel="1">
      <c r="C392" s="1101" t="str">
        <f t="shared" si="61"/>
        <v>R1234yf</v>
      </c>
      <c r="D392" s="1102"/>
      <c r="E392" s="1102"/>
      <c r="F392" s="1102"/>
      <c r="G392" s="1102"/>
      <c r="H392" s="1102"/>
      <c r="I392" s="1102"/>
      <c r="J392" s="1103"/>
      <c r="K392" s="1103"/>
      <c r="L392" s="220"/>
      <c r="M392" s="667"/>
      <c r="N392" s="1091" t="str">
        <f t="shared" ref="N392:S392" si="131">IF($J$358=$C392,IF($J$359=N$367,IF($J$360=N$368,N281,"-"),"-"),"-")</f>
        <v>-</v>
      </c>
      <c r="O392" s="1091" t="str">
        <f t="shared" si="131"/>
        <v>-</v>
      </c>
      <c r="P392" s="1091" t="str">
        <f t="shared" si="131"/>
        <v>-</v>
      </c>
      <c r="Q392" s="1091" t="str">
        <f t="shared" si="131"/>
        <v>-</v>
      </c>
      <c r="R392" s="1091" t="str">
        <f t="shared" si="131"/>
        <v>-</v>
      </c>
      <c r="S392" s="1091" t="str">
        <f t="shared" si="131"/>
        <v>-</v>
      </c>
      <c r="T392" s="1108"/>
      <c r="U392" s="1091" t="str">
        <f t="shared" ref="U392:Z392" si="132">IF($J$358=$C392,IF($J$359=U$367,IF($J$360=U$368,U281,"-"),"-"),"-")</f>
        <v>-</v>
      </c>
      <c r="V392" s="1091" t="str">
        <f t="shared" si="132"/>
        <v>-</v>
      </c>
      <c r="W392" s="1091" t="str">
        <f t="shared" si="132"/>
        <v>-</v>
      </c>
      <c r="X392" s="1091" t="str">
        <f t="shared" si="132"/>
        <v>-</v>
      </c>
      <c r="Y392" s="1091" t="str">
        <f t="shared" si="132"/>
        <v>-</v>
      </c>
      <c r="Z392" s="1091" t="str">
        <f t="shared" si="132"/>
        <v>-</v>
      </c>
      <c r="AA392" s="1108"/>
      <c r="AB392" s="1091" t="str">
        <f t="shared" ref="AB392:AG392" si="133">IF($J$358=$C392,IF($J$359=AB$367,IF($J$360=AB$368,AB281,"-"),"-"),"-")</f>
        <v>-</v>
      </c>
      <c r="AC392" s="1091" t="str">
        <f t="shared" si="133"/>
        <v>-</v>
      </c>
      <c r="AD392" s="1091" t="str">
        <f t="shared" si="133"/>
        <v>-</v>
      </c>
      <c r="AE392" s="1091" t="str">
        <f t="shared" si="133"/>
        <v>-</v>
      </c>
      <c r="AF392" s="1091" t="str">
        <f t="shared" si="133"/>
        <v>-</v>
      </c>
      <c r="AG392" s="1091" t="str">
        <f t="shared" si="133"/>
        <v>-</v>
      </c>
      <c r="AH392" s="87"/>
      <c r="AI392" s="87"/>
      <c r="AJ392" s="1091" t="str">
        <f t="shared" si="65"/>
        <v>-</v>
      </c>
      <c r="AK392" s="1091" t="str">
        <f t="shared" si="66"/>
        <v>-</v>
      </c>
      <c r="AL392" s="1091" t="str">
        <f t="shared" si="67"/>
        <v>-</v>
      </c>
      <c r="AM392" s="1091" t="str">
        <f t="shared" si="68"/>
        <v>-</v>
      </c>
      <c r="AN392" s="1091" t="str">
        <f t="shared" si="69"/>
        <v>-</v>
      </c>
      <c r="AO392" s="1091" t="str">
        <f t="shared" si="70"/>
        <v>-</v>
      </c>
      <c r="BB392" s="31"/>
      <c r="BD392" s="31"/>
    </row>
    <row r="393" spans="3:57" ht="18" hidden="1" customHeight="1" outlineLevel="1">
      <c r="C393" s="31"/>
      <c r="AI393" s="31"/>
      <c r="AK393" s="31"/>
      <c r="AL393" s="31"/>
      <c r="BB393" s="31"/>
      <c r="BD393" s="31"/>
    </row>
    <row r="394" spans="3:57" ht="17.100000000000001" hidden="1" customHeight="1" outlineLevel="1"/>
    <row r="395" spans="3:57" ht="17.100000000000001" hidden="1" customHeight="1" outlineLevel="1">
      <c r="C395" s="499" t="s">
        <v>73</v>
      </c>
      <c r="D395" s="74"/>
      <c r="E395" s="74"/>
      <c r="F395" s="74"/>
      <c r="G395" s="74"/>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5"/>
      <c r="AJ395" s="74"/>
      <c r="AK395" s="76"/>
      <c r="AL395" s="76"/>
      <c r="AM395" s="74"/>
      <c r="AP395" s="74"/>
      <c r="AQ395" s="74"/>
      <c r="AR395" s="74"/>
      <c r="AS395" s="74"/>
      <c r="AT395" s="74"/>
      <c r="AU395" s="74"/>
      <c r="AV395" s="74"/>
      <c r="AW395" s="74"/>
      <c r="AX395" s="74"/>
      <c r="AY395" s="74"/>
      <c r="AZ395" s="74"/>
      <c r="BA395" s="74"/>
      <c r="BB395" s="75"/>
      <c r="BC395" s="74"/>
      <c r="BD395" s="76"/>
      <c r="BE395" s="74"/>
    </row>
    <row r="396" spans="3:57" ht="17.100000000000001" hidden="1" customHeight="1" outlineLevel="1">
      <c r="C396" s="578" t="str">
        <f>X!$C$227</f>
        <v>Tanklastwagen</v>
      </c>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c r="AF396" s="36"/>
      <c r="AG396" s="36"/>
      <c r="AH396" s="36"/>
      <c r="AI396" s="77"/>
      <c r="AJ396" s="36"/>
      <c r="AK396" s="78"/>
      <c r="AL396" s="78"/>
      <c r="AM396" s="36"/>
      <c r="AP396" s="36"/>
      <c r="AQ396" s="36"/>
      <c r="AR396" s="36"/>
      <c r="AS396" s="36"/>
      <c r="AT396" s="36"/>
      <c r="AU396" s="36"/>
      <c r="AV396" s="36"/>
      <c r="AW396" s="36"/>
      <c r="AX396" s="36"/>
      <c r="AY396" s="36"/>
      <c r="AZ396" s="36"/>
      <c r="BA396" s="36"/>
      <c r="BB396" s="77"/>
      <c r="BC396" s="36"/>
      <c r="BD396" s="78"/>
      <c r="BE396" s="36"/>
    </row>
    <row r="397" spans="3:57" ht="17.100000000000001" hidden="1" customHeight="1" outlineLevel="1">
      <c r="C397" s="577" t="str">
        <f>X!$C$111</f>
        <v>Franken</v>
      </c>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3"/>
      <c r="AJ397" s="82"/>
      <c r="AK397" s="84"/>
      <c r="AL397" s="84"/>
      <c r="AM397" s="82"/>
      <c r="AP397" s="82"/>
      <c r="AQ397" s="82"/>
      <c r="AR397" s="82"/>
      <c r="AS397" s="82"/>
      <c r="AT397" s="82"/>
      <c r="AU397" s="82"/>
      <c r="AV397" s="82"/>
      <c r="AW397" s="82"/>
      <c r="AX397" s="82"/>
      <c r="AY397" s="82"/>
      <c r="AZ397" s="82"/>
      <c r="BA397" s="82"/>
      <c r="BB397" s="83"/>
      <c r="BC397" s="82"/>
      <c r="BD397" s="84"/>
      <c r="BE397" s="82"/>
    </row>
    <row r="398" spans="3:57" ht="17.100000000000001" hidden="1" customHeight="1" outlineLevel="1"/>
    <row r="399" spans="3:57" ht="17.100000000000001" hidden="1" customHeight="1" outlineLevel="1"/>
    <row r="400" spans="3:57" ht="17.100000000000001" hidden="1" customHeight="1" outlineLevel="1">
      <c r="C400" s="499" t="s">
        <v>76</v>
      </c>
      <c r="D400" s="74"/>
      <c r="E400" s="74"/>
      <c r="F400" s="74"/>
      <c r="G400" s="74"/>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5"/>
      <c r="AJ400" s="74"/>
      <c r="AK400" s="76"/>
      <c r="AL400" s="76"/>
      <c r="AM400" s="74"/>
      <c r="AP400" s="74"/>
      <c r="AQ400" s="74"/>
      <c r="AR400" s="74"/>
      <c r="AS400" s="74"/>
      <c r="AT400" s="74"/>
      <c r="AU400" s="74"/>
      <c r="AV400" s="74"/>
      <c r="AW400" s="74"/>
      <c r="AX400" s="74"/>
      <c r="AY400" s="74"/>
      <c r="AZ400" s="74"/>
      <c r="BA400" s="74"/>
      <c r="BB400" s="75"/>
      <c r="BC400" s="74"/>
      <c r="BD400" s="76"/>
      <c r="BE400" s="74"/>
    </row>
    <row r="401" spans="3:57" ht="17.100000000000001" hidden="1" customHeight="1" outlineLevel="1">
      <c r="C401" s="578" t="str">
        <f>X!$C$184</f>
        <v>Name des Stromprodukts</v>
      </c>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77"/>
      <c r="AJ401" s="36"/>
      <c r="AK401" s="78"/>
      <c r="AL401" s="78"/>
      <c r="AM401" s="36"/>
      <c r="AP401" s="36"/>
      <c r="AQ401" s="36"/>
      <c r="AR401" s="36"/>
      <c r="AS401" s="36"/>
      <c r="AT401" s="36"/>
      <c r="AU401" s="36"/>
      <c r="AV401" s="36"/>
      <c r="AW401" s="36"/>
      <c r="AX401" s="36"/>
      <c r="AY401" s="36"/>
      <c r="AZ401" s="36"/>
      <c r="BA401" s="36"/>
      <c r="BB401" s="77"/>
      <c r="BC401" s="36"/>
      <c r="BD401" s="78"/>
      <c r="BE401" s="36"/>
    </row>
    <row r="402" spans="3:57" ht="17.100000000000001" hidden="1" customHeight="1" outlineLevel="1">
      <c r="C402" s="577" t="str">
        <f>X!$C$236</f>
        <v>unten Werte eingeben</v>
      </c>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3"/>
      <c r="AJ402" s="82"/>
      <c r="AK402" s="84"/>
      <c r="AL402" s="84"/>
      <c r="AM402" s="82"/>
      <c r="AP402" s="82"/>
      <c r="AQ402" s="82"/>
      <c r="AR402" s="82"/>
      <c r="AS402" s="82"/>
      <c r="AT402" s="82"/>
      <c r="AU402" s="82"/>
      <c r="AV402" s="82"/>
      <c r="AW402" s="82"/>
      <c r="AX402" s="82"/>
      <c r="AY402" s="82"/>
      <c r="AZ402" s="82"/>
      <c r="BA402" s="82"/>
      <c r="BB402" s="83"/>
      <c r="BC402" s="82"/>
      <c r="BD402" s="84"/>
      <c r="BE402" s="82"/>
    </row>
    <row r="403" spans="3:57" ht="17.100000000000001" hidden="1" customHeight="1" outlineLevel="1">
      <c r="C403" s="578" t="str">
        <f>X!$C$268</f>
        <v>Wert eingeben</v>
      </c>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6"/>
      <c r="AI403" s="77"/>
      <c r="AJ403" s="36"/>
      <c r="AK403" s="78"/>
      <c r="AL403" s="78"/>
      <c r="AM403" s="36"/>
      <c r="AP403" s="36"/>
      <c r="AQ403" s="36"/>
      <c r="AR403" s="36"/>
      <c r="AS403" s="36"/>
      <c r="AT403" s="36"/>
      <c r="AU403" s="36"/>
      <c r="AV403" s="36"/>
      <c r="AW403" s="36"/>
      <c r="AX403" s="36"/>
      <c r="AY403" s="36"/>
      <c r="AZ403" s="36"/>
      <c r="BA403" s="36"/>
      <c r="BB403" s="77"/>
      <c r="BC403" s="36"/>
      <c r="BD403" s="78"/>
      <c r="BE403" s="36"/>
    </row>
    <row r="404" spans="3:57" ht="17.100000000000001" hidden="1" customHeight="1" outlineLevel="1">
      <c r="C404" s="477"/>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395"/>
      <c r="AJ404" s="52"/>
      <c r="AK404" s="93"/>
      <c r="AL404" s="93"/>
      <c r="AM404" s="52"/>
      <c r="AP404" s="52"/>
      <c r="AQ404" s="52"/>
      <c r="AR404" s="52"/>
      <c r="AS404" s="52"/>
      <c r="AT404" s="52"/>
      <c r="AU404" s="52"/>
      <c r="AV404" s="52"/>
      <c r="AW404" s="52"/>
      <c r="AX404" s="52"/>
      <c r="AY404" s="52"/>
      <c r="AZ404" s="52"/>
      <c r="BA404" s="52"/>
      <c r="BB404" s="395"/>
      <c r="BC404" s="52"/>
      <c r="BD404" s="93"/>
      <c r="BE404" s="52"/>
    </row>
    <row r="405" spans="3:57" ht="17.100000000000001" hidden="1" customHeight="1" outlineLevel="1"/>
    <row r="406" spans="3:57" ht="17.100000000000001" hidden="1" customHeight="1" outlineLevel="1">
      <c r="C406" s="499" t="s">
        <v>280</v>
      </c>
      <c r="D406" s="74"/>
      <c r="E406" s="74"/>
      <c r="F406" s="74"/>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5"/>
      <c r="AJ406" s="74"/>
      <c r="AK406" s="76"/>
      <c r="AL406" s="76"/>
      <c r="AM406" s="74"/>
      <c r="AP406" s="74"/>
      <c r="AQ406" s="74"/>
      <c r="AR406" s="74"/>
      <c r="AS406" s="74"/>
      <c r="AT406" s="74"/>
      <c r="AU406" s="74"/>
      <c r="AV406" s="74"/>
      <c r="AW406" s="74"/>
      <c r="AX406" s="74"/>
      <c r="AY406" s="74"/>
      <c r="AZ406" s="74"/>
      <c r="BA406" s="74"/>
      <c r="BB406" s="75"/>
      <c r="BC406" s="74"/>
      <c r="BD406" s="76"/>
      <c r="BE406" s="74"/>
    </row>
    <row r="407" spans="3:57" ht="17.100000000000001" hidden="1" customHeight="1" outlineLevel="1">
      <c r="C407" s="578" t="str">
        <f>X!$C$129</f>
        <v>Ja</v>
      </c>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c r="AF407" s="36"/>
      <c r="AG407" s="36"/>
      <c r="AH407" s="36"/>
      <c r="AI407" s="77"/>
      <c r="AJ407" s="36"/>
      <c r="AK407" s="78"/>
      <c r="AL407" s="78"/>
      <c r="AM407" s="36"/>
      <c r="AP407" s="36"/>
      <c r="AQ407" s="36"/>
      <c r="AR407" s="36"/>
      <c r="AS407" s="36"/>
      <c r="AT407" s="36"/>
      <c r="AU407" s="36"/>
      <c r="AV407" s="36"/>
      <c r="AW407" s="36"/>
      <c r="AX407" s="36"/>
      <c r="AY407" s="36"/>
      <c r="AZ407" s="36"/>
      <c r="BA407" s="36"/>
      <c r="BB407" s="77"/>
      <c r="BC407" s="36"/>
      <c r="BD407" s="78"/>
      <c r="BE407" s="36"/>
    </row>
    <row r="408" spans="3:57" ht="17.100000000000001" hidden="1" customHeight="1" outlineLevel="1">
      <c r="C408" s="577" t="str">
        <f>X!$C$188</f>
        <v>Nein</v>
      </c>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3"/>
      <c r="AJ408" s="82"/>
      <c r="AK408" s="84"/>
      <c r="AL408" s="84"/>
      <c r="AM408" s="82"/>
      <c r="AP408" s="82"/>
      <c r="AQ408" s="82"/>
      <c r="AR408" s="82"/>
      <c r="AS408" s="82"/>
      <c r="AT408" s="82"/>
      <c r="AU408" s="82"/>
      <c r="AV408" s="82"/>
      <c r="AW408" s="82"/>
      <c r="AX408" s="82"/>
      <c r="AY408" s="82"/>
      <c r="AZ408" s="82"/>
      <c r="BA408" s="82"/>
      <c r="BB408" s="83"/>
      <c r="BC408" s="82"/>
      <c r="BD408" s="84"/>
      <c r="BE408" s="82"/>
    </row>
    <row r="409" spans="3:57" ht="17.100000000000001" hidden="1" customHeight="1" outlineLevel="1"/>
    <row r="410" spans="3:57" ht="17.100000000000001" hidden="1" customHeight="1" outlineLevel="1">
      <c r="C410" s="499" t="s">
        <v>866</v>
      </c>
      <c r="D410" s="74"/>
      <c r="E410" s="74"/>
      <c r="F410" s="74"/>
      <c r="G410" s="74"/>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357"/>
      <c r="AG410" s="1776">
        <f>D51</f>
        <v>0</v>
      </c>
      <c r="AH410" s="1739"/>
      <c r="AI410" s="1739"/>
      <c r="AJ410" s="1739"/>
      <c r="AK410" s="1739" t="s">
        <v>24</v>
      </c>
      <c r="AL410" s="358"/>
      <c r="AM410" s="74"/>
      <c r="BB410" s="31"/>
      <c r="BD410" s="31"/>
    </row>
    <row r="411" spans="3:57" ht="17.100000000000001" hidden="1" customHeight="1" outlineLevel="1">
      <c r="C411" s="1066" t="str">
        <f>X!C367</f>
        <v>Ölheizung (Heizöl EL)</v>
      </c>
      <c r="D411" s="36"/>
      <c r="E411" s="36"/>
      <c r="F411" s="36"/>
      <c r="G411" s="36"/>
      <c r="H411" s="36"/>
      <c r="I411" s="36"/>
      <c r="J411" s="36"/>
      <c r="K411" s="36"/>
      <c r="L411" s="36"/>
      <c r="M411" s="36"/>
      <c r="N411" s="36"/>
      <c r="O411" s="36"/>
      <c r="P411" s="36"/>
      <c r="Q411" s="36"/>
      <c r="R411" s="36" t="s">
        <v>37</v>
      </c>
      <c r="S411" s="36"/>
      <c r="T411" s="36"/>
      <c r="U411" s="36"/>
      <c r="V411" s="36"/>
      <c r="W411" s="36"/>
      <c r="X411" s="36"/>
      <c r="Y411" s="36"/>
      <c r="Z411" s="36"/>
      <c r="AA411" s="1735">
        <v>0.26500000000000001</v>
      </c>
      <c r="AB411" s="1735"/>
      <c r="AC411" s="1735"/>
      <c r="AD411" s="1735"/>
      <c r="AE411" s="1735"/>
      <c r="AG411" s="1735">
        <f t="shared" ref="AG411:AG417" si="134">IF(C411=AG$410,AA411,0)</f>
        <v>0</v>
      </c>
      <c r="AH411" s="1735"/>
      <c r="AI411" s="1735"/>
      <c r="AJ411" s="1735"/>
      <c r="AK411" s="1735">
        <v>0</v>
      </c>
      <c r="AL411" s="234"/>
      <c r="AM411" s="36"/>
      <c r="AP411" s="1717" t="s">
        <v>932</v>
      </c>
      <c r="AQ411" s="1717"/>
      <c r="AR411" s="1717"/>
      <c r="AS411" s="1717"/>
      <c r="AT411" s="1717"/>
      <c r="AU411" s="1717"/>
      <c r="AV411" s="1717"/>
      <c r="AW411" s="1717"/>
      <c r="AX411" s="1717"/>
      <c r="AY411" s="1717"/>
      <c r="AZ411" s="1717"/>
      <c r="BA411" s="1717"/>
      <c r="BB411" s="1717"/>
      <c r="BD411" s="31"/>
    </row>
    <row r="412" spans="3:57" ht="17.100000000000001" hidden="1" customHeight="1" outlineLevel="1">
      <c r="C412" s="1066" t="str">
        <f>X!C368</f>
        <v>Erdgas-Heizung</v>
      </c>
      <c r="D412" s="82"/>
      <c r="E412" s="82"/>
      <c r="F412" s="82"/>
      <c r="G412" s="82"/>
      <c r="H412" s="82"/>
      <c r="I412" s="82"/>
      <c r="J412" s="82"/>
      <c r="K412" s="82"/>
      <c r="L412" s="82"/>
      <c r="M412" s="82"/>
      <c r="N412" s="82"/>
      <c r="O412" s="82"/>
      <c r="P412" s="82"/>
      <c r="Q412" s="82"/>
      <c r="R412" s="36" t="s">
        <v>37</v>
      </c>
      <c r="S412" s="82"/>
      <c r="T412" s="82"/>
      <c r="U412" s="82"/>
      <c r="V412" s="82"/>
      <c r="W412" s="82"/>
      <c r="X412" s="82"/>
      <c r="Y412" s="82"/>
      <c r="Z412" s="82"/>
      <c r="AA412" s="1734">
        <v>0.20300000000000001</v>
      </c>
      <c r="AB412" s="1734"/>
      <c r="AC412" s="1734"/>
      <c r="AD412" s="1734"/>
      <c r="AE412" s="1734"/>
      <c r="AG412" s="1735">
        <f t="shared" si="134"/>
        <v>0</v>
      </c>
      <c r="AH412" s="1735"/>
      <c r="AI412" s="1735"/>
      <c r="AJ412" s="1735"/>
      <c r="AK412" s="1735">
        <v>0</v>
      </c>
      <c r="AL412" s="766"/>
      <c r="AM412" s="82"/>
      <c r="AP412" s="1717"/>
      <c r="AQ412" s="1717"/>
      <c r="AR412" s="1717"/>
      <c r="AS412" s="1717"/>
      <c r="AT412" s="1717"/>
      <c r="AU412" s="1717"/>
      <c r="AV412" s="1717"/>
      <c r="AW412" s="1717"/>
      <c r="AX412" s="1717"/>
      <c r="AY412" s="1717"/>
      <c r="AZ412" s="1717"/>
      <c r="BA412" s="1717"/>
      <c r="BB412" s="1717"/>
      <c r="BD412" s="31"/>
    </row>
    <row r="413" spans="3:57" ht="17.100000000000001" hidden="1" customHeight="1" outlineLevel="1">
      <c r="C413" s="1066" t="str">
        <f>X!C369</f>
        <v>Erdgas-Heizung mit 15% Biogasanteil</v>
      </c>
      <c r="D413" s="36"/>
      <c r="E413" s="36"/>
      <c r="F413" s="36"/>
      <c r="G413" s="36"/>
      <c r="H413" s="36"/>
      <c r="I413" s="36"/>
      <c r="J413" s="36"/>
      <c r="K413" s="36"/>
      <c r="L413" s="36"/>
      <c r="M413" s="36"/>
      <c r="N413" s="36"/>
      <c r="O413" s="36"/>
      <c r="P413" s="36"/>
      <c r="Q413" s="36"/>
      <c r="R413" s="36" t="s">
        <v>37</v>
      </c>
      <c r="S413" s="36"/>
      <c r="T413" s="36"/>
      <c r="U413" s="36"/>
      <c r="V413" s="36"/>
      <c r="W413" s="36"/>
      <c r="X413" s="36"/>
      <c r="Y413" s="36"/>
      <c r="Z413" s="36"/>
      <c r="AA413" s="1736">
        <f>AA412*0.85</f>
        <v>0.17255000000000001</v>
      </c>
      <c r="AB413" s="1736"/>
      <c r="AC413" s="1736"/>
      <c r="AD413" s="1736"/>
      <c r="AE413" s="1736"/>
      <c r="AG413" s="1735">
        <f t="shared" si="134"/>
        <v>0</v>
      </c>
      <c r="AH413" s="1735"/>
      <c r="AI413" s="1735"/>
      <c r="AJ413" s="1735"/>
      <c r="AK413" s="1735">
        <v>0</v>
      </c>
      <c r="AL413" s="766"/>
      <c r="AM413" s="82"/>
      <c r="AP413" s="1717"/>
      <c r="AQ413" s="1717"/>
      <c r="AR413" s="1717"/>
      <c r="AS413" s="1717"/>
      <c r="AT413" s="1717"/>
      <c r="AU413" s="1717"/>
      <c r="AV413" s="1717"/>
      <c r="AW413" s="1717"/>
      <c r="AX413" s="1717"/>
      <c r="AY413" s="1717"/>
      <c r="AZ413" s="1717"/>
      <c r="BA413" s="1717"/>
      <c r="BB413" s="1717"/>
      <c r="BD413" s="31"/>
    </row>
    <row r="414" spans="3:57" ht="17.100000000000001" hidden="1" customHeight="1" outlineLevel="1">
      <c r="C414" s="1066" t="str">
        <f>X!C370</f>
        <v>Biogas-Heizung</v>
      </c>
      <c r="D414" s="36"/>
      <c r="E414" s="36"/>
      <c r="F414" s="36"/>
      <c r="G414" s="36"/>
      <c r="H414" s="36"/>
      <c r="I414" s="36"/>
      <c r="J414" s="36"/>
      <c r="K414" s="36"/>
      <c r="L414" s="36"/>
      <c r="M414" s="36"/>
      <c r="N414" s="36"/>
      <c r="O414" s="36"/>
      <c r="P414" s="36"/>
      <c r="Q414" s="36"/>
      <c r="R414" s="36" t="s">
        <v>37</v>
      </c>
      <c r="S414" s="36"/>
      <c r="T414" s="36"/>
      <c r="U414" s="36"/>
      <c r="V414" s="36"/>
      <c r="W414" s="36"/>
      <c r="X414" s="36"/>
      <c r="Y414" s="36"/>
      <c r="Z414" s="36"/>
      <c r="AA414" s="1734">
        <v>0</v>
      </c>
      <c r="AB414" s="1734"/>
      <c r="AC414" s="1734"/>
      <c r="AD414" s="1734"/>
      <c r="AE414" s="1734"/>
      <c r="AG414" s="1735">
        <f t="shared" si="134"/>
        <v>0</v>
      </c>
      <c r="AH414" s="1735"/>
      <c r="AI414" s="1735"/>
      <c r="AJ414" s="1735"/>
      <c r="AK414" s="1735">
        <v>0</v>
      </c>
      <c r="AL414" s="766"/>
      <c r="AM414" s="82"/>
      <c r="AP414" s="1717"/>
      <c r="AQ414" s="1717"/>
      <c r="AR414" s="1717"/>
      <c r="AS414" s="1717"/>
      <c r="AT414" s="1717"/>
      <c r="AU414" s="1717"/>
      <c r="AV414" s="1717"/>
      <c r="AW414" s="1717"/>
      <c r="AX414" s="1717"/>
      <c r="AY414" s="1717"/>
      <c r="AZ414" s="1717"/>
      <c r="BA414" s="1717"/>
      <c r="BB414" s="1717"/>
      <c r="BD414" s="31"/>
    </row>
    <row r="415" spans="3:57" ht="17.100000000000001" hidden="1" customHeight="1" outlineLevel="1">
      <c r="C415" s="1066" t="str">
        <f>X!C371</f>
        <v>Holzheizung (Pellet)</v>
      </c>
      <c r="D415" s="36"/>
      <c r="E415" s="36"/>
      <c r="F415" s="36"/>
      <c r="G415" s="36"/>
      <c r="H415" s="36"/>
      <c r="I415" s="36"/>
      <c r="J415" s="36"/>
      <c r="K415" s="36"/>
      <c r="L415" s="36"/>
      <c r="M415" s="36"/>
      <c r="N415" s="36"/>
      <c r="O415" s="36"/>
      <c r="P415" s="36"/>
      <c r="Q415" s="36"/>
      <c r="R415" s="36" t="s">
        <v>37</v>
      </c>
      <c r="S415" s="36"/>
      <c r="T415" s="36"/>
      <c r="U415" s="36"/>
      <c r="V415" s="36"/>
      <c r="W415" s="36"/>
      <c r="X415" s="36"/>
      <c r="Y415" s="36"/>
      <c r="Z415" s="36"/>
      <c r="AA415" s="1734">
        <v>0</v>
      </c>
      <c r="AB415" s="1734"/>
      <c r="AC415" s="1734"/>
      <c r="AD415" s="1734"/>
      <c r="AE415" s="1734"/>
      <c r="AG415" s="1735">
        <f t="shared" si="134"/>
        <v>0</v>
      </c>
      <c r="AH415" s="1735"/>
      <c r="AI415" s="1735"/>
      <c r="AJ415" s="1735"/>
      <c r="AK415" s="1735">
        <v>0</v>
      </c>
      <c r="AL415" s="766"/>
      <c r="AM415" s="82"/>
      <c r="BB415" s="31"/>
      <c r="BD415" s="31"/>
    </row>
    <row r="416" spans="3:57" ht="17.100000000000001" hidden="1" customHeight="1" outlineLevel="1">
      <c r="C416" s="1066" t="str">
        <f>X!C372</f>
        <v>Fernwärme-Heizung</v>
      </c>
      <c r="D416" s="36"/>
      <c r="E416" s="36"/>
      <c r="F416" s="36"/>
      <c r="G416" s="36"/>
      <c r="H416" s="36"/>
      <c r="I416" s="36"/>
      <c r="J416" s="36"/>
      <c r="K416" s="36"/>
      <c r="L416" s="36"/>
      <c r="M416" s="36"/>
      <c r="N416" s="36"/>
      <c r="O416" s="36"/>
      <c r="P416" s="36"/>
      <c r="Q416" s="36"/>
      <c r="R416" s="36" t="s">
        <v>37</v>
      </c>
      <c r="S416" s="36"/>
      <c r="T416" s="36"/>
      <c r="U416" s="36"/>
      <c r="V416" s="36"/>
      <c r="W416" s="36"/>
      <c r="X416" s="36"/>
      <c r="Y416" s="36"/>
      <c r="Z416" s="36"/>
      <c r="AA416" s="1734">
        <v>0</v>
      </c>
      <c r="AB416" s="1734"/>
      <c r="AC416" s="1734"/>
      <c r="AD416" s="1734"/>
      <c r="AE416" s="1734"/>
      <c r="AG416" s="1735">
        <f t="shared" si="134"/>
        <v>0</v>
      </c>
      <c r="AH416" s="1735"/>
      <c r="AI416" s="1735"/>
      <c r="AJ416" s="1735"/>
      <c r="AK416" s="1735">
        <v>0</v>
      </c>
      <c r="AL416" s="766"/>
      <c r="AM416" s="82"/>
      <c r="BB416" s="31"/>
      <c r="BD416" s="31"/>
    </row>
    <row r="417" spans="3:56" ht="17.100000000000001" hidden="1" customHeight="1" outlineLevel="1">
      <c r="C417" s="1066" t="str">
        <f>X!C373</f>
        <v>Wärmepumpen-Heizung</v>
      </c>
      <c r="D417" s="36"/>
      <c r="E417" s="36"/>
      <c r="F417" s="36"/>
      <c r="G417" s="36"/>
      <c r="H417" s="36"/>
      <c r="I417" s="36"/>
      <c r="J417" s="36"/>
      <c r="K417" s="36"/>
      <c r="L417" s="36"/>
      <c r="M417" s="36"/>
      <c r="N417" s="36"/>
      <c r="O417" s="36"/>
      <c r="P417" s="36"/>
      <c r="Q417" s="36"/>
      <c r="R417" s="36" t="s">
        <v>37</v>
      </c>
      <c r="S417" s="36"/>
      <c r="T417" s="36"/>
      <c r="U417" s="36"/>
      <c r="V417" s="36"/>
      <c r="W417" s="36"/>
      <c r="X417" s="36"/>
      <c r="Y417" s="36"/>
      <c r="Z417" s="36"/>
      <c r="AA417" s="1734">
        <v>0</v>
      </c>
      <c r="AB417" s="1734"/>
      <c r="AC417" s="1734"/>
      <c r="AD417" s="1734"/>
      <c r="AE417" s="1734"/>
      <c r="AG417" s="1735">
        <f t="shared" si="134"/>
        <v>0</v>
      </c>
      <c r="AH417" s="1735"/>
      <c r="AI417" s="1735"/>
      <c r="AJ417" s="1735"/>
      <c r="AK417" s="1735">
        <v>0</v>
      </c>
      <c r="AL417" s="766"/>
      <c r="AM417" s="82"/>
      <c r="BB417" s="31"/>
      <c r="BD417" s="31"/>
    </row>
    <row r="418" spans="3:56" s="360" customFormat="1" ht="17.100000000000001" hidden="1" customHeight="1" outlineLevel="1">
      <c r="C418" s="500" t="s">
        <v>89</v>
      </c>
      <c r="D418" s="256"/>
      <c r="E418" s="256"/>
      <c r="F418" s="256"/>
      <c r="G418" s="256"/>
      <c r="H418" s="256"/>
      <c r="I418" s="256"/>
      <c r="J418" s="256"/>
      <c r="K418" s="256"/>
      <c r="L418" s="256"/>
      <c r="M418" s="256"/>
      <c r="N418" s="256"/>
      <c r="O418" s="256"/>
      <c r="P418" s="256"/>
      <c r="Q418" s="256"/>
      <c r="R418" s="773" t="s">
        <v>37</v>
      </c>
      <c r="S418" s="256"/>
      <c r="T418" s="256"/>
      <c r="U418" s="256"/>
      <c r="V418" s="256"/>
      <c r="W418" s="256"/>
      <c r="X418" s="256"/>
      <c r="Y418" s="256"/>
      <c r="Z418" s="256"/>
      <c r="AA418" s="1733"/>
      <c r="AB418" s="1733"/>
      <c r="AC418" s="1733"/>
      <c r="AD418" s="1733"/>
      <c r="AE418" s="1733"/>
      <c r="AG418" s="1733">
        <f>SUM(AG411:AK417)</f>
        <v>0</v>
      </c>
      <c r="AH418" s="1733"/>
      <c r="AI418" s="1733"/>
      <c r="AJ418" s="1733"/>
      <c r="AK418" s="1733"/>
      <c r="AL418" s="767"/>
      <c r="AM418" s="256"/>
    </row>
    <row r="419" spans="3:56" ht="17.100000000000001" hidden="1" customHeight="1" outlineLevel="1">
      <c r="BB419" s="31"/>
      <c r="BD419" s="31"/>
    </row>
    <row r="420" spans="3:56" ht="17.100000000000001" hidden="1" customHeight="1" outlineLevel="1">
      <c r="BB420" s="31"/>
      <c r="BD420" s="31"/>
    </row>
    <row r="421" spans="3:56" collapsed="1"/>
  </sheetData>
  <sheetProtection algorithmName="SHA-512" hashValue="vyf9aAmW69t/rR0jCm9QzO1sSEHWx9WQVcVBLY+GYyrLPnENWmNxH2YrHmfeOBOg49aQAcx2kYj9yS8NYh7+Sg==" saltValue="le58kL6YFia/VPOh/YHdIA==" spinCount="100000" sheet="1" objects="1" scenarios="1" selectLockedCells="1"/>
  <mergeCells count="362">
    <mergeCell ref="AP411:BB414"/>
    <mergeCell ref="AJ362:AL362"/>
    <mergeCell ref="N362:AG362"/>
    <mergeCell ref="AJ363:AO363"/>
    <mergeCell ref="N323:AG323"/>
    <mergeCell ref="AJ323:AL323"/>
    <mergeCell ref="AJ324:AO324"/>
    <mergeCell ref="J323:L323"/>
    <mergeCell ref="J324:L324"/>
    <mergeCell ref="J362:L362"/>
    <mergeCell ref="J363:L363"/>
    <mergeCell ref="J360:U360"/>
    <mergeCell ref="J359:U359"/>
    <mergeCell ref="J358:U358"/>
    <mergeCell ref="AA411:AE411"/>
    <mergeCell ref="AG411:AK411"/>
    <mergeCell ref="AG410:AK410"/>
    <mergeCell ref="S81:U81"/>
    <mergeCell ref="D2:O2"/>
    <mergeCell ref="U2:AH2"/>
    <mergeCell ref="C17:N17"/>
    <mergeCell ref="Q17:U17"/>
    <mergeCell ref="W17:AE17"/>
    <mergeCell ref="AG17:AO17"/>
    <mergeCell ref="Y35:AI35"/>
    <mergeCell ref="Y38:AI38"/>
    <mergeCell ref="Y33:AI33"/>
    <mergeCell ref="Y42:AI42"/>
    <mergeCell ref="Z46:AI46"/>
    <mergeCell ref="Z77:AI77"/>
    <mergeCell ref="Y44:AI44"/>
    <mergeCell ref="Z76:AI76"/>
    <mergeCell ref="U27:W27"/>
    <mergeCell ref="Y31:AI31"/>
    <mergeCell ref="U28:W28"/>
    <mergeCell ref="D51:W51"/>
    <mergeCell ref="AN56:BG56"/>
    <mergeCell ref="Z62:AI62"/>
    <mergeCell ref="Z63:AI63"/>
    <mergeCell ref="Z64:AI64"/>
    <mergeCell ref="Z70:AI70"/>
    <mergeCell ref="AR17:BH17"/>
    <mergeCell ref="AZ206:BD206"/>
    <mergeCell ref="AT207:AX207"/>
    <mergeCell ref="AS144:BB144"/>
    <mergeCell ref="AS145:BB145"/>
    <mergeCell ref="AS146:BB146"/>
    <mergeCell ref="AS154:BB154"/>
    <mergeCell ref="BD62:BG62"/>
    <mergeCell ref="BD63:BG63"/>
    <mergeCell ref="BD64:BG64"/>
    <mergeCell ref="AZ198:BD198"/>
    <mergeCell ref="AS193:BB193"/>
    <mergeCell ref="AS194:BB194"/>
    <mergeCell ref="AX157:BE157"/>
    <mergeCell ref="AT204:AX204"/>
    <mergeCell ref="AS195:BB195"/>
    <mergeCell ref="AT200:AX200"/>
    <mergeCell ref="AZ200:BD200"/>
    <mergeCell ref="AS67:BB67"/>
    <mergeCell ref="AR40:BB40"/>
    <mergeCell ref="AR44:BB44"/>
    <mergeCell ref="AS46:BB46"/>
    <mergeCell ref="AS63:BB63"/>
    <mergeCell ref="AS47:BB47"/>
    <mergeCell ref="AS75:BB75"/>
    <mergeCell ref="AS76:BB76"/>
    <mergeCell ref="Z109:AI109"/>
    <mergeCell ref="Z110:AI110"/>
    <mergeCell ref="AS147:BB147"/>
    <mergeCell ref="AS108:BB108"/>
    <mergeCell ref="AS109:BB109"/>
    <mergeCell ref="AS110:BB110"/>
    <mergeCell ref="AS115:BB115"/>
    <mergeCell ref="AS114:BB114"/>
    <mergeCell ref="Z118:AI118"/>
    <mergeCell ref="Z115:AI115"/>
    <mergeCell ref="AS139:BB139"/>
    <mergeCell ref="Z97:AI97"/>
    <mergeCell ref="Z101:AI101"/>
    <mergeCell ref="Z114:AI114"/>
    <mergeCell ref="Z75:AI75"/>
    <mergeCell ref="Z117:AI117"/>
    <mergeCell ref="Z94:AI94"/>
    <mergeCell ref="Z96:AI96"/>
    <mergeCell ref="AS96:BB96"/>
    <mergeCell ref="AS97:BB97"/>
    <mergeCell ref="AS102:BB102"/>
    <mergeCell ref="AS103:BB103"/>
    <mergeCell ref="BD65:BG65"/>
    <mergeCell ref="AT199:AX199"/>
    <mergeCell ref="AZ199:BD199"/>
    <mergeCell ref="AT202:AX202"/>
    <mergeCell ref="AZ202:BD202"/>
    <mergeCell ref="AT203:AX203"/>
    <mergeCell ref="AZ203:BD203"/>
    <mergeCell ref="AT206:AX206"/>
    <mergeCell ref="AT211:AX211"/>
    <mergeCell ref="AZ204:BD204"/>
    <mergeCell ref="AT205:AX205"/>
    <mergeCell ref="AZ205:BD205"/>
    <mergeCell ref="AT210:AX210"/>
    <mergeCell ref="AZ210:BD210"/>
    <mergeCell ref="AZ201:BD201"/>
    <mergeCell ref="AT201:AX201"/>
    <mergeCell ref="AS152:BB152"/>
    <mergeCell ref="AS93:BB93"/>
    <mergeCell ref="AS94:BB94"/>
    <mergeCell ref="AS100:BB100"/>
    <mergeCell ref="AS101:BB101"/>
    <mergeCell ref="AS107:BB107"/>
    <mergeCell ref="AS91:BB91"/>
    <mergeCell ref="AS92:BB92"/>
    <mergeCell ref="AZ226:BD226"/>
    <mergeCell ref="AT216:AX216"/>
    <mergeCell ref="AZ216:BD216"/>
    <mergeCell ref="AT217:AX217"/>
    <mergeCell ref="AZ217:BD217"/>
    <mergeCell ref="AT218:AX218"/>
    <mergeCell ref="AZ218:BD218"/>
    <mergeCell ref="AT222:AX222"/>
    <mergeCell ref="AZ222:BD222"/>
    <mergeCell ref="AZ225:BD225"/>
    <mergeCell ref="AZ219:BD219"/>
    <mergeCell ref="AT220:AX220"/>
    <mergeCell ref="AZ220:BD220"/>
    <mergeCell ref="AT221:AX221"/>
    <mergeCell ref="AT226:AX226"/>
    <mergeCell ref="AT219:AX219"/>
    <mergeCell ref="AZ221:BD221"/>
    <mergeCell ref="AT228:AX228"/>
    <mergeCell ref="AZ228:BD228"/>
    <mergeCell ref="AT243:AX243"/>
    <mergeCell ref="AZ243:BD243"/>
    <mergeCell ref="AT244:AX244"/>
    <mergeCell ref="AZ244:BD244"/>
    <mergeCell ref="AT245:AX245"/>
    <mergeCell ref="AZ245:BD245"/>
    <mergeCell ref="AT246:AX246"/>
    <mergeCell ref="AZ232:BD232"/>
    <mergeCell ref="AT248:AX248"/>
    <mergeCell ref="AZ248:BD248"/>
    <mergeCell ref="AT249:AX249"/>
    <mergeCell ref="AZ249:BD249"/>
    <mergeCell ref="AZ246:BD246"/>
    <mergeCell ref="AZ247:BD247"/>
    <mergeCell ref="AT247:AX247"/>
    <mergeCell ref="AT229:AX229"/>
    <mergeCell ref="AZ229:BD229"/>
    <mergeCell ref="AT230:AX230"/>
    <mergeCell ref="AZ230:BD230"/>
    <mergeCell ref="AT231:AX231"/>
    <mergeCell ref="AZ231:BD231"/>
    <mergeCell ref="AT232:AX232"/>
    <mergeCell ref="AZ242:BD242"/>
    <mergeCell ref="AZ239:BD239"/>
    <mergeCell ref="AT238:AX238"/>
    <mergeCell ref="AZ238:BD238"/>
    <mergeCell ref="AT239:AX239"/>
    <mergeCell ref="AZ235:BD235"/>
    <mergeCell ref="AT236:AX236"/>
    <mergeCell ref="AZ236:BD236"/>
    <mergeCell ref="AT237:AX237"/>
    <mergeCell ref="AZ237:BD237"/>
    <mergeCell ref="AA202:AE202"/>
    <mergeCell ref="AA203:AE203"/>
    <mergeCell ref="AA204:AE204"/>
    <mergeCell ref="AG208:AK208"/>
    <mergeCell ref="AA210:AE210"/>
    <mergeCell ref="AA214:AE214"/>
    <mergeCell ref="AZ207:BD207"/>
    <mergeCell ref="AT208:AX208"/>
    <mergeCell ref="AZ208:BD208"/>
    <mergeCell ref="AT209:AX209"/>
    <mergeCell ref="AZ209:BD209"/>
    <mergeCell ref="AG205:AK205"/>
    <mergeCell ref="AG213:AK213"/>
    <mergeCell ref="AG214:AK214"/>
    <mergeCell ref="AZ213:BD213"/>
    <mergeCell ref="AG202:AK202"/>
    <mergeCell ref="AS116:BB116"/>
    <mergeCell ref="AS151:BB151"/>
    <mergeCell ref="AS123:BB123"/>
    <mergeCell ref="AS124:BB124"/>
    <mergeCell ref="AS125:BB125"/>
    <mergeCell ref="AS126:BB126"/>
    <mergeCell ref="AS117:BB117"/>
    <mergeCell ref="AS118:BB118"/>
    <mergeCell ref="AS119:BB119"/>
    <mergeCell ref="AS127:BB127"/>
    <mergeCell ref="AS128:BB128"/>
    <mergeCell ref="AS138:BB138"/>
    <mergeCell ref="AS150:BB150"/>
    <mergeCell ref="Z67:AI67"/>
    <mergeCell ref="Z151:AI151"/>
    <mergeCell ref="Z152:AI152"/>
    <mergeCell ref="Z153:AI153"/>
    <mergeCell ref="AS74:BB74"/>
    <mergeCell ref="AA249:AE249"/>
    <mergeCell ref="AG249:AK249"/>
    <mergeCell ref="AA220:AE220"/>
    <mergeCell ref="AG248:AK248"/>
    <mergeCell ref="AA245:AE245"/>
    <mergeCell ref="AG245:AK245"/>
    <mergeCell ref="AA246:AE246"/>
    <mergeCell ref="AG246:AK246"/>
    <mergeCell ref="AA248:AE248"/>
    <mergeCell ref="AA247:AE247"/>
    <mergeCell ref="AG247:AK247"/>
    <mergeCell ref="AA229:AE229"/>
    <mergeCell ref="AA232:AE232"/>
    <mergeCell ref="AG232:AK232"/>
    <mergeCell ref="AG229:AK229"/>
    <mergeCell ref="AA230:AE230"/>
    <mergeCell ref="AG230:AK230"/>
    <mergeCell ref="Z92:AI92"/>
    <mergeCell ref="Z93:AI93"/>
    <mergeCell ref="AA244:AE244"/>
    <mergeCell ref="AA238:AE238"/>
    <mergeCell ref="AG238:AK238"/>
    <mergeCell ref="AG239:AK239"/>
    <mergeCell ref="AG235:AK235"/>
    <mergeCell ref="AA243:AE243"/>
    <mergeCell ref="AG243:AK243"/>
    <mergeCell ref="AA231:AE231"/>
    <mergeCell ref="AG231:AK231"/>
    <mergeCell ref="AG242:AK242"/>
    <mergeCell ref="AA236:AE236"/>
    <mergeCell ref="AG236:AK236"/>
    <mergeCell ref="AA239:AE239"/>
    <mergeCell ref="AA237:AE237"/>
    <mergeCell ref="AG237:AK237"/>
    <mergeCell ref="Z102:AI102"/>
    <mergeCell ref="Z103:AI103"/>
    <mergeCell ref="AA219:AE219"/>
    <mergeCell ref="AG219:AK219"/>
    <mergeCell ref="AA218:AE218"/>
    <mergeCell ref="AG210:AK210"/>
    <mergeCell ref="AG204:AK204"/>
    <mergeCell ref="AA201:AE201"/>
    <mergeCell ref="Z124:AI124"/>
    <mergeCell ref="Z125:AI125"/>
    <mergeCell ref="Z126:AI126"/>
    <mergeCell ref="Z107:AI107"/>
    <mergeCell ref="Z128:AI128"/>
    <mergeCell ref="AG218:AK218"/>
    <mergeCell ref="AG203:AK203"/>
    <mergeCell ref="Z150:AI150"/>
    <mergeCell ref="Z195:AI195"/>
    <mergeCell ref="Z146:AI146"/>
    <mergeCell ref="Z145:AI145"/>
    <mergeCell ref="Z108:AI108"/>
    <mergeCell ref="Z140:AI140"/>
    <mergeCell ref="Z119:AI119"/>
    <mergeCell ref="Z116:AI116"/>
    <mergeCell ref="Z194:AI194"/>
    <mergeCell ref="AR22:BG22"/>
    <mergeCell ref="AG244:AK244"/>
    <mergeCell ref="AG225:AK225"/>
    <mergeCell ref="AA226:AE226"/>
    <mergeCell ref="AG226:AK226"/>
    <mergeCell ref="AA228:AE228"/>
    <mergeCell ref="AG228:AK228"/>
    <mergeCell ref="Z100:AI100"/>
    <mergeCell ref="AG198:AK198"/>
    <mergeCell ref="Z154:AI154"/>
    <mergeCell ref="Z138:AI138"/>
    <mergeCell ref="Z139:AI139"/>
    <mergeCell ref="Z47:AI47"/>
    <mergeCell ref="Z95:AI95"/>
    <mergeCell ref="AG200:AK200"/>
    <mergeCell ref="Z144:AI144"/>
    <mergeCell ref="Z147:AI147"/>
    <mergeCell ref="AG221:AK221"/>
    <mergeCell ref="AA208:AE208"/>
    <mergeCell ref="AA209:AE209"/>
    <mergeCell ref="Z91:AI91"/>
    <mergeCell ref="Z127:AI127"/>
    <mergeCell ref="AS95:BB95"/>
    <mergeCell ref="Z123:AI123"/>
    <mergeCell ref="AA216:AE216"/>
    <mergeCell ref="AA217:AE217"/>
    <mergeCell ref="AA211:AE211"/>
    <mergeCell ref="AG211:AK211"/>
    <mergeCell ref="AG212:AK212"/>
    <mergeCell ref="AA212:AE212"/>
    <mergeCell ref="AG215:AK215"/>
    <mergeCell ref="AA213:AE213"/>
    <mergeCell ref="AG216:AK216"/>
    <mergeCell ref="AG217:AK217"/>
    <mergeCell ref="AA215:AE215"/>
    <mergeCell ref="Z141:AI141"/>
    <mergeCell ref="AA199:AE199"/>
    <mergeCell ref="AA200:AE200"/>
    <mergeCell ref="AG199:AK199"/>
    <mergeCell ref="AS192:BB192"/>
    <mergeCell ref="Z193:AI193"/>
    <mergeCell ref="AS153:BB153"/>
    <mergeCell ref="AS140:BB140"/>
    <mergeCell ref="AS141:BB141"/>
    <mergeCell ref="AT227:AX227"/>
    <mergeCell ref="AZ227:BD227"/>
    <mergeCell ref="AZ211:BD211"/>
    <mergeCell ref="AT212:AX212"/>
    <mergeCell ref="AZ212:BD212"/>
    <mergeCell ref="AZ215:BD215"/>
    <mergeCell ref="AG201:AK201"/>
    <mergeCell ref="AT213:AX213"/>
    <mergeCell ref="Z192:AI192"/>
    <mergeCell ref="AA206:AE206"/>
    <mergeCell ref="AG209:AK209"/>
    <mergeCell ref="AA207:AE207"/>
    <mergeCell ref="AG206:AK206"/>
    <mergeCell ref="AG207:AK207"/>
    <mergeCell ref="AA222:AE222"/>
    <mergeCell ref="AG222:AK222"/>
    <mergeCell ref="AA221:AE221"/>
    <mergeCell ref="AG227:AK227"/>
    <mergeCell ref="AG220:AK220"/>
    <mergeCell ref="AA227:AE227"/>
    <mergeCell ref="AT214:AX214"/>
    <mergeCell ref="AZ214:BD214"/>
    <mergeCell ref="AT215:AX215"/>
    <mergeCell ref="AA205:AE205"/>
    <mergeCell ref="AA418:AE418"/>
    <mergeCell ref="AG418:AK418"/>
    <mergeCell ref="AA416:AE416"/>
    <mergeCell ref="AG416:AK416"/>
    <mergeCell ref="AA412:AE412"/>
    <mergeCell ref="AG412:AK412"/>
    <mergeCell ref="AA413:AE413"/>
    <mergeCell ref="AG413:AK413"/>
    <mergeCell ref="AA414:AE414"/>
    <mergeCell ref="AG414:AK414"/>
    <mergeCell ref="AA415:AE415"/>
    <mergeCell ref="AG415:AK415"/>
    <mergeCell ref="AA417:AE417"/>
    <mergeCell ref="AG417:AK417"/>
    <mergeCell ref="AR31:BB31"/>
    <mergeCell ref="U29:W29"/>
    <mergeCell ref="AS90:BB90"/>
    <mergeCell ref="Z65:AI65"/>
    <mergeCell ref="AK65:AN65"/>
    <mergeCell ref="AS65:BB65"/>
    <mergeCell ref="Z68:AI68"/>
    <mergeCell ref="AS68:BB68"/>
    <mergeCell ref="Z69:AI69"/>
    <mergeCell ref="AS69:BB69"/>
    <mergeCell ref="Y40:AI40"/>
    <mergeCell ref="AR33:BB33"/>
    <mergeCell ref="AR35:BB35"/>
    <mergeCell ref="AR38:BB38"/>
    <mergeCell ref="Z74:AI74"/>
    <mergeCell ref="AK62:AN62"/>
    <mergeCell ref="AK63:AN63"/>
    <mergeCell ref="AK64:AN64"/>
    <mergeCell ref="Z90:AI90"/>
    <mergeCell ref="AS64:BB64"/>
    <mergeCell ref="AS70:BB70"/>
    <mergeCell ref="AR42:BB42"/>
    <mergeCell ref="AS62:BB62"/>
    <mergeCell ref="AS77:BB77"/>
  </mergeCells>
  <phoneticPr fontId="9" type="noConversion"/>
  <conditionalFormatting sqref="AR87:BG89 AR135:BG149 AR24:BG25 AR34:BG39 BC33:BG33 BC31:BG31 AR98:BG119 BD95:BG97 AR91:BG95 AR90:AS90 BC90:BG90 AR151:BG154 AR41:BG47 BC96:BG97 AR28:BG28 AR30:BG30">
    <cfRule type="expression" dxfId="128" priority="89">
      <formula>IF($AR$22=1,1,0)</formula>
    </cfRule>
  </conditionalFormatting>
  <conditionalFormatting sqref="AR87:BG89">
    <cfRule type="expression" dxfId="127" priority="87">
      <formula>IF($AR$22=1,1,0)</formula>
    </cfRule>
  </conditionalFormatting>
  <conditionalFormatting sqref="AR135:BG149">
    <cfRule type="expression" dxfId="126" priority="86">
      <formula>IF($AR$22=1,1,0)</formula>
    </cfRule>
  </conditionalFormatting>
  <conditionalFormatting sqref="AR43:BG43">
    <cfRule type="expression" dxfId="125" priority="83">
      <formula>IF($AR$22=1,1,0)</formula>
    </cfRule>
  </conditionalFormatting>
  <conditionalFormatting sqref="AR192:BB192">
    <cfRule type="expression" dxfId="124" priority="81">
      <formula>IF($AR$22=1,1,0)</formula>
    </cfRule>
  </conditionalFormatting>
  <conditionalFormatting sqref="AR193:BB193">
    <cfRule type="expression" dxfId="123" priority="79">
      <formula>IF($AR$22=1,1,0)</formula>
    </cfRule>
  </conditionalFormatting>
  <conditionalFormatting sqref="AR194:BB194">
    <cfRule type="expression" dxfId="122" priority="77">
      <formula>IF($AR$22=1,1,0)</formula>
    </cfRule>
  </conditionalFormatting>
  <conditionalFormatting sqref="AR195:BB195">
    <cfRule type="expression" dxfId="121" priority="74">
      <formula>IF($AR$22=1,1,0)</formula>
    </cfRule>
  </conditionalFormatting>
  <conditionalFormatting sqref="AK38">
    <cfRule type="expression" dxfId="120" priority="73">
      <formula>IF(AK$2=1,0,1)</formula>
    </cfRule>
  </conditionalFormatting>
  <conditionalFormatting sqref="AL38:AM38">
    <cfRule type="expression" dxfId="119" priority="72">
      <formula>IF(AL$2=1,0,1)</formula>
    </cfRule>
  </conditionalFormatting>
  <conditionalFormatting sqref="AR96">
    <cfRule type="expression" dxfId="118" priority="69">
      <formula>IF($AR$22=1,1,0)</formula>
    </cfRule>
  </conditionalFormatting>
  <conditionalFormatting sqref="AR96">
    <cfRule type="expression" dxfId="117" priority="68">
      <formula>IF($AR$22=1,1,0)</formula>
    </cfRule>
  </conditionalFormatting>
  <conditionalFormatting sqref="AR97">
    <cfRule type="expression" dxfId="116" priority="63">
      <formula>IF($AR$22=1,1,0)</formula>
    </cfRule>
  </conditionalFormatting>
  <conditionalFormatting sqref="AR97">
    <cfRule type="expression" dxfId="115" priority="62">
      <formula>IF($AR$22=1,1,0)</formula>
    </cfRule>
  </conditionalFormatting>
  <conditionalFormatting sqref="AR40:BG40">
    <cfRule type="expression" dxfId="114" priority="59">
      <formula>IF($AR$22=1,1,0)</formula>
    </cfRule>
  </conditionalFormatting>
  <conditionalFormatting sqref="AK40">
    <cfRule type="expression" dxfId="113" priority="58">
      <formula>IF(AK$2=1,0,1)</formula>
    </cfRule>
  </conditionalFormatting>
  <conditionalFormatting sqref="AL40:AM40">
    <cfRule type="expression" dxfId="112" priority="57">
      <formula>IF(AL$2=1,0,1)</formula>
    </cfRule>
  </conditionalFormatting>
  <conditionalFormatting sqref="AR150:BG150">
    <cfRule type="expression" dxfId="111" priority="55">
      <formula>IF($AR$22=1,1,0)</formula>
    </cfRule>
  </conditionalFormatting>
  <conditionalFormatting sqref="AR150:BG150">
    <cfRule type="expression" dxfId="110" priority="54">
      <formula>IF($AR$22=1,1,0)</formula>
    </cfRule>
  </conditionalFormatting>
  <conditionalFormatting sqref="Z150:AI150">
    <cfRule type="expression" dxfId="109" priority="53">
      <formula>IF($AR$22=1,1,0)</formula>
    </cfRule>
  </conditionalFormatting>
  <conditionalFormatting sqref="Z150:AI150">
    <cfRule type="expression" dxfId="108" priority="52">
      <formula>IF($AR$22=1,1,0)</formula>
    </cfRule>
  </conditionalFormatting>
  <conditionalFormatting sqref="AS96:BB96">
    <cfRule type="expression" dxfId="107" priority="50">
      <formula>IF($AR$22=1,1,0)</formula>
    </cfRule>
  </conditionalFormatting>
  <conditionalFormatting sqref="AS96:BB96">
    <cfRule type="expression" dxfId="106" priority="49">
      <formula>IF($AR$22=1,1,0)</formula>
    </cfRule>
  </conditionalFormatting>
  <conditionalFormatting sqref="AS97:BB97">
    <cfRule type="expression" dxfId="105" priority="48">
      <formula>IF($AR$22=1,1,0)</formula>
    </cfRule>
  </conditionalFormatting>
  <conditionalFormatting sqref="AS97:BB97">
    <cfRule type="expression" dxfId="104" priority="47">
      <formula>IF($AR$22=1,1,0)</formula>
    </cfRule>
  </conditionalFormatting>
  <conditionalFormatting sqref="AR48:BG48">
    <cfRule type="expression" dxfId="103" priority="46">
      <formula>IF($AR$22=1,1,0)</formula>
    </cfRule>
  </conditionalFormatting>
  <conditionalFormatting sqref="AR121:BG128">
    <cfRule type="expression" dxfId="102" priority="40">
      <formula>IF($AR$22=1,1,0)</formula>
    </cfRule>
  </conditionalFormatting>
  <conditionalFormatting sqref="AR121:BG125">
    <cfRule type="expression" dxfId="101" priority="39">
      <formula>IF($AR$22=1,1,0)</formula>
    </cfRule>
  </conditionalFormatting>
  <conditionalFormatting sqref="AR120:BG120">
    <cfRule type="expression" dxfId="100" priority="37">
      <formula>IF($AR$22=1,1,0)</formula>
    </cfRule>
  </conditionalFormatting>
  <conditionalFormatting sqref="AR120:BG120">
    <cfRule type="expression" dxfId="99" priority="36">
      <formula>IF($AR$22=1,1,0)</formula>
    </cfRule>
  </conditionalFormatting>
  <conditionalFormatting sqref="BF51:BG51">
    <cfRule type="expression" dxfId="98" priority="31">
      <formula>IF($AR$22=1,1,0)</formula>
    </cfRule>
  </conditionalFormatting>
  <conditionalFormatting sqref="BF49:BG49">
    <cfRule type="expression" dxfId="97" priority="30">
      <formula>IF($AR$22=1,1,0)</formula>
    </cfRule>
  </conditionalFormatting>
  <conditionalFormatting sqref="BF49:BG49">
    <cfRule type="expression" dxfId="96" priority="29">
      <formula>IF($AR$22=1,1,0)</formula>
    </cfRule>
  </conditionalFormatting>
  <conditionalFormatting sqref="BF50:BG50">
    <cfRule type="expression" dxfId="95" priority="28">
      <formula>IF($AR$22=1,1,0)</formula>
    </cfRule>
  </conditionalFormatting>
  <conditionalFormatting sqref="AR26:BG26">
    <cfRule type="expression" dxfId="94" priority="27">
      <formula>IF($AR$22=1,1,0)</formula>
    </cfRule>
  </conditionalFormatting>
  <conditionalFormatting sqref="C49:W51">
    <cfRule type="expression" dxfId="93" priority="26">
      <formula>IF($U$28=1,0,1)</formula>
    </cfRule>
  </conditionalFormatting>
  <conditionalFormatting sqref="J259:K281">
    <cfRule type="expression" dxfId="92" priority="23">
      <formula>IF(C259=J259,0,1)</formula>
    </cfRule>
  </conditionalFormatting>
  <conditionalFormatting sqref="L259:L281">
    <cfRule type="expression" dxfId="91" priority="1331">
      <formula>IF(D259=L259,0,1)</formula>
    </cfRule>
  </conditionalFormatting>
  <conditionalFormatting sqref="J288:K310">
    <cfRule type="expression" dxfId="90" priority="21">
      <formula>IF(C288=J288,0,1)</formula>
    </cfRule>
  </conditionalFormatting>
  <conditionalFormatting sqref="L288:L310">
    <cfRule type="expression" dxfId="89" priority="22">
      <formula>IF(D288=L288,0,1)</formula>
    </cfRule>
  </conditionalFormatting>
  <conditionalFormatting sqref="J331:K353">
    <cfRule type="expression" dxfId="88" priority="20">
      <formula>IF(C331=J331,0,1)</formula>
    </cfRule>
  </conditionalFormatting>
  <conditionalFormatting sqref="Z192:BB195 B104 D104:BH104 B84:BH89 B91:BH103 B90:AS90 BC90:BH90 B105:BH155 E68:AQ69 BH68:BH69">
    <cfRule type="expression" dxfId="87" priority="1341">
      <formula>IF($S$81="",1,IF($C$408=$S$81,1,0))</formula>
    </cfRule>
  </conditionalFormatting>
  <conditionalFormatting sqref="J370:K392">
    <cfRule type="expression" dxfId="86" priority="18">
      <formula>IF(C370=J370,0,1)</formula>
    </cfRule>
  </conditionalFormatting>
  <conditionalFormatting sqref="AR27:BG27">
    <cfRule type="expression" dxfId="85" priority="16">
      <formula>IF($AR$22=1,1,0)</formula>
    </cfRule>
  </conditionalFormatting>
  <conditionalFormatting sqref="AR32:BG32">
    <cfRule type="expression" dxfId="84" priority="15">
      <formula>IF($AR$22=1,1,0)</formula>
    </cfRule>
  </conditionalFormatting>
  <conditionalFormatting sqref="AR29:BG29">
    <cfRule type="expression" dxfId="83" priority="14">
      <formula>IF($AR$22=1,1,0)</formula>
    </cfRule>
  </conditionalFormatting>
  <conditionalFormatting sqref="C33:BC33">
    <cfRule type="expression" dxfId="82" priority="13">
      <formula>IF($BQ$33=1,0,1)</formula>
    </cfRule>
  </conditionalFormatting>
  <conditionalFormatting sqref="C31:BC31">
    <cfRule type="expression" dxfId="81" priority="12">
      <formula>IF($BQ$31=0,1,0)</formula>
    </cfRule>
  </conditionalFormatting>
  <conditionalFormatting sqref="B68:B69">
    <cfRule type="expression" dxfId="80" priority="8">
      <formula>IF($S$81="",1,IF($C$408=$S$81,1,0))</formula>
    </cfRule>
  </conditionalFormatting>
  <conditionalFormatting sqref="AR58:BG77">
    <cfRule type="expression" dxfId="79" priority="4">
      <formula>IF($AR$58="",1,0)</formula>
    </cfRule>
  </conditionalFormatting>
  <conditionalFormatting sqref="AR33:BB33">
    <cfRule type="expression" dxfId="78" priority="3">
      <formula>IF($AR$24="",1,0)</formula>
    </cfRule>
  </conditionalFormatting>
  <conditionalFormatting sqref="AL44:AM44">
    <cfRule type="expression" dxfId="77" priority="1">
      <formula>IF(AL$2=1,0,1)</formula>
    </cfRule>
  </conditionalFormatting>
  <conditionalFormatting sqref="AK44">
    <cfRule type="expression" dxfId="76" priority="2">
      <formula>IF(AK$2=1,0,1)</formula>
    </cfRule>
  </conditionalFormatting>
  <dataValidations xWindow="879" yWindow="721" count="16">
    <dataValidation type="list" allowBlank="1" showInputMessage="1" showErrorMessage="1" sqref="Y38 AR38 Y72" xr:uid="{00000000-0002-0000-0400-000000000000}">
      <formula1>$C$226:$C$231</formula1>
    </dataValidation>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K44"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K38" xr:uid="{00000000-0002-0000-0400-000009000000}"/>
    <dataValidation type="list" allowBlank="1" showInputMessage="1" showErrorMessage="1" sqref="Y40:AI40 AR40:BB40" xr:uid="{00000000-0002-0000-0400-00000A000000}">
      <formula1>$C$236:$C$238</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K40"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L38"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M38"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L40"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M40" xr:uid="{00000000-0002-0000-0400-00000F000000}"/>
    <dataValidation type="list" allowBlank="1" showInputMessage="1" showErrorMessage="1" sqref="Y44:AI44" xr:uid="{00000000-0002-0000-0400-000004000000}">
      <formula1>$Z$192:$Z$194</formula1>
    </dataValidation>
    <dataValidation type="list" allowBlank="1" showInputMessage="1" showErrorMessage="1" sqref="AR44:BB44" xr:uid="{00000000-0002-0000-0400-000005000000}">
      <formula1>$AS$192:$AS$194</formula1>
    </dataValidation>
    <dataValidation type="list" allowBlank="1" showInputMessage="1" showErrorMessage="1" sqref="S81:U81" xr:uid="{00000000-0002-0000-0400-000002000000}">
      <formula1>$C$407:$C$408</formula1>
    </dataValidation>
    <dataValidation type="list" allowBlank="1" showInputMessage="1" showErrorMessage="1" sqref="D51:W51" xr:uid="{973B8701-6C87-5B46-882F-3E97F885E552}">
      <formula1>$C$411:$C$417</formula1>
    </dataValidation>
    <dataValidation type="list" allowBlank="1" showInputMessage="1" showErrorMessage="1" sqref="Y31:AI31 AR31:BB31" xr:uid="{3ABA573C-AAD0-C84B-9578-AE4243EDEAAA}">
      <formula1>$C$199:$C$221</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L44"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M44" xr:uid="{A30BEC0C-1795-094B-BB27-951537D8B923}"/>
  </dataValidations>
  <hyperlinks>
    <hyperlink ref="D2" location="'1 System specification'!A1" display="'1 System specification'!A1" xr:uid="{00000000-0004-0000-0400-000000000000}"/>
    <hyperlink ref="U2" location="'4 Economics'!A1" display="'4 Economics'!A1" xr:uid="{00000000-0004-0000-0400-000001000000}"/>
    <hyperlink ref="AX157" location="y19" display="y19" xr:uid="{00000000-0004-0000-0400-000002000000}"/>
    <hyperlink ref="AY157" location="y19" display="y19" xr:uid="{00000000-0004-0000-0400-000003000000}"/>
    <hyperlink ref="AZ157" location="y19" display="y19" xr:uid="{00000000-0004-0000-0400-000004000000}"/>
    <hyperlink ref="BA157" location="y19" display="y19" xr:uid="{00000000-0004-0000-0400-000005000000}"/>
    <hyperlink ref="BB157" location="y19" display="y19" xr:uid="{00000000-0004-0000-0400-000006000000}"/>
    <hyperlink ref="BC157" location="y19" display="y19" xr:uid="{00000000-0004-0000-0400-000007000000}"/>
    <hyperlink ref="BD157" location="y19" display="y19" xr:uid="{00000000-0004-0000-0400-000008000000}"/>
    <hyperlink ref="BE157" location="y19" display="y19" xr:uid="{00000000-0004-0000-0400-000009000000}"/>
    <hyperlink ref="V2" location="'4 Economics'!A1" display="'4 Economics'!A1" xr:uid="{00000000-0004-0000-0400-00000A000000}"/>
    <hyperlink ref="W2" location="'4 Economics'!A1" display="'4 Economics'!A1" xr:uid="{00000000-0004-0000-0400-00000B000000}"/>
    <hyperlink ref="X2" location="'4 Economics'!A1" display="'4 Economics'!A1" xr:uid="{00000000-0004-0000-0400-00000C000000}"/>
    <hyperlink ref="Y2" location="'4 Economics'!A1" display="'4 Economics'!A1" xr:uid="{00000000-0004-0000-0400-00000D000000}"/>
    <hyperlink ref="Z2" location="'4 Economics'!A1" display="'4 Economics'!A1" xr:uid="{00000000-0004-0000-0400-00000E000000}"/>
    <hyperlink ref="AA2" location="'4 Economics'!A1" display="'4 Economics'!A1" xr:uid="{00000000-0004-0000-0400-00000F000000}"/>
    <hyperlink ref="AB2" location="'4 Economics'!A1" display="'4 Economics'!A1" xr:uid="{00000000-0004-0000-0400-000010000000}"/>
    <hyperlink ref="AC2" location="'4 Economics'!A1" display="'4 Economics'!A1" xr:uid="{00000000-0004-0000-0400-000011000000}"/>
    <hyperlink ref="AD2" location="'4 Economics'!A1" display="'4 Economics'!A1" xr:uid="{00000000-0004-0000-0400-000012000000}"/>
    <hyperlink ref="AE2" location="'4 Economics'!A1" display="'4 Economics'!A1" xr:uid="{00000000-0004-0000-0400-000013000000}"/>
    <hyperlink ref="AF2" location="'4 Economics'!A1" display="'4 Economics'!A1" xr:uid="{00000000-0004-0000-0400-000014000000}"/>
    <hyperlink ref="AG2" location="'4 Economics'!A1" display="'4 Economics'!A1" xr:uid="{00000000-0004-0000-0400-000015000000}"/>
    <hyperlink ref="AH2" location="'4 Economics'!A1" display="'4 Economics'!A1" xr:uid="{00000000-0004-0000-0400-000016000000}"/>
  </hyperlinks>
  <printOptions horizontalCentered="1"/>
  <pageMargins left="0.74803149606299213" right="0.74803149606299213" top="0.39370078740157483" bottom="1.3779527559055118" header="0.51181102362204722" footer="0"/>
  <pageSetup paperSize="9" scale="45" orientation="portrait" horizontalDpi="4294967292" verticalDpi="4294967292"/>
  <headerFooter>
    <oddFooter>&amp;C&amp;K000000&amp;G&amp;R&amp;K000000Sheet 3 - &amp;P</oddFooter>
  </headerFooter>
  <rowBreaks count="1" manualBreakCount="1">
    <brk id="79" max="16383" man="1"/>
  </rowBreaks>
  <colBreaks count="1" manualBreakCount="1">
    <brk id="60" max="1048575" man="1"/>
  </colBreaks>
  <ignoredErrors>
    <ignoredError sqref="Z93 AS93" formula="1"/>
  </ignoredErrors>
  <drawing r:id="rId1"/>
  <legacyDrawingHF r:id="rId2"/>
  <extLst>
    <ext xmlns:x14="http://schemas.microsoft.com/office/spreadsheetml/2009/9/main" uri="{78C0D931-6437-407d-A8EE-F0AAD7539E65}">
      <x14:conditionalFormattings>
        <x14:conditionalFormatting xmlns:xm="http://schemas.microsoft.com/office/excel/2006/main">
          <x14:cfRule type="expression" priority="71" id="{EF4CE4A4-4F53-4B4C-8267-2598A78FF8EE}">
            <xm:f>IF(X!$C$458=X!$G$459,1,0)</xm:f>
            <x14:dxf>
              <font>
                <b/>
                <i val="0"/>
                <color rgb="FFFF0000"/>
              </font>
              <fill>
                <patternFill patternType="none">
                  <fgColor indexed="64"/>
                  <bgColor auto="1"/>
                </patternFill>
              </fill>
              <border>
                <left/>
                <right/>
                <top/>
                <bottom/>
              </border>
            </x14:dxf>
          </x14:cfRule>
          <xm:sqref>AR17:BH17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S439"/>
  <sheetViews>
    <sheetView showGridLines="0" showRowColHeaders="0" showRuler="0" zoomScale="130" zoomScaleNormal="130" workbookViewId="0">
      <pane xSplit="61" ySplit="19" topLeftCell="BJ20" activePane="bottomRight" state="frozenSplit"/>
      <selection pane="topRight" activeCell="CE1" sqref="CE1"/>
      <selection pane="bottomLeft" activeCell="A20" sqref="A20"/>
      <selection pane="bottomRight" activeCell="Z37" sqref="Z37:AJ37"/>
    </sheetView>
  </sheetViews>
  <sheetFormatPr baseColWidth="10" defaultColWidth="2.85546875" defaultRowHeight="12.75" outlineLevelRow="1" outlineLevelCol="1"/>
  <cols>
    <col min="1" max="1" width="2.85546875" style="31"/>
    <col min="2" max="2" width="4" style="31" bestFit="1" customWidth="1"/>
    <col min="3" max="3" width="4" style="302" customWidth="1"/>
    <col min="4" max="4" width="3.42578125" style="31" customWidth="1"/>
    <col min="5" max="13" width="2.85546875" style="31"/>
    <col min="14" max="14" width="3" style="31" customWidth="1"/>
    <col min="15" max="19" width="2.85546875" style="31"/>
    <col min="20" max="20" width="2.85546875" style="31" customWidth="1"/>
    <col min="21" max="22" width="2.85546875" style="31"/>
    <col min="23" max="23" width="2.7109375" style="31" customWidth="1"/>
    <col min="24" max="62" width="2.85546875" style="31"/>
    <col min="63" max="63" width="2.85546875" style="31" customWidth="1"/>
    <col min="64" max="73" width="2.85546875" style="31" hidden="1" customWidth="1" outlineLevel="1"/>
    <col min="74" max="76" width="4.140625" style="31" hidden="1" customWidth="1" outlineLevel="1"/>
    <col min="77" max="77" width="2.85546875" style="31" hidden="1" customWidth="1" outlineLevel="1"/>
    <col min="78" max="78" width="10.42578125" style="31" hidden="1" customWidth="1" outlineLevel="1"/>
    <col min="79" max="81" width="19.85546875" style="31" hidden="1" customWidth="1" outlineLevel="1"/>
    <col min="82" max="82" width="0" style="31" hidden="1" customWidth="1" outlineLevel="1"/>
    <col min="83" max="83" width="2.85546875" style="31" collapsed="1"/>
    <col min="84" max="16384" width="2.85546875" style="31"/>
  </cols>
  <sheetData>
    <row r="1" spans="2:74">
      <c r="P1" s="28"/>
    </row>
    <row r="2" spans="2:74">
      <c r="C2" s="1206" t="s">
        <v>0</v>
      </c>
      <c r="D2" s="1701" t="str">
        <f>X!$C$285</f>
        <v>zurück zur Übersicht (1)</v>
      </c>
      <c r="E2" s="1701"/>
      <c r="F2" s="1701"/>
      <c r="G2" s="1701"/>
      <c r="H2" s="1701"/>
      <c r="I2" s="1701"/>
      <c r="J2" s="1701"/>
      <c r="K2" s="1701"/>
      <c r="L2" s="1701"/>
      <c r="M2" s="1701"/>
      <c r="N2" s="1701"/>
      <c r="O2" s="1701"/>
      <c r="P2" s="1701"/>
      <c r="Q2" s="1175"/>
      <c r="R2" s="1175"/>
      <c r="S2" s="1175"/>
      <c r="T2" s="1176" t="s">
        <v>13</v>
      </c>
      <c r="U2" s="1701" t="str">
        <f>X!$C$287</f>
        <v>zu den Ergebnissen (5)</v>
      </c>
      <c r="V2" s="1701"/>
      <c r="W2" s="1701"/>
      <c r="X2" s="1701"/>
      <c r="Y2" s="1701"/>
      <c r="Z2" s="1701"/>
      <c r="AA2" s="1701"/>
      <c r="AB2" s="1701"/>
      <c r="AC2" s="1701"/>
      <c r="AD2" s="1701"/>
      <c r="AE2" s="1701"/>
      <c r="AF2" s="1701"/>
      <c r="AK2" s="467"/>
      <c r="AL2" s="605">
        <f>X!E8</f>
        <v>1</v>
      </c>
      <c r="AM2" s="605">
        <f>X!F8</f>
        <v>0</v>
      </c>
      <c r="AN2" s="605">
        <f>X!G8</f>
        <v>0</v>
      </c>
      <c r="BV2" s="606" t="s">
        <v>642</v>
      </c>
    </row>
    <row r="3" spans="2:74">
      <c r="C3" s="1206" t="s">
        <v>0</v>
      </c>
      <c r="D3" s="1701" t="str">
        <f>X!$C$284</f>
        <v>zur TEWI-Berechnung (3)</v>
      </c>
      <c r="E3" s="1701"/>
      <c r="F3" s="1701"/>
      <c r="G3" s="1701"/>
      <c r="H3" s="1701"/>
      <c r="I3" s="1701"/>
      <c r="J3" s="1701"/>
      <c r="K3" s="1701"/>
      <c r="L3" s="1701"/>
      <c r="M3" s="1701"/>
      <c r="N3" s="1701"/>
      <c r="O3" s="1701"/>
      <c r="P3" s="1701"/>
      <c r="Q3" s="1175"/>
      <c r="R3" s="1175"/>
      <c r="S3" s="1175"/>
      <c r="T3" s="1175"/>
      <c r="U3" s="1175"/>
      <c r="V3" s="1175"/>
      <c r="W3" s="1175"/>
      <c r="X3" s="1175"/>
      <c r="Y3" s="1175"/>
      <c r="Z3" s="1175"/>
      <c r="AA3" s="1175"/>
      <c r="AB3" s="1175"/>
      <c r="AC3" s="1175"/>
      <c r="AD3" s="1175"/>
      <c r="AE3" s="1175"/>
      <c r="AF3" s="1175"/>
    </row>
    <row r="4" spans="2:74">
      <c r="P4" s="28"/>
    </row>
    <row r="5" spans="2:74">
      <c r="P5" s="28"/>
    </row>
    <row r="6" spans="2:74" ht="13.5" thickBot="1">
      <c r="B6" s="1177"/>
      <c r="C6" s="1177"/>
      <c r="D6" s="1177"/>
      <c r="E6" s="1177"/>
      <c r="F6" s="1177"/>
      <c r="G6" s="1177"/>
      <c r="H6" s="1177"/>
      <c r="I6" s="1177"/>
      <c r="J6" s="1177"/>
      <c r="K6" s="1177"/>
      <c r="L6" s="1177"/>
      <c r="M6" s="1177"/>
      <c r="N6" s="1177"/>
      <c r="O6" s="1177"/>
      <c r="P6" s="1177"/>
      <c r="Q6" s="1177"/>
      <c r="R6" s="1177"/>
      <c r="S6" s="1177"/>
      <c r="T6" s="1177"/>
      <c r="U6" s="1177"/>
      <c r="V6" s="1177"/>
      <c r="W6" s="1177"/>
      <c r="X6" s="1177"/>
      <c r="Y6" s="1177"/>
      <c r="Z6" s="1177"/>
      <c r="AA6" s="1177"/>
      <c r="AB6" s="1177"/>
      <c r="AC6" s="1177"/>
      <c r="AD6" s="1177"/>
      <c r="AE6" s="1177"/>
      <c r="AF6" s="1177"/>
      <c r="AG6" s="1177"/>
      <c r="AH6" s="1177"/>
      <c r="AI6" s="1177"/>
      <c r="AJ6" s="1177"/>
      <c r="AK6" s="1177"/>
      <c r="AL6" s="1177"/>
      <c r="AM6" s="1177"/>
      <c r="AN6" s="1177"/>
      <c r="AO6" s="1177"/>
      <c r="AP6" s="1177"/>
      <c r="AQ6" s="1177"/>
      <c r="AR6" s="1177"/>
      <c r="AS6" s="1177"/>
      <c r="AT6" s="1177"/>
      <c r="AU6" s="1177"/>
      <c r="AV6" s="1177"/>
      <c r="AW6" s="1177"/>
      <c r="AX6" s="1177"/>
      <c r="AY6" s="1177"/>
      <c r="AZ6" s="1177"/>
      <c r="BA6" s="1177"/>
      <c r="BB6" s="1177"/>
      <c r="BC6" s="1177"/>
      <c r="BD6" s="1177"/>
      <c r="BE6" s="1177"/>
      <c r="BF6" s="1177"/>
      <c r="BG6" s="1177"/>
      <c r="BH6" s="1177"/>
    </row>
    <row r="7" spans="2:74" ht="12" customHeight="1" thickTop="1">
      <c r="B7" s="1200"/>
      <c r="C7" s="1201"/>
      <c r="D7" s="1200"/>
      <c r="E7" s="1200"/>
      <c r="F7" s="1200"/>
      <c r="G7" s="1200"/>
      <c r="H7" s="1200"/>
      <c r="I7" s="1200"/>
      <c r="J7" s="1200"/>
      <c r="K7" s="1200"/>
      <c r="L7" s="1200"/>
      <c r="M7" s="1200"/>
      <c r="N7" s="1200"/>
      <c r="O7" s="1200"/>
      <c r="P7" s="1202"/>
      <c r="Q7" s="1200"/>
      <c r="R7" s="1200"/>
      <c r="S7" s="1200"/>
      <c r="T7" s="1200"/>
      <c r="U7" s="1200"/>
      <c r="V7" s="1200"/>
      <c r="W7" s="1200"/>
      <c r="X7" s="1200"/>
      <c r="Y7" s="1200"/>
      <c r="Z7" s="1200"/>
      <c r="AA7" s="1200"/>
      <c r="AB7" s="1200"/>
      <c r="AC7" s="1200"/>
      <c r="AD7" s="1200"/>
      <c r="AE7" s="1200"/>
      <c r="AF7" s="1200"/>
      <c r="AG7" s="1200"/>
      <c r="AH7" s="1200"/>
      <c r="AI7" s="1200"/>
      <c r="AJ7" s="1200"/>
      <c r="AK7" s="1200"/>
      <c r="AL7" s="1200"/>
      <c r="AM7" s="1200"/>
      <c r="AN7" s="1200"/>
      <c r="AO7" s="1200"/>
      <c r="AP7" s="1200"/>
      <c r="AQ7" s="1200"/>
      <c r="AR7" s="1200"/>
      <c r="AS7" s="1200"/>
      <c r="AT7" s="1200"/>
      <c r="AU7" s="1200"/>
      <c r="AV7" s="1200"/>
      <c r="AW7" s="1200"/>
      <c r="AX7" s="1200"/>
      <c r="AY7" s="1200"/>
      <c r="AZ7" s="1200"/>
      <c r="BA7" s="1200"/>
      <c r="BB7" s="1200"/>
      <c r="BC7" s="1200"/>
      <c r="BD7" s="1200"/>
      <c r="BE7" s="1200"/>
      <c r="BF7" s="1200"/>
      <c r="BG7" s="1200"/>
      <c r="BH7" s="1200"/>
    </row>
    <row r="8" spans="2:74" ht="12" customHeight="1">
      <c r="B8" s="52"/>
      <c r="C8" s="1139"/>
      <c r="D8" s="52"/>
      <c r="E8" s="52"/>
      <c r="F8" s="52"/>
      <c r="G8" s="52"/>
      <c r="H8" s="52"/>
      <c r="I8" s="52"/>
      <c r="J8" s="52"/>
      <c r="K8" s="52"/>
      <c r="L8" s="52"/>
      <c r="M8" s="52"/>
      <c r="N8" s="52"/>
      <c r="O8" s="52"/>
      <c r="P8" s="640"/>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row>
    <row r="9" spans="2:74">
      <c r="B9" s="556" t="str">
        <f>X!$C$148</f>
        <v>Effiziente Kälte</v>
      </c>
      <c r="D9" s="30"/>
      <c r="E9" s="30"/>
      <c r="F9" s="30"/>
      <c r="G9" s="30"/>
      <c r="H9" s="30"/>
      <c r="I9" s="30"/>
      <c r="J9" s="30"/>
      <c r="K9" s="30"/>
      <c r="L9" s="30"/>
      <c r="M9" s="30"/>
      <c r="N9" s="30"/>
      <c r="O9" s="30"/>
      <c r="P9" s="30"/>
      <c r="Q9" s="30"/>
      <c r="R9" s="30"/>
      <c r="S9" s="30"/>
    </row>
    <row r="10" spans="2:74" s="32" customFormat="1" ht="18" customHeight="1">
      <c r="B10" s="557" t="str">
        <f>X!$C$21</f>
        <v>Kälte-Tool für die Abschätzung des Stromverbrauchs, der Umweltauswirkungen und der Lebenszykluskosten von Kälte- und Klimakälteanlagen</v>
      </c>
      <c r="C10" s="482"/>
      <c r="Q10" s="33"/>
    </row>
    <row r="11" spans="2:74" s="32" customFormat="1" ht="12" customHeight="1">
      <c r="B11" s="557"/>
      <c r="C11" s="482"/>
      <c r="Q11" s="33"/>
    </row>
    <row r="12" spans="2:74" s="32" customFormat="1" ht="12" customHeight="1">
      <c r="B12" s="557"/>
      <c r="C12" s="482"/>
      <c r="Q12" s="33"/>
    </row>
    <row r="13" spans="2:74" s="1208" customFormat="1" ht="30">
      <c r="B13" s="1208">
        <v>4</v>
      </c>
      <c r="C13" s="1209" t="str">
        <f>X!$C$270</f>
        <v>Wirtschaftlichkeit</v>
      </c>
      <c r="Q13" s="1211"/>
      <c r="BV13" s="1213" t="s">
        <v>641</v>
      </c>
    </row>
    <row r="14" spans="2:74" s="32" customFormat="1" ht="12" customHeight="1">
      <c r="B14" s="100"/>
      <c r="C14" s="558"/>
      <c r="Q14" s="33"/>
      <c r="BV14" s="600"/>
    </row>
    <row r="15" spans="2:74" ht="12" customHeight="1">
      <c r="B15" s="35"/>
      <c r="C15" s="483"/>
      <c r="D15" s="35"/>
      <c r="E15" s="35"/>
      <c r="F15" s="35"/>
      <c r="G15" s="35"/>
      <c r="H15" s="35"/>
      <c r="I15" s="35"/>
      <c r="J15" s="35"/>
      <c r="K15" s="35"/>
      <c r="L15" s="35"/>
      <c r="M15" s="35"/>
      <c r="N15" s="35"/>
      <c r="O15" s="35"/>
      <c r="P15" s="35"/>
      <c r="Q15" s="35"/>
      <c r="R15" s="35"/>
      <c r="S15" s="35"/>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row>
    <row r="16" spans="2:74" ht="5.0999999999999996" customHeight="1">
      <c r="B16" s="52"/>
      <c r="C16" s="484"/>
      <c r="D16" s="30"/>
      <c r="E16" s="30"/>
      <c r="F16" s="30"/>
      <c r="G16" s="30"/>
      <c r="H16" s="30"/>
      <c r="I16" s="30"/>
      <c r="J16" s="30"/>
      <c r="K16" s="30"/>
      <c r="L16" s="30"/>
      <c r="M16" s="30"/>
      <c r="N16" s="30"/>
      <c r="O16" s="30"/>
      <c r="P16" s="30"/>
      <c r="Q16" s="30"/>
      <c r="R16" s="30"/>
      <c r="S16" s="30"/>
    </row>
    <row r="17" spans="2:82" s="37" customFormat="1" ht="12" customHeight="1">
      <c r="B17" s="101"/>
      <c r="C17" s="1431">
        <f>'1 System specification'!I28</f>
        <v>0</v>
      </c>
      <c r="D17" s="1431"/>
      <c r="E17" s="1431"/>
      <c r="F17" s="1431"/>
      <c r="G17" s="1431"/>
      <c r="H17" s="1431"/>
      <c r="I17" s="1431"/>
      <c r="J17" s="1431"/>
      <c r="K17" s="1431"/>
      <c r="L17" s="1431"/>
      <c r="M17" s="1431"/>
      <c r="N17" s="1431"/>
      <c r="O17" s="38"/>
      <c r="P17" s="38"/>
      <c r="Q17" s="1435">
        <f ca="1">IF('1 System specification'!AH28="",TODAY(),'1 System specification'!AH28)</f>
        <v>44257</v>
      </c>
      <c r="R17" s="1435"/>
      <c r="S17" s="1435"/>
      <c r="T17" s="1435"/>
      <c r="U17" s="1435"/>
      <c r="V17" s="39"/>
      <c r="W17" s="1431">
        <f>'1 System specification'!AH35</f>
        <v>0</v>
      </c>
      <c r="X17" s="1431"/>
      <c r="Y17" s="1431"/>
      <c r="Z17" s="1431"/>
      <c r="AA17" s="1431"/>
      <c r="AB17" s="1431"/>
      <c r="AC17" s="1431"/>
      <c r="AD17" s="1431"/>
      <c r="AE17" s="1431"/>
      <c r="AF17" s="39"/>
      <c r="AG17" s="1431">
        <f>'1 System specification'!I35</f>
        <v>0</v>
      </c>
      <c r="AH17" s="1431"/>
      <c r="AI17" s="1431"/>
      <c r="AJ17" s="1431"/>
      <c r="AK17" s="1431"/>
      <c r="AL17" s="1431"/>
      <c r="AM17" s="1431"/>
      <c r="AN17" s="1431"/>
      <c r="AO17" s="1431"/>
      <c r="AQ17" s="1677" t="str">
        <f>'1 System specification'!AG21</f>
        <v>Version 5.6 (2021): gültig bis 15. August 2021</v>
      </c>
      <c r="AR17" s="1677"/>
      <c r="AS17" s="1677"/>
      <c r="AT17" s="1677"/>
      <c r="AU17" s="1677"/>
      <c r="AV17" s="1677"/>
      <c r="AW17" s="1677"/>
      <c r="AX17" s="1677"/>
      <c r="AY17" s="1677"/>
      <c r="AZ17" s="1677"/>
      <c r="BA17" s="1677"/>
      <c r="BB17" s="1677"/>
      <c r="BC17" s="1677"/>
      <c r="BD17" s="1677"/>
      <c r="BE17" s="1677"/>
      <c r="BF17" s="1677"/>
      <c r="BG17" s="1677"/>
      <c r="BH17" s="1677"/>
    </row>
    <row r="18" spans="2:82" s="37" customFormat="1" ht="3.95" customHeight="1">
      <c r="B18" s="41"/>
      <c r="C18" s="41"/>
      <c r="D18" s="41"/>
      <c r="E18" s="41"/>
      <c r="F18" s="41"/>
      <c r="G18" s="41"/>
      <c r="H18" s="41"/>
      <c r="I18" s="41"/>
      <c r="J18" s="41"/>
      <c r="K18" s="41"/>
      <c r="L18" s="41"/>
      <c r="M18" s="41"/>
      <c r="N18" s="41"/>
      <c r="O18" s="40"/>
      <c r="P18" s="40"/>
      <c r="Q18" s="42"/>
      <c r="R18" s="41"/>
      <c r="S18" s="41"/>
      <c r="T18" s="41"/>
      <c r="U18" s="41"/>
      <c r="V18" s="41"/>
      <c r="W18" s="41"/>
      <c r="X18" s="40"/>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row>
    <row r="19" spans="2:82">
      <c r="B19" s="30"/>
      <c r="C19" s="484"/>
      <c r="D19" s="30"/>
      <c r="E19" s="30"/>
      <c r="F19" s="30"/>
      <c r="G19" s="30"/>
      <c r="H19" s="30"/>
      <c r="I19" s="30"/>
      <c r="J19" s="30"/>
      <c r="K19" s="30"/>
      <c r="L19" s="30"/>
      <c r="M19" s="30"/>
      <c r="N19" s="30"/>
      <c r="O19" s="30"/>
      <c r="P19" s="30"/>
      <c r="Q19" s="30"/>
      <c r="R19" s="30"/>
    </row>
    <row r="21" spans="2:82">
      <c r="B21" s="306"/>
      <c r="C21" s="485"/>
      <c r="D21" s="307"/>
      <c r="E21" s="307"/>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8"/>
      <c r="AK21" s="307"/>
      <c r="AL21" s="309"/>
      <c r="AM21" s="307"/>
      <c r="AN21" s="307"/>
      <c r="AO21" s="307"/>
      <c r="AP21" s="307"/>
      <c r="AQ21" s="307"/>
      <c r="AR21" s="307"/>
      <c r="AS21" s="307"/>
      <c r="AT21" s="307"/>
      <c r="AU21" s="307"/>
      <c r="AV21" s="307"/>
      <c r="AW21" s="307"/>
      <c r="AX21" s="307"/>
      <c r="AY21" s="307"/>
      <c r="AZ21" s="307"/>
      <c r="BA21" s="307"/>
      <c r="BB21" s="308"/>
      <c r="BC21" s="307"/>
      <c r="BD21" s="309"/>
      <c r="BE21" s="307"/>
      <c r="BF21" s="307"/>
      <c r="BG21" s="307"/>
      <c r="BH21" s="310"/>
    </row>
    <row r="22" spans="2:82" s="116" customFormat="1" ht="21" customHeight="1">
      <c r="B22" s="107"/>
      <c r="C22" s="486">
        <v>1</v>
      </c>
      <c r="D22" s="546" t="str">
        <f>X!$C$88</f>
        <v>Eingaben</v>
      </c>
      <c r="E22" s="109"/>
      <c r="F22" s="109"/>
      <c r="G22" s="110"/>
      <c r="H22" s="110"/>
      <c r="I22" s="111"/>
      <c r="J22" s="111"/>
      <c r="K22" s="111"/>
      <c r="L22" s="111"/>
      <c r="M22" s="111"/>
      <c r="N22" s="111"/>
      <c r="O22" s="111"/>
      <c r="P22" s="111"/>
      <c r="Q22" s="111"/>
      <c r="R22" s="111"/>
      <c r="S22" s="109"/>
      <c r="T22" s="109"/>
      <c r="U22" s="110"/>
      <c r="V22" s="110"/>
      <c r="W22" s="110"/>
      <c r="X22" s="110"/>
      <c r="Y22" s="110"/>
      <c r="Z22" s="635"/>
      <c r="AA22" s="110"/>
      <c r="AB22" s="110"/>
      <c r="AC22" s="110"/>
      <c r="AD22" s="110"/>
      <c r="AE22" s="110"/>
      <c r="AF22" s="110"/>
      <c r="AG22" s="110"/>
      <c r="AH22" s="110"/>
      <c r="AI22" s="110"/>
      <c r="AJ22" s="110"/>
      <c r="AK22" s="110"/>
      <c r="AL22" s="110"/>
      <c r="AM22" s="111"/>
      <c r="AN22" s="111"/>
      <c r="AO22" s="111"/>
      <c r="AP22" s="111"/>
      <c r="AQ22" s="109"/>
      <c r="AR22" s="1658">
        <f>'1 System specification'!O135</f>
        <v>1</v>
      </c>
      <c r="AS22" s="1658"/>
      <c r="AT22" s="1658"/>
      <c r="AU22" s="1658"/>
      <c r="AV22" s="1658"/>
      <c r="AW22" s="1658"/>
      <c r="AX22" s="1658"/>
      <c r="AY22" s="1658"/>
      <c r="AZ22" s="1658"/>
      <c r="BA22" s="1658"/>
      <c r="BB22" s="1658"/>
      <c r="BC22" s="1658"/>
      <c r="BD22" s="1658"/>
      <c r="BE22" s="1658"/>
      <c r="BF22" s="1658"/>
      <c r="BG22" s="1658"/>
      <c r="BH22" s="312"/>
      <c r="BI22" s="31"/>
      <c r="BJ22" s="31"/>
      <c r="BU22" s="31"/>
      <c r="BV22" s="31"/>
      <c r="BW22" s="31"/>
      <c r="BX22" s="31"/>
      <c r="BY22" s="31"/>
      <c r="BZ22" s="31"/>
      <c r="CA22" s="31"/>
      <c r="CB22" s="31"/>
      <c r="CC22" s="31"/>
    </row>
    <row r="23" spans="2:82" s="28" customFormat="1" ht="17.100000000000001" customHeight="1">
      <c r="B23" s="117"/>
      <c r="C23" s="489"/>
      <c r="D23" s="98"/>
      <c r="E23" s="98"/>
      <c r="F23" s="98"/>
      <c r="G23" s="98"/>
      <c r="H23" s="98"/>
      <c r="I23" s="98"/>
      <c r="J23" s="98"/>
      <c r="K23" s="98"/>
      <c r="L23" s="98"/>
      <c r="M23" s="98"/>
      <c r="N23" s="98"/>
      <c r="O23" s="98"/>
      <c r="P23" s="122"/>
      <c r="Q23" s="98"/>
      <c r="R23" s="98"/>
      <c r="S23" s="135"/>
      <c r="T23" s="135"/>
      <c r="U23" s="135"/>
      <c r="V23" s="135"/>
      <c r="W23" s="98"/>
      <c r="X23" s="136"/>
      <c r="Y23" s="136"/>
      <c r="Z23" s="136"/>
      <c r="AA23" s="136"/>
      <c r="AB23" s="136"/>
      <c r="AC23" s="136"/>
      <c r="AD23" s="136"/>
      <c r="AE23" s="136"/>
      <c r="AF23" s="136"/>
      <c r="AG23" s="98"/>
      <c r="AH23" s="98"/>
      <c r="AI23" s="98"/>
      <c r="AJ23" s="98"/>
      <c r="AK23" s="98"/>
      <c r="AL23" s="98"/>
      <c r="AM23" s="98"/>
      <c r="AN23" s="98"/>
      <c r="AO23" s="98"/>
      <c r="AP23" s="98"/>
      <c r="AQ23" s="135"/>
      <c r="AR23" s="135"/>
      <c r="AS23" s="135"/>
      <c r="AT23" s="98"/>
      <c r="AU23" s="136"/>
      <c r="AV23" s="136"/>
      <c r="AW23" s="136"/>
      <c r="AX23" s="136"/>
      <c r="AY23" s="136"/>
      <c r="AZ23" s="136"/>
      <c r="BA23" s="136"/>
      <c r="BB23" s="136"/>
      <c r="BC23" s="136"/>
      <c r="BD23" s="55"/>
      <c r="BE23" s="55"/>
      <c r="BF23" s="55"/>
      <c r="BG23" s="55"/>
      <c r="BH23" s="312"/>
      <c r="BI23" s="31"/>
      <c r="BJ23" s="31"/>
      <c r="BU23" s="116"/>
      <c r="BV23" s="227">
        <v>250</v>
      </c>
      <c r="BW23" s="227"/>
      <c r="BX23" s="227"/>
      <c r="BY23" s="116"/>
      <c r="BZ23" s="116"/>
      <c r="CA23" s="155" t="str">
        <f>X!E12</f>
        <v>Deutsch</v>
      </c>
      <c r="CB23" s="155" t="str">
        <f>X!F12</f>
        <v>Française</v>
      </c>
      <c r="CC23" s="155" t="str">
        <f>X!G12</f>
        <v>Italiano</v>
      </c>
    </row>
    <row r="24" spans="2:82" ht="21" customHeight="1">
      <c r="B24" s="311"/>
      <c r="C24" s="488"/>
      <c r="D24" s="313"/>
      <c r="E24" s="313"/>
      <c r="F24" s="313"/>
      <c r="G24" s="313"/>
      <c r="H24" s="313"/>
      <c r="I24" s="313"/>
      <c r="J24" s="313"/>
      <c r="K24" s="313"/>
      <c r="L24" s="313"/>
      <c r="M24" s="313"/>
      <c r="N24" s="313"/>
      <c r="O24" s="313"/>
      <c r="P24" s="313"/>
      <c r="Q24" s="313"/>
      <c r="R24" s="313"/>
      <c r="S24" s="313"/>
      <c r="T24" s="313"/>
      <c r="U24" s="313"/>
      <c r="V24" s="313"/>
      <c r="W24" s="313"/>
      <c r="X24" s="313"/>
      <c r="Y24" s="313"/>
      <c r="Z24" s="140" t="str">
        <f>'1 System specification'!O132</f>
        <v>Variante A</v>
      </c>
      <c r="AA24" s="369"/>
      <c r="AB24" s="369"/>
      <c r="AC24" s="369"/>
      <c r="AD24" s="369"/>
      <c r="AE24" s="369"/>
      <c r="AF24" s="369"/>
      <c r="AG24" s="369"/>
      <c r="AH24" s="369"/>
      <c r="AI24" s="369"/>
      <c r="AJ24" s="369"/>
      <c r="AK24" s="369"/>
      <c r="AL24" s="369"/>
      <c r="AM24" s="369"/>
      <c r="AN24" s="369"/>
      <c r="AO24" s="313"/>
      <c r="AP24" s="313"/>
      <c r="AQ24" s="313"/>
      <c r="AR24" s="140" t="str">
        <f>'1 System specification'!O133</f>
        <v/>
      </c>
      <c r="AS24" s="369"/>
      <c r="AT24" s="369"/>
      <c r="AU24" s="369"/>
      <c r="AV24" s="369"/>
      <c r="AW24" s="369"/>
      <c r="AX24" s="369"/>
      <c r="AY24" s="369"/>
      <c r="AZ24" s="369"/>
      <c r="BA24" s="369"/>
      <c r="BB24" s="369"/>
      <c r="BC24" s="369"/>
      <c r="BD24" s="369"/>
      <c r="BE24" s="369"/>
      <c r="BF24" s="369"/>
      <c r="BG24" s="52"/>
      <c r="BH24" s="312"/>
      <c r="BI24" s="52"/>
      <c r="BJ24" s="52"/>
      <c r="BK24" s="52"/>
      <c r="BL24" s="52"/>
      <c r="BM24" s="1205">
        <f>IF('1 System specification'!O135=2,1,0)</f>
        <v>0</v>
      </c>
      <c r="BN24" s="28"/>
      <c r="BO24" s="28"/>
      <c r="BP24" s="28" t="s">
        <v>1055</v>
      </c>
      <c r="BQ24" s="28"/>
      <c r="BR24" s="28"/>
      <c r="BS24" s="28"/>
      <c r="BT24" s="28"/>
      <c r="BU24" s="28"/>
      <c r="BV24" s="28"/>
      <c r="BW24" s="28"/>
      <c r="BX24" s="28"/>
      <c r="BY24" s="28"/>
      <c r="BZ24" s="28"/>
      <c r="CA24" s="28"/>
      <c r="CB24" s="28"/>
      <c r="CC24" s="28"/>
      <c r="CD24" s="28"/>
    </row>
    <row r="25" spans="2:82" s="398" customFormat="1" ht="21" customHeight="1">
      <c r="B25" s="1173"/>
      <c r="C25" s="481"/>
      <c r="D25" s="1172"/>
      <c r="E25" s="1172"/>
      <c r="F25" s="1172"/>
      <c r="G25" s="1172"/>
      <c r="H25" s="1172"/>
      <c r="I25" s="1172"/>
      <c r="J25" s="1172"/>
      <c r="K25" s="1172"/>
      <c r="L25" s="1172"/>
      <c r="M25" s="1172"/>
      <c r="N25" s="1172"/>
      <c r="O25" s="1172"/>
      <c r="P25" s="1172"/>
      <c r="Q25" s="1172"/>
      <c r="R25" s="1172"/>
      <c r="S25" s="1172"/>
      <c r="T25" s="1172"/>
      <c r="U25" s="1172"/>
      <c r="V25" s="1172"/>
      <c r="W25" s="1172"/>
      <c r="X25" s="1172"/>
      <c r="Y25" s="1172"/>
      <c r="Z25" s="1138" t="str">
        <f>'1 System specification'!S200</f>
        <v/>
      </c>
      <c r="AA25" s="1172"/>
      <c r="AB25" s="1172"/>
      <c r="AC25" s="1172"/>
      <c r="AD25" s="1172"/>
      <c r="AE25" s="1172"/>
      <c r="AF25" s="1172"/>
      <c r="AG25" s="1172"/>
      <c r="AH25" s="1172"/>
      <c r="AI25" s="1172"/>
      <c r="AJ25" s="1172"/>
      <c r="AK25" s="1172"/>
      <c r="AL25" s="1172"/>
      <c r="AM25" s="1172"/>
      <c r="AN25" s="1172"/>
      <c r="AO25" s="1172"/>
      <c r="AP25" s="1172"/>
      <c r="AQ25" s="1172"/>
      <c r="AR25" s="1138" t="str">
        <f>'1 System specification'!BJ200</f>
        <v/>
      </c>
      <c r="AS25" s="1172"/>
      <c r="AT25" s="1172"/>
      <c r="AU25" s="1172"/>
      <c r="AV25" s="1172"/>
      <c r="AW25" s="1172"/>
      <c r="AX25" s="1172"/>
      <c r="AY25" s="1172"/>
      <c r="AZ25" s="1172"/>
      <c r="BA25" s="1172"/>
      <c r="BB25" s="1172"/>
      <c r="BC25" s="1172"/>
      <c r="BD25" s="1172"/>
      <c r="BE25" s="1172"/>
      <c r="BF25" s="1172"/>
      <c r="BG25" s="64"/>
      <c r="BH25" s="1174"/>
      <c r="BU25" s="227"/>
      <c r="BV25" s="227"/>
      <c r="BW25" s="227"/>
      <c r="BX25" s="227"/>
      <c r="BY25" s="227"/>
      <c r="BZ25" s="227"/>
      <c r="CA25" s="227"/>
      <c r="CB25" s="227"/>
      <c r="CC25" s="227"/>
    </row>
    <row r="26" spans="2:82" s="398" customFormat="1" ht="11.1" customHeight="1">
      <c r="B26" s="1173"/>
      <c r="C26" s="481"/>
      <c r="D26" s="1172"/>
      <c r="E26" s="1172"/>
      <c r="F26" s="1172"/>
      <c r="G26" s="1172"/>
      <c r="H26" s="1172"/>
      <c r="I26" s="1172"/>
      <c r="J26" s="1172"/>
      <c r="K26" s="1172"/>
      <c r="L26" s="1172"/>
      <c r="M26" s="1172"/>
      <c r="N26" s="1172"/>
      <c r="O26" s="1172"/>
      <c r="P26" s="1172"/>
      <c r="Q26" s="1172"/>
      <c r="R26" s="1172"/>
      <c r="S26" s="1172"/>
      <c r="T26" s="1172"/>
      <c r="U26" s="1172"/>
      <c r="V26" s="1172"/>
      <c r="W26" s="1172"/>
      <c r="X26" s="1172"/>
      <c r="Y26" s="1172"/>
      <c r="Z26" s="1138"/>
      <c r="AA26" s="1172"/>
      <c r="AB26" s="1172"/>
      <c r="AC26" s="1172"/>
      <c r="AD26" s="1172"/>
      <c r="AE26" s="1172"/>
      <c r="AF26" s="1172"/>
      <c r="AG26" s="1172"/>
      <c r="AH26" s="1172"/>
      <c r="AI26" s="1172"/>
      <c r="AJ26" s="1172"/>
      <c r="AK26" s="1172"/>
      <c r="AL26" s="1172"/>
      <c r="AM26" s="1172"/>
      <c r="AN26" s="1172"/>
      <c r="AO26" s="1172"/>
      <c r="AP26" s="1172"/>
      <c r="AQ26" s="1172"/>
      <c r="AR26" s="1138"/>
      <c r="AS26" s="1172"/>
      <c r="AT26" s="1172"/>
      <c r="AU26" s="1172"/>
      <c r="AV26" s="1172"/>
      <c r="AW26" s="1172"/>
      <c r="AX26" s="1172"/>
      <c r="AY26" s="1172"/>
      <c r="AZ26" s="1172"/>
      <c r="BA26" s="1172"/>
      <c r="BB26" s="1172"/>
      <c r="BC26" s="1172"/>
      <c r="BD26" s="1172"/>
      <c r="BE26" s="1172"/>
      <c r="BF26" s="1172"/>
      <c r="BG26" s="64"/>
      <c r="BH26" s="1174"/>
      <c r="BU26" s="227"/>
      <c r="BV26" s="227"/>
      <c r="BW26" s="227"/>
      <c r="BX26" s="227"/>
      <c r="BY26" s="227"/>
      <c r="BZ26" s="227"/>
      <c r="CA26" s="227"/>
      <c r="CB26" s="227"/>
      <c r="CC26" s="227"/>
    </row>
    <row r="27" spans="2:82" s="28" customFormat="1" ht="17.100000000000001" hidden="1" customHeight="1" outlineLevel="1">
      <c r="B27" s="311"/>
      <c r="C27" s="1192"/>
      <c r="D27" s="822" t="s">
        <v>1059</v>
      </c>
      <c r="E27" s="98"/>
      <c r="F27" s="98"/>
      <c r="G27" s="98"/>
      <c r="H27" s="98"/>
      <c r="I27" s="98"/>
      <c r="J27" s="98"/>
      <c r="K27" s="98"/>
      <c r="L27" s="98"/>
      <c r="M27" s="98"/>
      <c r="N27" s="98"/>
      <c r="O27" s="98"/>
      <c r="P27" s="122"/>
      <c r="Q27" s="98"/>
      <c r="R27" s="98"/>
      <c r="S27" s="1191"/>
      <c r="T27" s="1191"/>
      <c r="U27" s="1781">
        <f>'1 System specification'!W141</f>
        <v>1</v>
      </c>
      <c r="V27" s="1781"/>
      <c r="W27" s="1781"/>
      <c r="X27" s="136"/>
      <c r="Y27" s="136"/>
      <c r="Z27" s="136"/>
      <c r="AA27" s="136"/>
      <c r="AB27" s="136"/>
      <c r="AC27" s="136"/>
      <c r="AD27" s="136"/>
      <c r="AE27" s="136"/>
      <c r="AF27" s="136"/>
      <c r="AG27" s="136"/>
      <c r="AH27" s="136"/>
      <c r="AI27" s="136"/>
      <c r="AJ27" s="136"/>
      <c r="AK27" s="98"/>
      <c r="AL27" s="98"/>
      <c r="AM27" s="98"/>
      <c r="AN27" s="98"/>
      <c r="AO27" s="98"/>
      <c r="AP27" s="98"/>
      <c r="AQ27" s="1191"/>
      <c r="AR27" s="136"/>
      <c r="AS27" s="136"/>
      <c r="AT27" s="136"/>
      <c r="AU27" s="136"/>
      <c r="AV27" s="136"/>
      <c r="AW27" s="136"/>
      <c r="AX27" s="136"/>
      <c r="AY27" s="136"/>
      <c r="AZ27" s="136"/>
      <c r="BA27" s="136"/>
      <c r="BB27" s="136"/>
      <c r="BC27" s="136"/>
      <c r="BD27" s="640"/>
      <c r="BE27" s="640"/>
      <c r="BF27" s="640"/>
      <c r="BG27" s="640"/>
      <c r="BH27" s="312"/>
      <c r="BI27" s="31"/>
      <c r="BJ27" s="31"/>
      <c r="BP27" s="28" t="s">
        <v>988</v>
      </c>
    </row>
    <row r="28" spans="2:82" s="28" customFormat="1" ht="17.100000000000001" hidden="1" customHeight="1" outlineLevel="1">
      <c r="B28" s="311"/>
      <c r="C28" s="1192"/>
      <c r="D28" s="822" t="s">
        <v>1058</v>
      </c>
      <c r="E28" s="98"/>
      <c r="F28" s="98"/>
      <c r="G28" s="98"/>
      <c r="H28" s="98"/>
      <c r="I28" s="98"/>
      <c r="J28" s="98"/>
      <c r="K28" s="98"/>
      <c r="L28" s="98"/>
      <c r="M28" s="98"/>
      <c r="N28" s="98"/>
      <c r="O28" s="98"/>
      <c r="P28" s="122"/>
      <c r="Q28" s="98"/>
      <c r="R28" s="98"/>
      <c r="S28" s="1191"/>
      <c r="T28" s="1191"/>
      <c r="U28" s="1781">
        <f>'1 System specification'!U98</f>
        <v>0</v>
      </c>
      <c r="V28" s="1781"/>
      <c r="W28" s="1781"/>
      <c r="X28" s="136"/>
      <c r="Y28" s="136"/>
      <c r="Z28" s="136"/>
      <c r="AA28" s="136"/>
      <c r="AB28" s="136"/>
      <c r="AC28" s="136"/>
      <c r="AD28" s="136"/>
      <c r="AE28" s="136"/>
      <c r="AF28" s="136"/>
      <c r="AG28" s="136"/>
      <c r="AH28" s="136"/>
      <c r="AI28" s="136"/>
      <c r="AJ28" s="136"/>
      <c r="AK28" s="98"/>
      <c r="AL28" s="98"/>
      <c r="AM28" s="98"/>
      <c r="AN28" s="98"/>
      <c r="AO28" s="98"/>
      <c r="AP28" s="98"/>
      <c r="AQ28" s="1191"/>
      <c r="AR28" s="136"/>
      <c r="AS28" s="136"/>
      <c r="AT28" s="136"/>
      <c r="AU28" s="136"/>
      <c r="AV28" s="136"/>
      <c r="AW28" s="136"/>
      <c r="AX28" s="136"/>
      <c r="AY28" s="136"/>
      <c r="AZ28" s="136"/>
      <c r="BA28" s="136"/>
      <c r="BB28" s="136"/>
      <c r="BC28" s="136"/>
      <c r="BD28" s="640"/>
      <c r="BE28" s="640"/>
      <c r="BF28" s="640"/>
      <c r="BG28" s="640"/>
      <c r="BH28" s="312"/>
      <c r="BI28" s="31"/>
      <c r="BJ28" s="31"/>
      <c r="BP28" s="28" t="s">
        <v>988</v>
      </c>
    </row>
    <row r="29" spans="2:82" s="28" customFormat="1" ht="17.100000000000001" hidden="1" customHeight="1" outlineLevel="1">
      <c r="B29" s="311"/>
      <c r="C29" s="1077"/>
      <c r="D29" s="822" t="s">
        <v>1057</v>
      </c>
      <c r="E29" s="98"/>
      <c r="F29" s="98"/>
      <c r="G29" s="98"/>
      <c r="H29" s="98"/>
      <c r="I29" s="98"/>
      <c r="J29" s="98"/>
      <c r="K29" s="98"/>
      <c r="L29" s="98"/>
      <c r="M29" s="98"/>
      <c r="N29" s="98"/>
      <c r="O29" s="98"/>
      <c r="P29" s="122"/>
      <c r="Q29" s="98"/>
      <c r="R29" s="98"/>
      <c r="S29" s="1073"/>
      <c r="T29" s="1073"/>
      <c r="U29" s="1781">
        <f>'2A Electricity regular'!S99</f>
        <v>2</v>
      </c>
      <c r="V29" s="1781"/>
      <c r="W29" s="1781"/>
      <c r="X29" s="136"/>
      <c r="Y29" s="136"/>
      <c r="Z29" s="136"/>
      <c r="AA29" s="136"/>
      <c r="AB29" s="136"/>
      <c r="AC29" s="136"/>
      <c r="AD29" s="136"/>
      <c r="AE29" s="136"/>
      <c r="AF29" s="136"/>
      <c r="AG29" s="136"/>
      <c r="AH29" s="136"/>
      <c r="AI29" s="136"/>
      <c r="AJ29" s="136"/>
      <c r="AK29" s="98"/>
      <c r="AL29" s="98"/>
      <c r="AM29" s="98"/>
      <c r="AN29" s="98"/>
      <c r="AO29" s="98"/>
      <c r="AP29" s="98"/>
      <c r="AQ29" s="1191"/>
      <c r="AR29" s="136"/>
      <c r="AS29" s="136"/>
      <c r="AT29" s="136"/>
      <c r="AU29" s="136"/>
      <c r="AV29" s="136"/>
      <c r="AW29" s="136"/>
      <c r="AX29" s="136"/>
      <c r="AY29" s="136"/>
      <c r="AZ29" s="136"/>
      <c r="BA29" s="136"/>
      <c r="BB29" s="136"/>
      <c r="BC29" s="136"/>
      <c r="BD29" s="640"/>
      <c r="BE29" s="640"/>
      <c r="BF29" s="640"/>
      <c r="BG29" s="640"/>
      <c r="BH29" s="312"/>
      <c r="BI29" s="31"/>
      <c r="BJ29" s="31"/>
      <c r="BP29" s="28" t="s">
        <v>988</v>
      </c>
    </row>
    <row r="30" spans="2:82" s="28" customFormat="1" ht="17.100000000000001" hidden="1" customHeight="1" outlineLevel="1">
      <c r="B30" s="311"/>
      <c r="C30" s="796"/>
      <c r="D30" s="822" t="s">
        <v>1075</v>
      </c>
      <c r="E30" s="98"/>
      <c r="F30" s="98"/>
      <c r="G30" s="98"/>
      <c r="H30" s="98"/>
      <c r="I30" s="98"/>
      <c r="J30" s="98"/>
      <c r="K30" s="98"/>
      <c r="L30" s="98"/>
      <c r="M30" s="98"/>
      <c r="N30" s="98"/>
      <c r="O30" s="98"/>
      <c r="P30" s="122"/>
      <c r="Q30" s="98"/>
      <c r="R30" s="98"/>
      <c r="S30" s="781"/>
      <c r="T30" s="781"/>
      <c r="U30" s="1781">
        <f>'2A Electricity regular'!S101</f>
        <v>0</v>
      </c>
      <c r="V30" s="1781"/>
      <c r="W30" s="1781"/>
      <c r="X30" s="136"/>
      <c r="Y30" s="136"/>
      <c r="Z30" s="1809">
        <f>'2A Electricity regular'!W101</f>
        <v>0</v>
      </c>
      <c r="AA30" s="1809"/>
      <c r="AB30" s="1809"/>
      <c r="AC30" s="1809"/>
      <c r="AD30" s="1809"/>
      <c r="AE30" s="1809"/>
      <c r="AF30" s="1809"/>
      <c r="AG30" s="1809"/>
      <c r="AH30" s="1809"/>
      <c r="AI30" s="1809"/>
      <c r="AJ30" s="1809"/>
      <c r="AK30" s="98"/>
      <c r="AL30" s="98"/>
      <c r="AM30" s="98"/>
      <c r="AN30" s="98"/>
      <c r="AO30" s="98"/>
      <c r="AP30" s="98"/>
      <c r="AQ30" s="781"/>
      <c r="AR30" s="1809">
        <f>'2A Electricity regular'!AU101</f>
        <v>0</v>
      </c>
      <c r="AS30" s="1809"/>
      <c r="AT30" s="1809"/>
      <c r="AU30" s="1809"/>
      <c r="AV30" s="1809"/>
      <c r="AW30" s="1809"/>
      <c r="AX30" s="1809"/>
      <c r="AY30" s="1809"/>
      <c r="AZ30" s="1809"/>
      <c r="BA30" s="1809"/>
      <c r="BB30" s="1809"/>
      <c r="BC30" s="136"/>
      <c r="BD30" s="640"/>
      <c r="BE30" s="640"/>
      <c r="BF30" s="640"/>
      <c r="BG30" s="640"/>
      <c r="BH30" s="312"/>
      <c r="BI30" s="31"/>
      <c r="BJ30" s="31"/>
      <c r="BP30" s="28" t="s">
        <v>988</v>
      </c>
    </row>
    <row r="31" spans="2:82" s="28" customFormat="1" ht="17.100000000000001" hidden="1" customHeight="1" outlineLevel="1">
      <c r="B31" s="311"/>
      <c r="C31" s="1234"/>
      <c r="D31" s="1242" t="s">
        <v>816</v>
      </c>
      <c r="E31" s="98"/>
      <c r="F31" s="98"/>
      <c r="G31" s="98"/>
      <c r="H31" s="98"/>
      <c r="I31" s="98"/>
      <c r="J31" s="98"/>
      <c r="K31" s="98"/>
      <c r="L31" s="98"/>
      <c r="M31" s="98"/>
      <c r="N31" s="98"/>
      <c r="O31" s="98"/>
      <c r="P31" s="122"/>
      <c r="Q31" s="98"/>
      <c r="R31" s="98"/>
      <c r="S31" s="1232"/>
      <c r="T31" s="1232"/>
      <c r="U31" s="1781"/>
      <c r="V31" s="1781"/>
      <c r="W31" s="1781"/>
      <c r="X31" s="136"/>
      <c r="Y31" s="136"/>
      <c r="Z31" s="1809">
        <f>IF('2A Electricity regular'!W97='2A Electricity regular'!AV446,1,0)</f>
        <v>0</v>
      </c>
      <c r="AA31" s="1809"/>
      <c r="AB31" s="1809"/>
      <c r="AC31" s="1809"/>
      <c r="AD31" s="1809"/>
      <c r="AE31" s="1809"/>
      <c r="AF31" s="1809"/>
      <c r="AG31" s="1809"/>
      <c r="AH31" s="1809"/>
      <c r="AI31" s="1809"/>
      <c r="AJ31" s="1809"/>
      <c r="AK31" s="98"/>
      <c r="AL31" s="98"/>
      <c r="AM31" s="98"/>
      <c r="AN31" s="98"/>
      <c r="AO31" s="98"/>
      <c r="AP31" s="98"/>
      <c r="AQ31" s="1232"/>
      <c r="AR31" s="1668">
        <f>IF('2A Electricity regular'!AU97='2A Electricity regular'!AV446,1,0)</f>
        <v>0</v>
      </c>
      <c r="AS31" s="1472"/>
      <c r="AT31" s="1472"/>
      <c r="AU31" s="1472"/>
      <c r="AV31" s="1472"/>
      <c r="AW31" s="1472"/>
      <c r="AX31" s="1472"/>
      <c r="AY31" s="1472"/>
      <c r="AZ31" s="1472"/>
      <c r="BA31" s="1472"/>
      <c r="BB31" s="1472"/>
      <c r="BC31" s="136"/>
      <c r="BD31" s="640"/>
      <c r="BE31" s="640"/>
      <c r="BF31" s="640"/>
      <c r="BG31" s="640"/>
      <c r="BH31" s="312"/>
      <c r="BI31" s="31"/>
      <c r="BJ31" s="31"/>
    </row>
    <row r="32" spans="2:82" s="28" customFormat="1" ht="17.100000000000001" hidden="1" customHeight="1" outlineLevel="1">
      <c r="B32" s="311"/>
      <c r="C32" s="1234"/>
      <c r="D32" s="1242" t="s">
        <v>1096</v>
      </c>
      <c r="E32" s="98"/>
      <c r="F32" s="98"/>
      <c r="G32" s="98"/>
      <c r="H32" s="98"/>
      <c r="I32" s="98"/>
      <c r="J32" s="98"/>
      <c r="K32" s="98"/>
      <c r="L32" s="98"/>
      <c r="M32" s="98"/>
      <c r="N32" s="98"/>
      <c r="O32" s="98"/>
      <c r="P32" s="122"/>
      <c r="Q32" s="98"/>
      <c r="R32" s="98"/>
      <c r="S32" s="1232"/>
      <c r="T32" s="1232"/>
      <c r="U32" s="1781">
        <f>IF(N47=C201,1,0)</f>
        <v>0</v>
      </c>
      <c r="V32" s="1781"/>
      <c r="W32" s="1781"/>
      <c r="X32" s="136"/>
      <c r="Y32" s="136"/>
      <c r="Z32" s="1809">
        <f>IF(Z33=C209,1,0)</f>
        <v>0</v>
      </c>
      <c r="AA32" s="1809"/>
      <c r="AB32" s="1809"/>
      <c r="AC32" s="1809"/>
      <c r="AD32" s="1809"/>
      <c r="AE32" s="1809"/>
      <c r="AF32" s="1809"/>
      <c r="AG32" s="1809"/>
      <c r="AH32" s="1809"/>
      <c r="AI32" s="1809"/>
      <c r="AJ32" s="1809"/>
      <c r="AK32" s="98"/>
      <c r="AL32" s="98"/>
      <c r="AM32" s="98"/>
      <c r="AN32" s="98"/>
      <c r="AO32" s="98"/>
      <c r="AP32" s="98"/>
      <c r="AQ32" s="1232"/>
      <c r="AR32" s="1668">
        <f>IF(AR33=C209,1,0)</f>
        <v>0</v>
      </c>
      <c r="AS32" s="1472"/>
      <c r="AT32" s="1472"/>
      <c r="AU32" s="1472"/>
      <c r="AV32" s="1472"/>
      <c r="AW32" s="1472"/>
      <c r="AX32" s="1472"/>
      <c r="AY32" s="1472"/>
      <c r="AZ32" s="1472"/>
      <c r="BA32" s="1472"/>
      <c r="BB32" s="1472"/>
      <c r="BC32" s="136"/>
      <c r="BD32" s="640"/>
      <c r="BE32" s="640"/>
      <c r="BF32" s="640"/>
      <c r="BG32" s="640"/>
      <c r="BH32" s="312"/>
      <c r="BI32" s="31"/>
      <c r="BJ32" s="31"/>
    </row>
    <row r="33" spans="2:81" s="28" customFormat="1" ht="17.100000000000001" hidden="1" customHeight="1" outlineLevel="1">
      <c r="B33" s="311"/>
      <c r="C33" s="1282"/>
      <c r="D33" s="1242"/>
      <c r="E33" s="98" t="s">
        <v>1097</v>
      </c>
      <c r="F33" s="98"/>
      <c r="G33" s="98"/>
      <c r="H33" s="98"/>
      <c r="I33" s="98"/>
      <c r="J33" s="98"/>
      <c r="K33" s="98"/>
      <c r="L33" s="98"/>
      <c r="M33" s="98"/>
      <c r="N33" s="98"/>
      <c r="O33" s="98"/>
      <c r="P33" s="122"/>
      <c r="Q33" s="98"/>
      <c r="R33" s="98"/>
      <c r="S33" s="1278"/>
      <c r="T33" s="1278"/>
      <c r="U33" s="1284"/>
      <c r="V33" s="1284"/>
      <c r="W33" s="1284"/>
      <c r="X33" s="136"/>
      <c r="Y33" s="136"/>
      <c r="Z33" s="1813" t="str">
        <f>IF('1 System specification'!S207=0,"--",'1 System specification'!S207)</f>
        <v>--</v>
      </c>
      <c r="AA33" s="1813"/>
      <c r="AB33" s="1813"/>
      <c r="AC33" s="1813"/>
      <c r="AD33" s="1813"/>
      <c r="AE33" s="1813"/>
      <c r="AF33" s="1813"/>
      <c r="AG33" s="1813"/>
      <c r="AH33" s="1813"/>
      <c r="AI33" s="1813"/>
      <c r="AJ33" s="1813"/>
      <c r="AK33" s="98"/>
      <c r="AL33" s="98"/>
      <c r="AM33" s="98"/>
      <c r="AN33" s="98"/>
      <c r="AO33" s="98"/>
      <c r="AP33" s="98"/>
      <c r="AQ33" s="1278"/>
      <c r="AR33" s="1813" t="str">
        <f>IF('1 System specification'!BJ207=0,"--",'1 System specification'!BJ207)</f>
        <v>--</v>
      </c>
      <c r="AS33" s="1813"/>
      <c r="AT33" s="1813"/>
      <c r="AU33" s="1813"/>
      <c r="AV33" s="1813"/>
      <c r="AW33" s="1813"/>
      <c r="AX33" s="1813"/>
      <c r="AY33" s="1813"/>
      <c r="AZ33" s="1813"/>
      <c r="BA33" s="1813"/>
      <c r="BB33" s="1813"/>
      <c r="BC33" s="136"/>
      <c r="BD33" s="640"/>
      <c r="BE33" s="640"/>
      <c r="BF33" s="640"/>
      <c r="BG33" s="640"/>
      <c r="BH33" s="312"/>
      <c r="BI33" s="31"/>
      <c r="BJ33" s="31"/>
    </row>
    <row r="34" spans="2:81" s="28" customFormat="1" ht="17.100000000000001" hidden="1" customHeight="1" outlineLevel="1">
      <c r="B34" s="311"/>
      <c r="C34" s="796"/>
      <c r="D34" s="822" t="s">
        <v>902</v>
      </c>
      <c r="E34" s="98"/>
      <c r="F34" s="98"/>
      <c r="G34" s="98"/>
      <c r="H34" s="98"/>
      <c r="I34" s="98"/>
      <c r="J34" s="98"/>
      <c r="K34" s="98"/>
      <c r="L34" s="98"/>
      <c r="M34" s="98"/>
      <c r="N34" s="98"/>
      <c r="O34" s="98"/>
      <c r="P34" s="122"/>
      <c r="Q34" s="98"/>
      <c r="R34" s="98"/>
      <c r="S34" s="781"/>
      <c r="T34" s="781"/>
      <c r="U34" s="1781">
        <f>IF(N48=C202,1,0)</f>
        <v>0</v>
      </c>
      <c r="V34" s="1781"/>
      <c r="W34" s="1781"/>
      <c r="X34" s="136"/>
      <c r="Y34" s="136"/>
      <c r="Z34" s="1809">
        <f>U34</f>
        <v>0</v>
      </c>
      <c r="AA34" s="1809"/>
      <c r="AB34" s="1809"/>
      <c r="AC34" s="1809"/>
      <c r="AD34" s="1809"/>
      <c r="AE34" s="1809"/>
      <c r="AF34" s="1809"/>
      <c r="AG34" s="1809"/>
      <c r="AH34" s="1809"/>
      <c r="AI34" s="1809"/>
      <c r="AJ34" s="1809"/>
      <c r="AK34" s="98"/>
      <c r="AL34" s="98"/>
      <c r="AM34" s="98"/>
      <c r="AN34" s="98"/>
      <c r="AO34" s="98"/>
      <c r="AP34" s="98"/>
      <c r="AQ34" s="781"/>
      <c r="AR34" s="1668">
        <f>U34</f>
        <v>0</v>
      </c>
      <c r="AS34" s="1472"/>
      <c r="AT34" s="1472"/>
      <c r="AU34" s="1472"/>
      <c r="AV34" s="1472"/>
      <c r="AW34" s="1472"/>
      <c r="AX34" s="1472"/>
      <c r="AY34" s="1472"/>
      <c r="AZ34" s="1472"/>
      <c r="BA34" s="1472"/>
      <c r="BB34" s="1472"/>
      <c r="BC34" s="136"/>
      <c r="BD34" s="640"/>
      <c r="BE34" s="640"/>
      <c r="BF34" s="640"/>
      <c r="BG34" s="640"/>
      <c r="BH34" s="312"/>
      <c r="BI34" s="31"/>
      <c r="BJ34" s="31"/>
      <c r="BP34" s="28" t="s">
        <v>988</v>
      </c>
    </row>
    <row r="35" spans="2:81" s="28" customFormat="1" ht="15.95" hidden="1" customHeight="1" outlineLevel="1">
      <c r="B35" s="311"/>
      <c r="C35" s="796"/>
      <c r="D35" s="822" t="s">
        <v>903</v>
      </c>
      <c r="E35" s="98"/>
      <c r="F35" s="98"/>
      <c r="G35" s="98"/>
      <c r="H35" s="98"/>
      <c r="I35" s="98"/>
      <c r="J35" s="98"/>
      <c r="K35" s="98"/>
      <c r="L35" s="98"/>
      <c r="M35" s="98"/>
      <c r="N35" s="98"/>
      <c r="O35" s="98"/>
      <c r="P35" s="122"/>
      <c r="Q35" s="98"/>
      <c r="R35" s="98"/>
      <c r="S35" s="781"/>
      <c r="T35" s="781"/>
      <c r="U35" s="1781">
        <f>U30-U34</f>
        <v>0</v>
      </c>
      <c r="V35" s="1781"/>
      <c r="W35" s="1781"/>
      <c r="X35" s="136"/>
      <c r="Y35" s="136"/>
      <c r="Z35" s="1809">
        <f>Z30-Z34</f>
        <v>0</v>
      </c>
      <c r="AA35" s="1809"/>
      <c r="AB35" s="1809"/>
      <c r="AC35" s="1809"/>
      <c r="AD35" s="1809"/>
      <c r="AE35" s="1809"/>
      <c r="AF35" s="1809"/>
      <c r="AG35" s="1809"/>
      <c r="AH35" s="1809"/>
      <c r="AI35" s="1809"/>
      <c r="AJ35" s="1809"/>
      <c r="AK35" s="98"/>
      <c r="AL35" s="98"/>
      <c r="AM35" s="98"/>
      <c r="AN35" s="98"/>
      <c r="AO35" s="98"/>
      <c r="AP35" s="98"/>
      <c r="AQ35" s="781"/>
      <c r="AR35" s="1809">
        <f>AR30-AR34</f>
        <v>0</v>
      </c>
      <c r="AS35" s="1809"/>
      <c r="AT35" s="1809"/>
      <c r="AU35" s="1809"/>
      <c r="AV35" s="1809"/>
      <c r="AW35" s="1809"/>
      <c r="AX35" s="1809"/>
      <c r="AY35" s="1809"/>
      <c r="AZ35" s="1809"/>
      <c r="BA35" s="1809"/>
      <c r="BB35" s="1809"/>
      <c r="BC35" s="136"/>
      <c r="BD35" s="640"/>
      <c r="BE35" s="640"/>
      <c r="BF35" s="640"/>
      <c r="BG35" s="640"/>
      <c r="BH35" s="312"/>
      <c r="BI35" s="31"/>
      <c r="BJ35" s="31"/>
      <c r="BP35" s="28" t="s">
        <v>988</v>
      </c>
    </row>
    <row r="36" spans="2:81" ht="3.95" hidden="1" customHeight="1" outlineLevel="1">
      <c r="B36" s="311"/>
      <c r="C36" s="477"/>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92"/>
      <c r="AK36" s="52"/>
      <c r="AL36" s="93"/>
      <c r="AM36" s="52"/>
      <c r="AN36" s="52"/>
      <c r="AO36" s="52"/>
      <c r="AP36" s="52"/>
      <c r="AQ36" s="52"/>
      <c r="AR36" s="52"/>
      <c r="AS36" s="52"/>
      <c r="AT36" s="52"/>
      <c r="AU36" s="52"/>
      <c r="AV36" s="52"/>
      <c r="AW36" s="52"/>
      <c r="AX36" s="52"/>
      <c r="AY36" s="52"/>
      <c r="AZ36" s="52"/>
      <c r="BA36" s="52"/>
      <c r="BB36" s="92"/>
      <c r="BC36" s="52"/>
      <c r="BD36" s="93"/>
      <c r="BE36" s="52"/>
      <c r="BF36" s="52"/>
      <c r="BG36" s="52"/>
      <c r="BH36" s="312"/>
      <c r="BU36" s="531"/>
      <c r="BV36" s="531"/>
      <c r="BW36" s="531"/>
      <c r="BX36" s="531"/>
      <c r="BY36" s="28"/>
      <c r="BZ36" s="489"/>
      <c r="CA36" s="28"/>
      <c r="CB36" s="28"/>
      <c r="CC36" s="28"/>
    </row>
    <row r="37" spans="2:81" s="28" customFormat="1" ht="17.100000000000001" customHeight="1" collapsed="1">
      <c r="B37" s="316"/>
      <c r="C37" s="816" t="str">
        <f>X!$C$128</f>
        <v>Investitionskosten</v>
      </c>
      <c r="D37" s="55"/>
      <c r="E37" s="55"/>
      <c r="F37" s="55"/>
      <c r="G37" s="55"/>
      <c r="H37" s="55"/>
      <c r="I37" s="55"/>
      <c r="J37" s="55"/>
      <c r="K37" s="55"/>
      <c r="L37" s="55"/>
      <c r="M37" s="55"/>
      <c r="N37" s="55"/>
      <c r="O37" s="55"/>
      <c r="P37" s="55"/>
      <c r="Q37" s="55"/>
      <c r="R37" s="55" t="s">
        <v>232</v>
      </c>
      <c r="S37" s="55"/>
      <c r="T37" s="55"/>
      <c r="U37" s="55"/>
      <c r="V37" s="55"/>
      <c r="W37" s="55"/>
      <c r="X37" s="55"/>
      <c r="Y37" s="55"/>
      <c r="Z37" s="1810"/>
      <c r="AA37" s="1810"/>
      <c r="AB37" s="1810"/>
      <c r="AC37" s="1810"/>
      <c r="AD37" s="1810"/>
      <c r="AE37" s="1810"/>
      <c r="AF37" s="1810"/>
      <c r="AG37" s="1810"/>
      <c r="AH37" s="1810"/>
      <c r="AI37" s="1810"/>
      <c r="AJ37" s="1811"/>
      <c r="AK37" s="55"/>
      <c r="AL37" s="591" t="s">
        <v>292</v>
      </c>
      <c r="AM37" s="591" t="s">
        <v>292</v>
      </c>
      <c r="AN37" s="591" t="s">
        <v>292</v>
      </c>
      <c r="AO37" s="55"/>
      <c r="AP37" s="55"/>
      <c r="AQ37" s="55"/>
      <c r="AR37" s="1810"/>
      <c r="AS37" s="1810"/>
      <c r="AT37" s="1810"/>
      <c r="AU37" s="1810"/>
      <c r="AV37" s="1810"/>
      <c r="AW37" s="1810"/>
      <c r="AX37" s="1810"/>
      <c r="AY37" s="1810"/>
      <c r="AZ37" s="1810"/>
      <c r="BA37" s="1810"/>
      <c r="BB37" s="1811"/>
      <c r="BC37" s="52"/>
      <c r="BD37" s="93"/>
      <c r="BE37" s="52"/>
      <c r="BF37" s="52"/>
      <c r="BG37" s="52"/>
      <c r="BH37" s="312"/>
      <c r="BI37" s="31"/>
      <c r="BJ37" s="31"/>
      <c r="BU37" s="531"/>
      <c r="BV37" s="531">
        <f>LEN(CA37)</f>
        <v>185</v>
      </c>
      <c r="BW37" s="531"/>
      <c r="BX37" s="531"/>
      <c r="BZ37" s="489" t="s">
        <v>440</v>
      </c>
      <c r="CA37" s="28" t="str">
        <f>X!E442</f>
        <v>Gesamte Investitionskosten (inkl. Free-Cooling oder WRG). Für Vergleiche einer bestehenden Anlage mit einer neuen Anlage, muss für die bestehende Anlage der Werte 1 CHF eingeben werden.</v>
      </c>
      <c r="CB37" s="28" t="str">
        <f>X!F442</f>
        <v>Coûts d'investissement totaux (y compris le free cooling ou WRG). Pour comparer une installation existante avec une nouvelle installation, il faut saisir la valeur 1 CHF pour l'installation existante.</v>
      </c>
      <c r="CC37" s="28" t="str">
        <f>X!G442</f>
        <v>Totale dei costi di investimento (compreso il free cooling o WRG). Per confrontare un impianto esistente con un nuovo impianto, è necessario inserire il valore 1 CHF per l'impianto esistente.</v>
      </c>
    </row>
    <row r="38" spans="2:81" s="28" customFormat="1" ht="6" customHeight="1">
      <c r="B38" s="316"/>
      <c r="C38" s="817"/>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120"/>
      <c r="AM38" s="55"/>
      <c r="AN38" s="55"/>
      <c r="AO38" s="55"/>
      <c r="AP38" s="55"/>
      <c r="AQ38" s="55"/>
      <c r="AR38" s="55"/>
      <c r="AS38" s="55"/>
      <c r="AT38" s="55"/>
      <c r="AU38" s="55"/>
      <c r="AV38" s="55"/>
      <c r="AW38" s="55"/>
      <c r="AX38" s="55"/>
      <c r="AY38" s="55"/>
      <c r="AZ38" s="55"/>
      <c r="BA38" s="55"/>
      <c r="BB38" s="55"/>
      <c r="BC38" s="55"/>
      <c r="BD38" s="120"/>
      <c r="BE38" s="55"/>
      <c r="BF38" s="55"/>
      <c r="BG38" s="55"/>
      <c r="BH38" s="317"/>
      <c r="BU38" s="531"/>
      <c r="BV38" s="531"/>
      <c r="BW38" s="531"/>
      <c r="BX38" s="531"/>
      <c r="BZ38" s="489"/>
    </row>
    <row r="39" spans="2:81" s="28" customFormat="1" ht="17.100000000000001" customHeight="1">
      <c r="B39" s="316"/>
      <c r="C39" s="816" t="str">
        <f>X!$C$219</f>
        <v>Strompreis</v>
      </c>
      <c r="D39" s="55"/>
      <c r="E39" s="55"/>
      <c r="F39" s="55"/>
      <c r="G39" s="55"/>
      <c r="H39" s="55"/>
      <c r="I39" s="55"/>
      <c r="J39" s="55"/>
      <c r="K39" s="55"/>
      <c r="L39" s="55"/>
      <c r="M39" s="55"/>
      <c r="N39" s="1792"/>
      <c r="O39" s="1792"/>
      <c r="P39" s="1793"/>
      <c r="Q39" s="55"/>
      <c r="R39" s="55" t="str">
        <f>X!C294</f>
        <v>Rp./kWh</v>
      </c>
      <c r="S39" s="55"/>
      <c r="T39" s="55"/>
      <c r="U39" s="591" t="s">
        <v>292</v>
      </c>
      <c r="V39" s="591" t="s">
        <v>292</v>
      </c>
      <c r="W39" s="591" t="s">
        <v>292</v>
      </c>
      <c r="X39" s="55"/>
      <c r="Y39" s="55"/>
      <c r="Z39" s="1812">
        <f>N39</f>
        <v>0</v>
      </c>
      <c r="AA39" s="1812"/>
      <c r="AB39" s="1812"/>
      <c r="AC39" s="1812"/>
      <c r="AD39" s="1812"/>
      <c r="AE39" s="1812"/>
      <c r="AF39" s="1812"/>
      <c r="AG39" s="1812"/>
      <c r="AH39" s="1812"/>
      <c r="AI39" s="1812"/>
      <c r="AJ39" s="1812"/>
      <c r="AK39" s="55"/>
      <c r="AO39" s="55"/>
      <c r="AP39" s="55"/>
      <c r="AQ39" s="55"/>
      <c r="AR39" s="1812">
        <f>N39</f>
        <v>0</v>
      </c>
      <c r="AS39" s="1812"/>
      <c r="AT39" s="1812"/>
      <c r="AU39" s="1812"/>
      <c r="AV39" s="1812"/>
      <c r="AW39" s="1812"/>
      <c r="AX39" s="1812"/>
      <c r="AY39" s="1812"/>
      <c r="AZ39" s="1812"/>
      <c r="BA39" s="1812"/>
      <c r="BB39" s="1812"/>
      <c r="BC39" s="55"/>
      <c r="BD39" s="120"/>
      <c r="BE39" s="55"/>
      <c r="BF39" s="55"/>
      <c r="BG39" s="55"/>
      <c r="BH39" s="317"/>
      <c r="BM39" s="760" t="s">
        <v>881</v>
      </c>
      <c r="BU39" s="531"/>
      <c r="BV39" s="531">
        <f>LEN(CA39)</f>
        <v>233</v>
      </c>
      <c r="BW39" s="531"/>
      <c r="BX39" s="531"/>
      <c r="BZ39" s="489" t="s">
        <v>441</v>
      </c>
      <c r="CA39" s="28" t="str">
        <f>X!E443</f>
        <v>Falls der Strompreis nicht bekannt ist, kann dieser auf der Webseite der ELOCM (www.strompreis.elcom.admin.ch) nachgeschlagen werden. Achtung: Der Strompreis hier und der gewählte Strom-Mix der TEWI-Berechnung müssen korrespondieren.</v>
      </c>
      <c r="CB39" s="28" t="str">
        <f>X!F443</f>
        <v>Si le prix de l'électricité n'est pas connu, il est possible de le consulter sur le site de l'ELOCM (www.strompreis.elcom.admin.ch). Attention: le prix de l'électricité ici et le bouquet électrique sélectionné dans le calcul TEWI doivent concorder.</v>
      </c>
      <c r="CC39" s="28" t="str">
        <f>X!G443</f>
        <v>Se non si conosce il prezzo dell'elettricità è possibile consultarlo sul sito web dell'ELCOM (www.strompreis.elcom.admin.ch). Attenzione: Il prezzo dell'elettricità qui e il misto energetico selezionato nel calcolo TEWI devono corrispondere.</v>
      </c>
    </row>
    <row r="40" spans="2:81" s="28" customFormat="1" ht="15.95" customHeight="1">
      <c r="B40" s="316"/>
      <c r="C40" s="817"/>
      <c r="D40" s="640"/>
      <c r="E40" s="640"/>
      <c r="F40" s="640"/>
      <c r="G40" s="640"/>
      <c r="H40" s="640"/>
      <c r="I40" s="640"/>
      <c r="J40" s="640"/>
      <c r="K40" s="640"/>
      <c r="L40" s="640"/>
      <c r="M40" s="640"/>
      <c r="N40" s="640"/>
      <c r="O40" s="640"/>
      <c r="P40" s="640"/>
      <c r="Q40" s="640"/>
      <c r="R40" s="640"/>
      <c r="S40" s="640"/>
      <c r="T40" s="640"/>
      <c r="U40" s="640"/>
      <c r="V40" s="640"/>
      <c r="W40" s="313"/>
      <c r="X40" s="313"/>
      <c r="Y40" s="640"/>
      <c r="Z40" s="640"/>
      <c r="AA40" s="640"/>
      <c r="AB40" s="640"/>
      <c r="AC40" s="640"/>
      <c r="AD40" s="640"/>
      <c r="AE40" s="640"/>
      <c r="AF40" s="640"/>
      <c r="AG40" s="640"/>
      <c r="AH40" s="640"/>
      <c r="AI40" s="640"/>
      <c r="AJ40" s="640"/>
      <c r="AK40" s="120"/>
      <c r="AL40" s="591" t="s">
        <v>292</v>
      </c>
      <c r="AM40" s="591" t="s">
        <v>292</v>
      </c>
      <c r="AN40" s="591" t="s">
        <v>292</v>
      </c>
      <c r="AO40" s="640"/>
      <c r="AP40" s="640"/>
      <c r="AQ40" s="640"/>
      <c r="AR40" s="640"/>
      <c r="AS40" s="640"/>
      <c r="AT40" s="640"/>
      <c r="AU40" s="640"/>
      <c r="AV40" s="640"/>
      <c r="AW40" s="640"/>
      <c r="AX40" s="640"/>
      <c r="AY40" s="640"/>
      <c r="AZ40" s="640"/>
      <c r="BA40" s="640"/>
      <c r="BB40" s="640"/>
      <c r="BC40" s="640"/>
      <c r="BD40" s="120"/>
      <c r="BE40" s="640"/>
      <c r="BF40" s="640"/>
      <c r="BG40" s="640"/>
      <c r="BH40" s="317"/>
    </row>
    <row r="41" spans="2:81" s="28" customFormat="1" ht="14.1" customHeight="1">
      <c r="B41" s="316"/>
      <c r="C41" s="818" t="str">
        <f>CONCATENATE(X!$C$238," (",X!$C$87,")")</f>
        <v>Unterhaltskosten (Eingabe fakultativ)</v>
      </c>
      <c r="E41" s="55"/>
      <c r="F41" s="55"/>
      <c r="G41" s="55"/>
      <c r="H41" s="55"/>
      <c r="I41" s="55"/>
      <c r="J41" s="55"/>
      <c r="K41" s="55"/>
      <c r="L41" s="55"/>
      <c r="M41" s="55"/>
      <c r="N41" s="55"/>
      <c r="O41" s="55"/>
      <c r="P41" s="55"/>
      <c r="Q41" s="55"/>
      <c r="R41" s="55"/>
      <c r="S41" s="55"/>
      <c r="T41" s="55"/>
      <c r="U41" s="55"/>
      <c r="V41" s="55"/>
      <c r="W41" s="55"/>
      <c r="X41" s="55"/>
      <c r="Y41" s="55"/>
      <c r="Z41" s="1483" t="str">
        <f>CONCATENATE(X!C310,": ",Z33)</f>
        <v>Rückkühler: --</v>
      </c>
      <c r="AA41" s="1483"/>
      <c r="AB41" s="1483"/>
      <c r="AC41" s="1483"/>
      <c r="AD41" s="1483"/>
      <c r="AE41" s="1483"/>
      <c r="AF41" s="1483"/>
      <c r="AG41" s="1483"/>
      <c r="AH41" s="1483"/>
      <c r="AI41" s="1483"/>
      <c r="AJ41" s="1483"/>
      <c r="AK41" s="55"/>
      <c r="AL41" s="591" t="s">
        <v>292</v>
      </c>
      <c r="AM41" s="591" t="s">
        <v>292</v>
      </c>
      <c r="AN41" s="591" t="s">
        <v>292</v>
      </c>
      <c r="AO41" s="55"/>
      <c r="AP41" s="55"/>
      <c r="AQ41" s="55"/>
      <c r="AR41" s="1483" t="str">
        <f>CONCATENATE(X!C310,": ",AR33)</f>
        <v>Rückkühler: --</v>
      </c>
      <c r="AS41" s="1483"/>
      <c r="AT41" s="1483"/>
      <c r="AU41" s="1483"/>
      <c r="AV41" s="1483"/>
      <c r="AW41" s="1483"/>
      <c r="AX41" s="1483"/>
      <c r="AY41" s="1483"/>
      <c r="AZ41" s="1483"/>
      <c r="BA41" s="1483"/>
      <c r="BB41" s="1483"/>
      <c r="BC41" s="55"/>
      <c r="BD41" s="120"/>
      <c r="BE41" s="55"/>
      <c r="BF41" s="55"/>
      <c r="BG41" s="55"/>
      <c r="BH41" s="317"/>
      <c r="BU41" s="589"/>
      <c r="BV41" s="531">
        <f>LEN(CA41)</f>
        <v>198</v>
      </c>
      <c r="BW41" s="531"/>
      <c r="BX41" s="531"/>
      <c r="BY41" s="590"/>
      <c r="BZ41" s="588" t="s">
        <v>443</v>
      </c>
      <c r="CA41" s="590" t="str">
        <f>X!E445</f>
        <v>Die Standard Unterhalts- und Betriebskosten werden wie folgt berechnet: 1'000.- Grundpauschale + 3% der Investitionskosten (bis 200'000 CHF), für teurere Anlagen werden darüber noch 2% eingerechnet.</v>
      </c>
      <c r="CB41" s="590" t="str">
        <f>X!F445</f>
        <v>Les coûts d'entretien et d'exploitation standard sont calculés comme suit: 1 000.- forfait de base + 3% des coûts d'investissement (jusqu'à 200 000 CHF) pour les installations plus chères, ce montant est majoré de 2%.</v>
      </c>
      <c r="CC41" s="590" t="str">
        <f>X!G445</f>
        <v>I costi di manutenzione e d'esercizio standard vengono calcolati come segue: 1'000.- base forfetaria + 3% dei costi d'investimento (fino a 200'000 CHF), per gli impianti più costosi si calcola ancora il 2%.</v>
      </c>
    </row>
    <row r="42" spans="2:81" s="28" customFormat="1" ht="3.95" customHeight="1">
      <c r="B42" s="316"/>
      <c r="D42" s="1272"/>
      <c r="E42" s="55"/>
      <c r="F42" s="55"/>
      <c r="G42" s="55"/>
      <c r="H42" s="55"/>
      <c r="I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O42" s="55"/>
      <c r="AP42" s="55"/>
      <c r="AQ42" s="55"/>
      <c r="AR42" s="55"/>
      <c r="AS42" s="55"/>
      <c r="AT42" s="55"/>
      <c r="AU42" s="55"/>
      <c r="AV42" s="55"/>
      <c r="AW42" s="55"/>
      <c r="AX42" s="55"/>
      <c r="AY42" s="55"/>
      <c r="AZ42" s="55"/>
      <c r="BA42" s="55"/>
      <c r="BB42" s="55"/>
      <c r="BC42" s="55"/>
      <c r="BD42" s="120"/>
      <c r="BE42" s="55"/>
      <c r="BF42" s="55"/>
      <c r="BG42" s="55"/>
      <c r="BH42" s="317"/>
      <c r="BU42" s="589"/>
      <c r="BV42" s="531">
        <f>LEN(CA42)</f>
        <v>242</v>
      </c>
      <c r="BW42" s="531"/>
      <c r="BX42" s="531"/>
      <c r="BY42" s="590"/>
      <c r="BZ42" s="588" t="s">
        <v>442</v>
      </c>
      <c r="CA42" s="590" t="str">
        <f>X!E444</f>
        <v>Ohne Eingabe werden Standard Unterhalts- und Betriebskosten abgeschätzt. Die Annahmen bezieht sich auf eine durchschnittliche Kälteanlage. Schlecht unterhaltene Anlagen können mehr, qualitativ gut verarbeitete Anlagen weniger UBK verursachen.</v>
      </c>
      <c r="CB42" s="590" t="str">
        <f>X!F444</f>
        <v>Sans saisie, les CEE sont estimés. Les suppositions se rapportent à une installation frigorifique moyenne. Les installations mal entretenues peuvent causer plus de CEE et les installations de bonne qualité moins de CEE.</v>
      </c>
      <c r="CC42" s="590" t="str">
        <f>X!G444</f>
        <v>In assenza di questi dati saranno stimati i costi di manutenzione ed esercizio standard. L'ipotesi si riferisce a un impianto di refrigerazione medio. Gli impianti con pessima manutenzione possono causare più UBK, gli impianti ben curati meno SME.</v>
      </c>
    </row>
    <row r="43" spans="2:81" s="28" customFormat="1" ht="17.100000000000001" customHeight="1">
      <c r="B43" s="316"/>
      <c r="C43" s="489"/>
      <c r="D43" s="55" t="s">
        <v>183</v>
      </c>
      <c r="E43" s="566" t="str">
        <f>X!$C$194</f>
        <v>Präventiv-Wartung ohne Material</v>
      </c>
      <c r="F43" s="55"/>
      <c r="G43" s="55"/>
      <c r="H43" s="55"/>
      <c r="I43" s="55"/>
      <c r="J43" s="55"/>
      <c r="K43" s="55"/>
      <c r="L43" s="55"/>
      <c r="M43" s="55"/>
      <c r="N43" s="55"/>
      <c r="O43" s="55"/>
      <c r="P43" s="55"/>
      <c r="Q43" s="55"/>
      <c r="R43" s="55" t="s">
        <v>48</v>
      </c>
      <c r="S43" s="55"/>
      <c r="T43" s="55"/>
      <c r="U43" s="55"/>
      <c r="V43" s="55"/>
      <c r="W43" s="55"/>
      <c r="X43" s="55"/>
      <c r="Y43" s="55"/>
      <c r="Z43" s="1794"/>
      <c r="AA43" s="1794"/>
      <c r="AB43" s="1794"/>
      <c r="AC43" s="1794"/>
      <c r="AD43" s="1794"/>
      <c r="AE43" s="1794"/>
      <c r="AF43" s="1794"/>
      <c r="AG43" s="1794"/>
      <c r="AH43" s="1794"/>
      <c r="AI43" s="1794"/>
      <c r="AJ43" s="1795"/>
      <c r="AK43" s="55"/>
      <c r="AL43" s="591" t="s">
        <v>292</v>
      </c>
      <c r="AM43" s="591" t="s">
        <v>292</v>
      </c>
      <c r="AN43" s="591" t="s">
        <v>292</v>
      </c>
      <c r="AO43" s="55"/>
      <c r="AP43" s="55"/>
      <c r="AQ43" s="55"/>
      <c r="AR43" s="1794"/>
      <c r="AS43" s="1794"/>
      <c r="AT43" s="1794"/>
      <c r="AU43" s="1794"/>
      <c r="AV43" s="1794"/>
      <c r="AW43" s="1794"/>
      <c r="AX43" s="1794"/>
      <c r="AY43" s="1794"/>
      <c r="AZ43" s="1794"/>
      <c r="BA43" s="1794"/>
      <c r="BB43" s="1795"/>
      <c r="BC43" s="55"/>
      <c r="BD43" s="120"/>
      <c r="BE43" s="55"/>
      <c r="BF43" s="55"/>
      <c r="BG43" s="55"/>
      <c r="BH43" s="317"/>
      <c r="BU43" s="589"/>
      <c r="BV43" s="531">
        <f>LEN(CA43)</f>
        <v>162</v>
      </c>
      <c r="BW43" s="531"/>
      <c r="BX43" s="531"/>
      <c r="BY43" s="590"/>
      <c r="BZ43" s="588" t="s">
        <v>444</v>
      </c>
      <c r="CA43" s="590" t="str">
        <f>X!E446</f>
        <v>Kosten von Standard-Wartungsverträgen ohne Material (Präventivservice. Das Programm rechnet für das Material einen prozentualen Anteil der Investitionskosten ein.</v>
      </c>
      <c r="CB43" s="590" t="str">
        <f>X!F446</f>
        <v>Coûts des contrats d'entretien standard sans matériel (S.A.V. préventif. Le programme intègre un prorata des coûts d'investissement pour le matériel.</v>
      </c>
      <c r="CC43" s="590" t="str">
        <f>X!G446</f>
        <v>Costi per i contratti di manutenzione standard senza materiale (preventivo del servizio). Il programma calcola per il materiale una quota percentuale dei costi d'investimento.</v>
      </c>
    </row>
    <row r="44" spans="2:81" s="28" customFormat="1" ht="6" customHeight="1">
      <c r="B44" s="316"/>
      <c r="C44" s="817"/>
      <c r="D44" s="640"/>
      <c r="E44" s="640"/>
      <c r="F44" s="640"/>
      <c r="G44" s="640"/>
      <c r="H44" s="640"/>
      <c r="I44" s="640"/>
      <c r="J44" s="640"/>
      <c r="K44" s="640"/>
      <c r="L44" s="640"/>
      <c r="M44" s="640"/>
      <c r="N44" s="640"/>
      <c r="O44" s="640"/>
      <c r="P44" s="640"/>
      <c r="Q44" s="640"/>
      <c r="R44" s="640"/>
      <c r="S44" s="640"/>
      <c r="T44" s="640"/>
      <c r="U44" s="640"/>
      <c r="V44" s="640"/>
      <c r="W44" s="313"/>
      <c r="X44" s="313"/>
      <c r="Y44" s="640"/>
      <c r="Z44" s="640"/>
      <c r="AA44" s="640"/>
      <c r="AB44" s="640"/>
      <c r="AC44" s="640"/>
      <c r="AD44" s="640"/>
      <c r="AE44" s="640"/>
      <c r="AF44" s="640"/>
      <c r="AG44" s="640"/>
      <c r="AH44" s="640"/>
      <c r="AI44" s="640"/>
      <c r="AJ44" s="640"/>
      <c r="AK44" s="120"/>
      <c r="AL44" s="120"/>
      <c r="AM44" s="120"/>
      <c r="AN44" s="640"/>
      <c r="AO44" s="640"/>
      <c r="AP44" s="640"/>
      <c r="AQ44" s="640"/>
      <c r="AR44" s="640"/>
      <c r="AS44" s="640"/>
      <c r="AT44" s="640"/>
      <c r="AU44" s="640"/>
      <c r="AV44" s="640"/>
      <c r="AW44" s="640"/>
      <c r="AX44" s="640"/>
      <c r="AY44" s="640"/>
      <c r="AZ44" s="640"/>
      <c r="BA44" s="640"/>
      <c r="BB44" s="640"/>
      <c r="BC44" s="640"/>
      <c r="BD44" s="120"/>
      <c r="BE44" s="640"/>
      <c r="BF44" s="640"/>
      <c r="BG44" s="640"/>
      <c r="BH44" s="317"/>
    </row>
    <row r="45" spans="2:81" s="28" customFormat="1" ht="17.100000000000001" customHeight="1">
      <c r="B45" s="316"/>
      <c r="C45" s="489"/>
      <c r="D45" s="55" t="s">
        <v>309</v>
      </c>
      <c r="E45" s="566" t="str">
        <f>X!$C$262</f>
        <v>Vollservice (inkl. Material)</v>
      </c>
      <c r="F45" s="55"/>
      <c r="G45" s="55"/>
      <c r="H45" s="55"/>
      <c r="I45" s="55"/>
      <c r="J45" s="55"/>
      <c r="K45" s="55"/>
      <c r="L45" s="55"/>
      <c r="M45" s="55"/>
      <c r="N45" s="55"/>
      <c r="O45" s="55"/>
      <c r="P45" s="55"/>
      <c r="Q45" s="55"/>
      <c r="R45" s="55" t="s">
        <v>48</v>
      </c>
      <c r="S45" s="55"/>
      <c r="T45" s="55"/>
      <c r="U45" s="55"/>
      <c r="V45" s="55"/>
      <c r="W45" s="55"/>
      <c r="X45" s="55"/>
      <c r="Y45" s="55"/>
      <c r="Z45" s="1794"/>
      <c r="AA45" s="1794"/>
      <c r="AB45" s="1794"/>
      <c r="AC45" s="1794"/>
      <c r="AD45" s="1794"/>
      <c r="AE45" s="1794"/>
      <c r="AF45" s="1794"/>
      <c r="AG45" s="1794"/>
      <c r="AH45" s="1794"/>
      <c r="AI45" s="1794"/>
      <c r="AJ45" s="1795"/>
      <c r="AK45" s="55"/>
      <c r="AL45" s="591" t="s">
        <v>292</v>
      </c>
      <c r="AM45" s="591" t="s">
        <v>292</v>
      </c>
      <c r="AN45" s="591" t="s">
        <v>292</v>
      </c>
      <c r="AO45" s="55"/>
      <c r="AP45" s="55"/>
      <c r="AQ45" s="55"/>
      <c r="AR45" s="1794"/>
      <c r="AS45" s="1794"/>
      <c r="AT45" s="1794"/>
      <c r="AU45" s="1794"/>
      <c r="AV45" s="1794"/>
      <c r="AW45" s="1794"/>
      <c r="AX45" s="1794"/>
      <c r="AY45" s="1794"/>
      <c r="AZ45" s="1794"/>
      <c r="BA45" s="1794"/>
      <c r="BB45" s="1795"/>
      <c r="BC45" s="55"/>
      <c r="BD45" s="120"/>
      <c r="BE45" s="55"/>
      <c r="BF45" s="55"/>
      <c r="BG45" s="55"/>
      <c r="BH45" s="317"/>
      <c r="BU45" s="531"/>
      <c r="BV45" s="531">
        <f>LEN(CA45)</f>
        <v>64</v>
      </c>
      <c r="BW45" s="531"/>
      <c r="BX45" s="531"/>
      <c r="BZ45" s="489" t="s">
        <v>445</v>
      </c>
      <c r="CA45" s="28" t="str">
        <f>X!E447</f>
        <v xml:space="preserve">Im Vollservice sind alle Arbeiten und alles Material enthalten. </v>
      </c>
      <c r="CB45" s="28" t="str">
        <f>X!F447</f>
        <v xml:space="preserve">Dans le contrat d'entretien complet, tous les travaux et matériels sont compris. </v>
      </c>
      <c r="CC45" s="28" t="str">
        <f>X!G447</f>
        <v xml:space="preserve">In pieno servizio sono inclusi tutti gli interventi e tutto il materiale. </v>
      </c>
    </row>
    <row r="46" spans="2:81" s="28" customFormat="1" ht="17.100000000000001" customHeight="1">
      <c r="B46" s="316"/>
      <c r="C46" s="853"/>
      <c r="D46" s="640"/>
      <c r="E46" s="622"/>
      <c r="F46" s="640"/>
      <c r="G46" s="640"/>
      <c r="H46" s="640"/>
      <c r="I46" s="640"/>
      <c r="J46" s="640"/>
      <c r="K46" s="640"/>
      <c r="L46" s="640"/>
      <c r="M46" s="640"/>
      <c r="N46" s="640"/>
      <c r="O46" s="640"/>
      <c r="P46" s="640"/>
      <c r="Q46" s="640"/>
      <c r="R46" s="640"/>
      <c r="S46" s="640"/>
      <c r="T46" s="640"/>
      <c r="U46" s="640"/>
      <c r="V46" s="640"/>
      <c r="W46" s="640"/>
      <c r="X46" s="640"/>
      <c r="Y46" s="640"/>
      <c r="Z46" s="1216"/>
      <c r="AA46" s="1216"/>
      <c r="AB46" s="1216"/>
      <c r="AC46" s="1216"/>
      <c r="AD46" s="1216"/>
      <c r="AE46" s="1216"/>
      <c r="AF46" s="1216"/>
      <c r="AG46" s="1216"/>
      <c r="AH46" s="1216"/>
      <c r="AI46" s="1216"/>
      <c r="AJ46" s="1216"/>
      <c r="AK46" s="640"/>
      <c r="AL46" s="640"/>
      <c r="AM46" s="640"/>
      <c r="AN46" s="640"/>
      <c r="AO46" s="640"/>
      <c r="AP46" s="640"/>
      <c r="AQ46" s="640"/>
      <c r="AR46" s="1216"/>
      <c r="AS46" s="1216"/>
      <c r="AT46" s="1216"/>
      <c r="AU46" s="1216"/>
      <c r="AV46" s="1216"/>
      <c r="AW46" s="1216"/>
      <c r="AX46" s="1216"/>
      <c r="AY46" s="1216"/>
      <c r="AZ46" s="1216"/>
      <c r="BA46" s="1216"/>
      <c r="BB46" s="1216"/>
      <c r="BC46" s="640"/>
      <c r="BD46" s="120"/>
      <c r="BE46" s="640"/>
      <c r="BF46" s="640"/>
      <c r="BG46" s="640"/>
      <c r="BH46" s="317"/>
      <c r="BU46" s="854"/>
      <c r="BV46" s="854"/>
      <c r="BW46" s="854"/>
      <c r="BX46" s="854"/>
      <c r="BZ46" s="853"/>
    </row>
    <row r="47" spans="2:81" s="28" customFormat="1" ht="17.100000000000001" customHeight="1">
      <c r="B47" s="316"/>
      <c r="C47" s="859" t="str">
        <f>CONCATENATE(D48," (",N48,")")</f>
        <v>Energiepreis Wärme ()</v>
      </c>
      <c r="D47" s="640"/>
      <c r="E47" s="622"/>
      <c r="F47" s="640"/>
      <c r="G47" s="640"/>
      <c r="H47" s="640"/>
      <c r="I47" s="640"/>
      <c r="J47" s="640"/>
      <c r="K47" s="640"/>
      <c r="L47" s="640"/>
      <c r="M47" s="640"/>
      <c r="N47" s="640"/>
      <c r="O47" s="640"/>
      <c r="P47" s="640"/>
      <c r="Q47" s="640"/>
      <c r="R47" s="640"/>
      <c r="S47" s="640"/>
      <c r="T47" s="640"/>
      <c r="U47" s="640"/>
      <c r="V47" s="640"/>
      <c r="W47" s="640"/>
      <c r="X47" s="640"/>
      <c r="Y47" s="640"/>
      <c r="Z47" s="1216"/>
      <c r="AA47" s="1216"/>
      <c r="AB47" s="1216"/>
      <c r="AC47" s="1216"/>
      <c r="AD47" s="1216"/>
      <c r="AE47" s="1216"/>
      <c r="AF47" s="1216"/>
      <c r="AG47" s="1216"/>
      <c r="AH47" s="1216"/>
      <c r="AI47" s="1216"/>
      <c r="AJ47" s="1216"/>
      <c r="AK47" s="640"/>
      <c r="AL47" s="640"/>
      <c r="AM47" s="640"/>
      <c r="AN47" s="640"/>
      <c r="AO47" s="640"/>
      <c r="AP47" s="640"/>
      <c r="AQ47" s="640"/>
      <c r="AR47" s="1216"/>
      <c r="AS47" s="1216"/>
      <c r="AT47" s="1216"/>
      <c r="AU47" s="1216"/>
      <c r="AV47" s="1216"/>
      <c r="AW47" s="1216"/>
      <c r="AX47" s="1216"/>
      <c r="AY47" s="1216"/>
      <c r="AZ47" s="1216"/>
      <c r="BA47" s="1216"/>
      <c r="BB47" s="1216"/>
      <c r="BC47" s="640"/>
      <c r="BD47" s="120"/>
      <c r="BE47" s="640"/>
      <c r="BF47" s="640"/>
      <c r="BG47" s="640"/>
      <c r="BH47" s="317"/>
      <c r="BM47" s="1229">
        <f>IF(U27=1,0,IF(U28=1,0,IF(U34=1,0,IF(U30=1,1,0))))</f>
        <v>0</v>
      </c>
      <c r="BP47" s="28" t="s">
        <v>1060</v>
      </c>
      <c r="BU47" s="854"/>
      <c r="BV47" s="854"/>
      <c r="BW47" s="854"/>
      <c r="BX47" s="854"/>
      <c r="BZ47" s="853"/>
    </row>
    <row r="48" spans="2:81" s="28" customFormat="1" ht="17.100000000000001" customHeight="1" outlineLevel="1">
      <c r="B48" s="316"/>
      <c r="C48" s="853"/>
      <c r="D48" s="853" t="str">
        <f>X!C400</f>
        <v>Energiepreis Wärme</v>
      </c>
      <c r="E48" s="622"/>
      <c r="F48" s="640"/>
      <c r="G48" s="640"/>
      <c r="H48" s="640"/>
      <c r="I48" s="640"/>
      <c r="J48" s="640"/>
      <c r="K48" s="640"/>
      <c r="L48" s="640"/>
      <c r="M48" s="640"/>
      <c r="N48" s="1303" t="str">
        <f>IF('3 TEWI'!D51="","",'3 TEWI'!D51)</f>
        <v/>
      </c>
      <c r="O48" s="640"/>
      <c r="P48" s="640"/>
      <c r="Q48" s="640"/>
      <c r="R48" s="640"/>
      <c r="S48" s="640"/>
      <c r="T48" s="640"/>
      <c r="U48" s="640"/>
      <c r="V48" s="640"/>
      <c r="W48" s="640"/>
      <c r="X48" s="640"/>
      <c r="Y48" s="640"/>
      <c r="Z48" s="1216"/>
      <c r="AA48" s="1216"/>
      <c r="AB48" s="1216"/>
      <c r="AC48" s="1216"/>
      <c r="AD48" s="1216"/>
      <c r="AE48" s="1216"/>
      <c r="AF48" s="1216"/>
      <c r="AG48" s="1216"/>
      <c r="AH48" s="1216"/>
      <c r="AI48" s="1216"/>
      <c r="AJ48" s="1216"/>
      <c r="AK48" s="640"/>
      <c r="AL48" s="640"/>
      <c r="AM48" s="640"/>
      <c r="AN48" s="640"/>
      <c r="AO48" s="640"/>
      <c r="AP48" s="640"/>
      <c r="AQ48" s="640"/>
      <c r="AR48" s="1216"/>
      <c r="AS48" s="1216"/>
      <c r="AT48" s="1216"/>
      <c r="AU48" s="1216"/>
      <c r="AV48" s="1216"/>
      <c r="AW48" s="1216"/>
      <c r="AX48" s="1216"/>
      <c r="AY48" s="1216"/>
      <c r="AZ48" s="1216"/>
      <c r="BA48" s="1216"/>
      <c r="BB48" s="1216"/>
      <c r="BC48" s="640"/>
      <c r="BD48" s="120"/>
      <c r="BE48" s="640"/>
      <c r="BF48" s="640"/>
      <c r="BG48" s="640"/>
      <c r="BH48" s="317"/>
      <c r="BP48" s="28" t="s">
        <v>1061</v>
      </c>
      <c r="BU48" s="854"/>
      <c r="BV48" s="854"/>
      <c r="BW48" s="854"/>
      <c r="BX48" s="854"/>
      <c r="BZ48" s="853"/>
    </row>
    <row r="49" spans="2:97" s="28" customFormat="1" ht="6" customHeight="1" outlineLevel="1">
      <c r="B49" s="316"/>
      <c r="C49" s="817"/>
      <c r="D49" s="640"/>
      <c r="E49" s="640"/>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120"/>
      <c r="BE49" s="640"/>
      <c r="BF49" s="640"/>
      <c r="BG49" s="640"/>
      <c r="BH49" s="317"/>
      <c r="BU49" s="854"/>
      <c r="BV49" s="854"/>
      <c r="BW49" s="854"/>
      <c r="BX49" s="854"/>
      <c r="BZ49" s="853"/>
    </row>
    <row r="50" spans="2:97" s="28" customFormat="1" ht="17.100000000000001" customHeight="1">
      <c r="B50" s="316"/>
      <c r="C50" s="816"/>
      <c r="D50" s="640" t="str">
        <f>AG203</f>
        <v/>
      </c>
      <c r="E50" s="640"/>
      <c r="F50" s="640"/>
      <c r="G50" s="640"/>
      <c r="H50" s="640"/>
      <c r="I50" s="640"/>
      <c r="J50" s="640"/>
      <c r="K50" s="640"/>
      <c r="L50" s="640"/>
      <c r="M50" s="640"/>
      <c r="N50" s="1792"/>
      <c r="O50" s="1792"/>
      <c r="P50" s="1793"/>
      <c r="Q50" s="640"/>
      <c r="R50" s="640" t="str">
        <f>AA203</f>
        <v/>
      </c>
      <c r="S50" s="640"/>
      <c r="T50" s="640"/>
      <c r="U50" s="640"/>
      <c r="V50" s="640"/>
      <c r="AK50" s="640"/>
      <c r="AL50" s="640"/>
      <c r="AM50" s="640"/>
      <c r="AN50" s="640"/>
      <c r="AO50" s="640"/>
      <c r="AP50" s="640"/>
      <c r="AQ50" s="640"/>
      <c r="AR50" s="354"/>
      <c r="AS50" s="354"/>
      <c r="AT50" s="354"/>
      <c r="AU50" s="354"/>
      <c r="AV50" s="354"/>
      <c r="AW50" s="354"/>
      <c r="AX50" s="354"/>
      <c r="AY50" s="354"/>
      <c r="AZ50" s="354"/>
      <c r="BA50" s="354"/>
      <c r="BB50" s="354"/>
      <c r="BC50" s="640"/>
      <c r="BD50" s="120"/>
      <c r="BE50" s="640"/>
      <c r="BF50" s="640"/>
      <c r="BG50" s="640"/>
      <c r="BH50" s="317"/>
      <c r="BM50" s="220"/>
      <c r="BU50" s="967"/>
      <c r="BV50" s="967"/>
      <c r="BW50" s="967"/>
      <c r="BX50" s="967"/>
      <c r="BZ50" s="968"/>
      <c r="CF50" s="1815" t="str">
        <f>IF(CD50=1,CONCATENATE("(",AS203," - ",AY203," ",AA203," )"),"")</f>
        <v/>
      </c>
      <c r="CG50" s="1815"/>
      <c r="CH50" s="1815"/>
      <c r="CI50" s="1815"/>
      <c r="CJ50" s="1815"/>
      <c r="CK50" s="1815"/>
      <c r="CL50" s="1815"/>
      <c r="CM50" s="1815"/>
      <c r="CN50" s="1815"/>
      <c r="CO50" s="1815"/>
      <c r="CP50" s="1815"/>
      <c r="CQ50" s="1815"/>
      <c r="CR50" s="1815"/>
      <c r="CS50" s="1815"/>
    </row>
    <row r="51" spans="2:97" s="28" customFormat="1" ht="17.100000000000001" customHeight="1">
      <c r="B51" s="337"/>
      <c r="C51" s="853"/>
      <c r="D51" s="640"/>
      <c r="E51" s="622"/>
      <c r="F51" s="640"/>
      <c r="G51" s="640"/>
      <c r="H51" s="640"/>
      <c r="I51" s="640"/>
      <c r="J51" s="640"/>
      <c r="K51" s="640"/>
      <c r="L51" s="640"/>
      <c r="M51" s="640"/>
      <c r="N51" s="640"/>
      <c r="O51" s="640"/>
      <c r="P51" s="640"/>
      <c r="Q51" s="640"/>
      <c r="R51" s="640"/>
      <c r="S51" s="640"/>
      <c r="T51" s="640"/>
      <c r="U51" s="640"/>
      <c r="V51" s="640"/>
      <c r="W51" s="640"/>
      <c r="X51" s="640"/>
      <c r="Y51" s="640"/>
      <c r="Z51" s="1216"/>
      <c r="AA51" s="1216"/>
      <c r="AB51" s="1216"/>
      <c r="AC51" s="1216"/>
      <c r="AD51" s="1216"/>
      <c r="AE51" s="1216"/>
      <c r="AF51" s="1216"/>
      <c r="AG51" s="1216"/>
      <c r="AH51" s="1216"/>
      <c r="AI51" s="1216"/>
      <c r="AJ51" s="1216"/>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343"/>
      <c r="BU51" s="854"/>
      <c r="BV51" s="854"/>
      <c r="BW51" s="854"/>
      <c r="BX51" s="854"/>
      <c r="BZ51" s="853"/>
    </row>
    <row r="52" spans="2:97" s="28" customFormat="1" ht="17.100000000000001" customHeight="1">
      <c r="B52" s="370"/>
      <c r="C52" s="526"/>
      <c r="D52" s="370"/>
      <c r="E52" s="370"/>
      <c r="F52" s="370"/>
      <c r="G52" s="370"/>
      <c r="H52" s="370"/>
      <c r="I52" s="370"/>
      <c r="J52" s="370"/>
      <c r="K52" s="370"/>
      <c r="L52" s="370"/>
      <c r="M52" s="370"/>
      <c r="N52" s="370"/>
      <c r="O52" s="370"/>
      <c r="P52" s="370"/>
      <c r="Q52" s="370"/>
      <c r="R52" s="370"/>
      <c r="S52" s="370"/>
      <c r="T52" s="370"/>
      <c r="U52" s="370"/>
      <c r="V52" s="370"/>
      <c r="W52" s="370"/>
      <c r="X52" s="370"/>
      <c r="Y52" s="370"/>
      <c r="Z52" s="371"/>
      <c r="AA52" s="371"/>
      <c r="AB52" s="371"/>
      <c r="AC52" s="371"/>
      <c r="AD52" s="371"/>
      <c r="AE52" s="371"/>
      <c r="AF52" s="371"/>
      <c r="AG52" s="371"/>
      <c r="AH52" s="371"/>
      <c r="AI52" s="371"/>
      <c r="AJ52" s="371"/>
      <c r="AK52" s="370"/>
      <c r="AL52" s="372"/>
      <c r="AM52" s="370"/>
      <c r="AN52" s="370"/>
      <c r="AO52" s="370"/>
      <c r="AP52" s="370"/>
      <c r="AQ52" s="370"/>
      <c r="AR52" s="371"/>
      <c r="AS52" s="371"/>
      <c r="AT52" s="371"/>
      <c r="AU52" s="371"/>
      <c r="AV52" s="371"/>
      <c r="AW52" s="371"/>
      <c r="AX52" s="371"/>
      <c r="AY52" s="371"/>
      <c r="AZ52" s="371"/>
      <c r="BA52" s="371"/>
      <c r="BB52" s="371"/>
      <c r="BC52" s="370"/>
      <c r="BD52" s="372"/>
      <c r="BE52" s="370"/>
      <c r="BF52" s="370"/>
      <c r="BG52" s="370"/>
      <c r="BH52" s="370"/>
      <c r="BU52" s="116"/>
      <c r="BV52" s="116"/>
      <c r="BW52" s="116"/>
      <c r="BX52" s="116"/>
      <c r="BY52" s="116"/>
      <c r="BZ52" s="116"/>
      <c r="CA52" s="116"/>
      <c r="CB52" s="116"/>
      <c r="CC52" s="116"/>
    </row>
    <row r="53" spans="2:97" s="28" customFormat="1" ht="17.100000000000001" customHeight="1">
      <c r="B53" s="595"/>
      <c r="C53" s="363"/>
      <c r="D53" s="595"/>
      <c r="E53" s="595"/>
      <c r="F53" s="595"/>
      <c r="G53" s="595"/>
      <c r="H53" s="595"/>
      <c r="I53" s="595"/>
      <c r="J53" s="595"/>
      <c r="K53" s="595"/>
      <c r="L53" s="595"/>
      <c r="M53" s="595"/>
      <c r="N53" s="595"/>
      <c r="O53" s="595"/>
      <c r="P53" s="595"/>
      <c r="Q53" s="595"/>
      <c r="R53" s="595"/>
      <c r="S53" s="595"/>
      <c r="T53" s="595"/>
      <c r="U53" s="595"/>
      <c r="V53" s="595"/>
      <c r="W53" s="595"/>
      <c r="X53" s="595"/>
      <c r="Y53" s="595"/>
      <c r="Z53" s="598"/>
      <c r="AA53" s="598"/>
      <c r="AB53" s="598"/>
      <c r="AC53" s="598"/>
      <c r="AD53" s="598"/>
      <c r="AE53" s="598"/>
      <c r="AF53" s="598"/>
      <c r="AG53" s="598"/>
      <c r="AH53" s="598"/>
      <c r="AI53" s="598"/>
      <c r="AJ53" s="598"/>
      <c r="AK53" s="595"/>
      <c r="AL53" s="120"/>
      <c r="AM53" s="595"/>
      <c r="AN53" s="595"/>
      <c r="AO53" s="595"/>
      <c r="AP53" s="595"/>
      <c r="AQ53" s="595"/>
      <c r="AR53" s="598"/>
      <c r="AS53" s="598"/>
      <c r="AT53" s="598"/>
      <c r="AU53" s="598"/>
      <c r="AV53" s="598"/>
      <c r="AW53" s="598"/>
      <c r="AX53" s="598"/>
      <c r="AY53" s="598"/>
      <c r="AZ53" s="598"/>
      <c r="BA53" s="598"/>
      <c r="BB53" s="598"/>
      <c r="BC53" s="595"/>
      <c r="BD53" s="120"/>
      <c r="BE53" s="595"/>
      <c r="BF53" s="595"/>
      <c r="BG53" s="595"/>
      <c r="BH53" s="595"/>
    </row>
    <row r="54" spans="2:97" s="28" customFormat="1" ht="17.100000000000001" customHeight="1">
      <c r="B54" s="610"/>
      <c r="C54" s="526"/>
      <c r="D54" s="370"/>
      <c r="E54" s="370"/>
      <c r="F54" s="370"/>
      <c r="G54" s="370"/>
      <c r="H54" s="370"/>
      <c r="I54" s="370"/>
      <c r="J54" s="370"/>
      <c r="K54" s="370"/>
      <c r="L54" s="370"/>
      <c r="M54" s="370"/>
      <c r="N54" s="370"/>
      <c r="O54" s="370"/>
      <c r="P54" s="370"/>
      <c r="Q54" s="370"/>
      <c r="R54" s="370"/>
      <c r="S54" s="370"/>
      <c r="T54" s="370"/>
      <c r="U54" s="370"/>
      <c r="V54" s="370"/>
      <c r="W54" s="370"/>
      <c r="X54" s="370"/>
      <c r="Y54" s="370"/>
      <c r="Z54" s="371"/>
      <c r="AA54" s="371"/>
      <c r="AB54" s="371"/>
      <c r="AC54" s="371"/>
      <c r="AD54" s="371"/>
      <c r="AE54" s="371"/>
      <c r="AF54" s="371"/>
      <c r="AG54" s="371"/>
      <c r="AH54" s="371"/>
      <c r="AI54" s="371"/>
      <c r="AJ54" s="371"/>
      <c r="AK54" s="370"/>
      <c r="AL54" s="372"/>
      <c r="AM54" s="370"/>
      <c r="AN54" s="370"/>
      <c r="AO54" s="370"/>
      <c r="AP54" s="370"/>
      <c r="AQ54" s="370"/>
      <c r="AR54" s="371"/>
      <c r="AS54" s="371"/>
      <c r="AT54" s="371"/>
      <c r="AU54" s="371"/>
      <c r="AV54" s="371"/>
      <c r="AW54" s="371"/>
      <c r="AX54" s="371"/>
      <c r="AY54" s="371"/>
      <c r="AZ54" s="371"/>
      <c r="BA54" s="371"/>
      <c r="BB54" s="371"/>
      <c r="BC54" s="370"/>
      <c r="BD54" s="372"/>
      <c r="BE54" s="370"/>
      <c r="BF54" s="370"/>
      <c r="BG54" s="370"/>
      <c r="BH54" s="611"/>
      <c r="BU54" s="139"/>
      <c r="BV54" s="139"/>
      <c r="BW54" s="139"/>
      <c r="BX54" s="139"/>
      <c r="BY54" s="139"/>
      <c r="BZ54" s="139"/>
      <c r="CA54" s="139"/>
      <c r="CB54" s="139"/>
      <c r="CC54" s="139"/>
    </row>
    <row r="55" spans="2:97" s="116" customFormat="1" ht="21" customHeight="1">
      <c r="B55" s="107"/>
      <c r="C55" s="486">
        <v>2</v>
      </c>
      <c r="D55" s="546" t="str">
        <f>X!$C$105</f>
        <v>Ergebnisse (gerundete Werte)</v>
      </c>
      <c r="E55" s="109"/>
      <c r="F55" s="109"/>
      <c r="G55" s="110"/>
      <c r="H55" s="110"/>
      <c r="I55" s="111"/>
      <c r="J55" s="111"/>
      <c r="K55" s="111"/>
      <c r="L55" s="111"/>
      <c r="M55" s="111"/>
      <c r="N55" s="111"/>
      <c r="O55" s="111"/>
      <c r="P55" s="111"/>
      <c r="Q55" s="111"/>
      <c r="R55" s="111"/>
      <c r="S55" s="109"/>
      <c r="T55" s="109"/>
      <c r="U55" s="110"/>
      <c r="V55" s="110"/>
      <c r="W55" s="110"/>
      <c r="X55" s="110"/>
      <c r="Y55" s="110"/>
      <c r="Z55" s="373"/>
      <c r="AA55" s="110"/>
      <c r="AB55" s="110"/>
      <c r="AC55" s="110"/>
      <c r="AD55" s="110"/>
      <c r="AE55" s="110"/>
      <c r="AF55" s="110"/>
      <c r="AG55" s="110"/>
      <c r="AH55" s="110"/>
      <c r="AI55" s="110"/>
      <c r="AJ55" s="110"/>
      <c r="AK55" s="110"/>
      <c r="AL55" s="110"/>
      <c r="AM55" s="111"/>
      <c r="AN55" s="111"/>
      <c r="AO55" s="111"/>
      <c r="AP55" s="111"/>
      <c r="AQ55" s="109"/>
      <c r="AR55" s="373"/>
      <c r="AS55" s="110"/>
      <c r="AT55" s="110"/>
      <c r="AU55" s="110"/>
      <c r="AV55" s="110"/>
      <c r="AW55" s="110"/>
      <c r="AX55" s="110"/>
      <c r="AY55" s="110"/>
      <c r="AZ55" s="110"/>
      <c r="BA55" s="110"/>
      <c r="BB55" s="110"/>
      <c r="BC55" s="110"/>
      <c r="BD55" s="110"/>
      <c r="BE55" s="110"/>
      <c r="BF55" s="110"/>
      <c r="BG55" s="110"/>
      <c r="BH55" s="312"/>
      <c r="BI55" s="31"/>
      <c r="BJ55" s="31"/>
      <c r="BU55" s="28"/>
      <c r="BV55" s="28"/>
      <c r="BW55" s="28"/>
      <c r="BX55" s="28"/>
      <c r="BY55" s="28"/>
      <c r="BZ55" s="28"/>
      <c r="CA55" s="28"/>
      <c r="CB55" s="28"/>
      <c r="CC55" s="28"/>
    </row>
    <row r="56" spans="2:97" s="28" customFormat="1" ht="17.100000000000001" customHeight="1">
      <c r="B56" s="117"/>
      <c r="C56" s="489"/>
      <c r="D56" s="98"/>
      <c r="E56" s="98"/>
      <c r="F56" s="98"/>
      <c r="G56" s="98"/>
      <c r="H56" s="98"/>
      <c r="I56" s="98"/>
      <c r="J56" s="98"/>
      <c r="K56" s="98"/>
      <c r="L56" s="98"/>
      <c r="M56" s="98"/>
      <c r="N56" s="98"/>
      <c r="O56" s="98"/>
      <c r="P56" s="122"/>
      <c r="Q56" s="98"/>
      <c r="R56" s="98"/>
      <c r="S56" s="135"/>
      <c r="T56" s="135"/>
      <c r="U56" s="135"/>
      <c r="V56" s="135"/>
      <c r="W56" s="98"/>
      <c r="X56" s="136"/>
      <c r="Y56" s="136"/>
      <c r="Z56" s="136"/>
      <c r="AA56" s="136"/>
      <c r="AB56" s="136"/>
      <c r="AC56" s="136"/>
      <c r="AD56" s="136"/>
      <c r="AE56" s="136"/>
      <c r="AF56" s="136"/>
      <c r="AG56" s="98"/>
      <c r="AH56" s="98"/>
      <c r="AI56" s="98"/>
      <c r="AJ56" s="98"/>
      <c r="AK56" s="98"/>
      <c r="AL56" s="98"/>
      <c r="AM56" s="98"/>
      <c r="AN56" s="98"/>
      <c r="AO56" s="98"/>
      <c r="AP56" s="98"/>
      <c r="AQ56" s="135"/>
      <c r="AR56" s="135"/>
      <c r="AS56" s="135"/>
      <c r="AT56" s="98"/>
      <c r="AU56" s="136"/>
      <c r="AV56" s="136"/>
      <c r="AW56" s="136"/>
      <c r="AX56" s="136"/>
      <c r="AY56" s="136"/>
      <c r="AZ56" s="136"/>
      <c r="BA56" s="136"/>
      <c r="BB56" s="136"/>
      <c r="BC56" s="136"/>
      <c r="BD56" s="55"/>
      <c r="BE56" s="55"/>
      <c r="BF56" s="55"/>
      <c r="BG56" s="55"/>
      <c r="BH56" s="312"/>
      <c r="BI56" s="31"/>
      <c r="BJ56" s="31"/>
    </row>
    <row r="57" spans="2:97" ht="21" customHeight="1">
      <c r="B57" s="311"/>
      <c r="C57" s="488"/>
      <c r="D57" s="313"/>
      <c r="E57" s="313"/>
      <c r="F57" s="313"/>
      <c r="G57" s="313"/>
      <c r="H57" s="313"/>
      <c r="I57" s="313"/>
      <c r="J57" s="313"/>
      <c r="K57" s="313"/>
      <c r="L57" s="313"/>
      <c r="M57" s="313"/>
      <c r="N57" s="313"/>
      <c r="O57" s="313"/>
      <c r="P57" s="313"/>
      <c r="Q57" s="313"/>
      <c r="R57" s="313"/>
      <c r="S57" s="313"/>
      <c r="T57" s="313"/>
      <c r="U57" s="313"/>
      <c r="V57" s="313"/>
      <c r="W57" s="313"/>
      <c r="X57" s="313"/>
      <c r="Y57" s="313"/>
      <c r="Z57" s="140" t="str">
        <f>'1 System specification'!O132</f>
        <v>Variante A</v>
      </c>
      <c r="AA57" s="369"/>
      <c r="AB57" s="369"/>
      <c r="AC57" s="369"/>
      <c r="AD57" s="369"/>
      <c r="AE57" s="369"/>
      <c r="AF57" s="369"/>
      <c r="AG57" s="369"/>
      <c r="AH57" s="369"/>
      <c r="AI57" s="369"/>
      <c r="AJ57" s="369"/>
      <c r="AK57" s="369"/>
      <c r="AL57" s="369"/>
      <c r="AM57" s="369"/>
      <c r="AN57" s="369"/>
      <c r="AO57" s="313"/>
      <c r="AP57" s="313"/>
      <c r="AQ57" s="313"/>
      <c r="AR57" s="140" t="str">
        <f>'1 System specification'!O133</f>
        <v/>
      </c>
      <c r="AS57" s="369"/>
      <c r="AT57" s="369"/>
      <c r="AU57" s="369"/>
      <c r="AV57" s="369"/>
      <c r="AW57" s="369"/>
      <c r="AX57" s="369"/>
      <c r="AY57" s="369"/>
      <c r="AZ57" s="369"/>
      <c r="BA57" s="369"/>
      <c r="BB57" s="369"/>
      <c r="BC57" s="369"/>
      <c r="BD57" s="369"/>
      <c r="BE57" s="369"/>
      <c r="BF57" s="369"/>
      <c r="BG57" s="52"/>
      <c r="BH57" s="312"/>
      <c r="BU57" s="28"/>
      <c r="BV57" s="28"/>
      <c r="BW57" s="28"/>
      <c r="BX57" s="28"/>
      <c r="BY57" s="28"/>
      <c r="BZ57" s="28"/>
      <c r="CA57" s="28"/>
      <c r="CB57" s="28"/>
      <c r="CC57" s="28"/>
    </row>
    <row r="58" spans="2:97" s="398" customFormat="1" ht="21" customHeight="1">
      <c r="B58" s="1173"/>
      <c r="C58" s="481"/>
      <c r="D58" s="1172"/>
      <c r="E58" s="1172"/>
      <c r="F58" s="1172"/>
      <c r="G58" s="1172"/>
      <c r="H58" s="1172"/>
      <c r="I58" s="1172"/>
      <c r="J58" s="1172"/>
      <c r="K58" s="1172"/>
      <c r="L58" s="1172"/>
      <c r="M58" s="1172"/>
      <c r="N58" s="1172"/>
      <c r="O58" s="1172"/>
      <c r="P58" s="1172"/>
      <c r="Q58" s="1172"/>
      <c r="R58" s="1172"/>
      <c r="S58" s="1172"/>
      <c r="T58" s="1172"/>
      <c r="U58" s="1172"/>
      <c r="V58" s="1172"/>
      <c r="W58" s="1172"/>
      <c r="X58" s="1172"/>
      <c r="Y58" s="1172"/>
      <c r="Z58" s="1138" t="str">
        <f>Z25</f>
        <v/>
      </c>
      <c r="AA58" s="1172"/>
      <c r="AB58" s="1172"/>
      <c r="AC58" s="1172"/>
      <c r="AD58" s="1172"/>
      <c r="AE58" s="1172"/>
      <c r="AF58" s="1172"/>
      <c r="AG58" s="1172"/>
      <c r="AH58" s="1172"/>
      <c r="AI58" s="1172"/>
      <c r="AJ58" s="1172"/>
      <c r="AK58" s="1172"/>
      <c r="AL58" s="1172"/>
      <c r="AM58" s="1172"/>
      <c r="AN58" s="1172"/>
      <c r="AO58" s="1172"/>
      <c r="AP58" s="1172"/>
      <c r="AQ58" s="1172"/>
      <c r="AR58" s="1138" t="str">
        <f>AR25</f>
        <v/>
      </c>
      <c r="AS58" s="1172"/>
      <c r="AT58" s="1172"/>
      <c r="AU58" s="1172"/>
      <c r="AV58" s="1172"/>
      <c r="AW58" s="1172"/>
      <c r="AX58" s="1172"/>
      <c r="AY58" s="1172"/>
      <c r="AZ58" s="1172"/>
      <c r="BA58" s="1172"/>
      <c r="BB58" s="1172"/>
      <c r="BC58" s="1172"/>
      <c r="BD58" s="1172"/>
      <c r="BE58" s="1172"/>
      <c r="BF58" s="1172"/>
      <c r="BG58" s="64"/>
      <c r="BH58" s="1174"/>
      <c r="BU58" s="227"/>
      <c r="BV58" s="227"/>
      <c r="BW58" s="227"/>
      <c r="BX58" s="227"/>
      <c r="BY58" s="227"/>
      <c r="BZ58" s="227"/>
      <c r="CA58" s="227"/>
      <c r="CB58" s="227"/>
      <c r="CC58" s="227"/>
    </row>
    <row r="59" spans="2:97" s="28" customFormat="1" ht="12.95" customHeight="1">
      <c r="B59" s="316"/>
      <c r="C59" s="363"/>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120"/>
      <c r="AM59" s="55"/>
      <c r="AN59" s="55"/>
      <c r="AO59" s="55"/>
      <c r="AP59" s="55"/>
      <c r="AQ59" s="55"/>
      <c r="AR59" s="55"/>
      <c r="AS59" s="55"/>
      <c r="AT59" s="55"/>
      <c r="AU59" s="55"/>
      <c r="AV59" s="55"/>
      <c r="AW59" s="55"/>
      <c r="AX59" s="55"/>
      <c r="AY59" s="55"/>
      <c r="AZ59" s="55"/>
      <c r="BA59" s="55"/>
      <c r="BB59" s="55"/>
      <c r="BC59" s="55"/>
      <c r="BD59" s="120"/>
      <c r="BE59" s="55"/>
      <c r="BF59" s="55"/>
      <c r="BG59" s="55"/>
      <c r="BH59" s="317"/>
      <c r="BV59" s="531"/>
      <c r="BW59" s="531"/>
      <c r="BX59" s="531"/>
    </row>
    <row r="60" spans="2:97" s="28" customFormat="1" ht="17.100000000000001" customHeight="1">
      <c r="B60" s="316"/>
      <c r="C60" s="561" t="str">
        <f>X!$C$166</f>
        <v>Nutzungsdauer</v>
      </c>
      <c r="D60" s="55"/>
      <c r="E60" s="55"/>
      <c r="F60" s="55"/>
      <c r="G60" s="55"/>
      <c r="H60" s="55"/>
      <c r="I60" s="55"/>
      <c r="J60" s="55"/>
      <c r="K60" s="55"/>
      <c r="L60" s="55"/>
      <c r="M60" s="55"/>
      <c r="N60" s="55"/>
      <c r="O60" s="55"/>
      <c r="P60" s="55"/>
      <c r="Q60" s="55"/>
      <c r="R60" s="566" t="str">
        <f>X!C131</f>
        <v>Jahre</v>
      </c>
      <c r="S60" s="55"/>
      <c r="T60" s="55"/>
      <c r="U60" s="55"/>
      <c r="V60" s="55"/>
      <c r="W60" s="55"/>
      <c r="X60" s="55"/>
      <c r="Y60" s="55"/>
      <c r="Z60" s="1729">
        <f>'3 TEWI'!Z91</f>
        <v>0</v>
      </c>
      <c r="AA60" s="1729"/>
      <c r="AB60" s="1729"/>
      <c r="AC60" s="1729"/>
      <c r="AD60" s="1729"/>
      <c r="AE60" s="1729"/>
      <c r="AF60" s="1729"/>
      <c r="AG60" s="1729"/>
      <c r="AH60" s="1729"/>
      <c r="AI60" s="1729"/>
      <c r="AJ60" s="1729"/>
      <c r="AK60" s="55"/>
      <c r="AL60" s="120"/>
      <c r="AM60" s="55"/>
      <c r="AN60" s="55"/>
      <c r="AO60" s="55"/>
      <c r="AP60" s="55"/>
      <c r="AQ60" s="55"/>
      <c r="AR60" s="1729">
        <f>'3 TEWI'!AS91</f>
        <v>0</v>
      </c>
      <c r="AS60" s="1729"/>
      <c r="AT60" s="1729"/>
      <c r="AU60" s="1729"/>
      <c r="AV60" s="1729"/>
      <c r="AW60" s="1729"/>
      <c r="AX60" s="1729"/>
      <c r="AY60" s="1729"/>
      <c r="AZ60" s="1729"/>
      <c r="BA60" s="1729"/>
      <c r="BB60" s="1729"/>
      <c r="BC60" s="55"/>
      <c r="BD60" s="120"/>
      <c r="BE60" s="55"/>
      <c r="BF60" s="55"/>
      <c r="BG60" s="55"/>
      <c r="BH60" s="317"/>
    </row>
    <row r="61" spans="2:97" s="28" customFormat="1" ht="17.100000000000001" customHeight="1">
      <c r="B61" s="316"/>
      <c r="C61" s="561" t="str">
        <f>X!$C$93</f>
        <v>Elektrizitätsverbrauch</v>
      </c>
      <c r="D61" s="55"/>
      <c r="E61" s="55"/>
      <c r="F61" s="55"/>
      <c r="G61" s="55"/>
      <c r="H61" s="55"/>
      <c r="I61" s="55"/>
      <c r="J61" s="55"/>
      <c r="K61" s="55"/>
      <c r="L61" s="55"/>
      <c r="M61" s="55"/>
      <c r="N61" s="55"/>
      <c r="O61" s="55"/>
      <c r="P61" s="55"/>
      <c r="Q61" s="55"/>
      <c r="R61" s="55" t="s">
        <v>22</v>
      </c>
      <c r="S61" s="55"/>
      <c r="T61" s="55"/>
      <c r="U61" s="55"/>
      <c r="V61" s="55"/>
      <c r="W61" s="55"/>
      <c r="X61" s="55"/>
      <c r="Y61" s="55"/>
      <c r="Z61" s="1728">
        <f>'1 System specification'!S158</f>
        <v>0</v>
      </c>
      <c r="AA61" s="1729"/>
      <c r="AB61" s="1729"/>
      <c r="AC61" s="1729"/>
      <c r="AD61" s="1729"/>
      <c r="AE61" s="1729"/>
      <c r="AF61" s="1729"/>
      <c r="AG61" s="1729"/>
      <c r="AH61" s="1729"/>
      <c r="AI61" s="1729"/>
      <c r="AJ61" s="1729"/>
      <c r="AK61" s="55"/>
      <c r="AL61" s="591" t="s">
        <v>292</v>
      </c>
      <c r="AM61" s="591" t="s">
        <v>292</v>
      </c>
      <c r="AN61" s="591" t="s">
        <v>292</v>
      </c>
      <c r="AO61" s="55"/>
      <c r="AP61" s="55"/>
      <c r="AQ61" s="55"/>
      <c r="AR61" s="1728">
        <f>'1 System specification'!BJ158</f>
        <v>0</v>
      </c>
      <c r="AS61" s="1729"/>
      <c r="AT61" s="1729"/>
      <c r="AU61" s="1729"/>
      <c r="AV61" s="1729"/>
      <c r="AW61" s="1729"/>
      <c r="AX61" s="1729"/>
      <c r="AY61" s="1729"/>
      <c r="AZ61" s="1729"/>
      <c r="BA61" s="1729"/>
      <c r="BB61" s="1729"/>
      <c r="BC61" s="55"/>
      <c r="BD61" s="120"/>
      <c r="BE61" s="55"/>
      <c r="BF61" s="55"/>
      <c r="BG61" s="55"/>
      <c r="BH61" s="317"/>
      <c r="BV61" s="531"/>
      <c r="BW61" s="531"/>
      <c r="BX61" s="531"/>
    </row>
    <row r="62" spans="2:97" s="28" customFormat="1" ht="17.100000000000001" customHeight="1">
      <c r="B62" s="316"/>
      <c r="C62" s="363"/>
      <c r="D62" s="566" t="str">
        <f>X!$C$54</f>
        <v>Berechnungsart</v>
      </c>
      <c r="E62" s="55"/>
      <c r="F62" s="55"/>
      <c r="G62" s="55"/>
      <c r="H62" s="55"/>
      <c r="I62" s="55"/>
      <c r="J62" s="55"/>
      <c r="K62" s="55"/>
      <c r="L62" s="55"/>
      <c r="M62" s="55"/>
      <c r="N62" s="55"/>
      <c r="O62" s="55"/>
      <c r="P62" s="55"/>
      <c r="Q62" s="55"/>
      <c r="R62" s="55"/>
      <c r="S62" s="55"/>
      <c r="T62" s="55"/>
      <c r="U62" s="55"/>
      <c r="V62" s="55"/>
      <c r="W62" s="55"/>
      <c r="X62" s="55"/>
      <c r="Y62" s="55"/>
      <c r="Z62" s="1729" t="str">
        <f>'1 System specification'!Y158</f>
        <v>manuelle Eingabe</v>
      </c>
      <c r="AA62" s="1729"/>
      <c r="AB62" s="1729"/>
      <c r="AC62" s="1729"/>
      <c r="AD62" s="1729"/>
      <c r="AE62" s="1729"/>
      <c r="AF62" s="1729"/>
      <c r="AG62" s="1729"/>
      <c r="AH62" s="1729"/>
      <c r="AI62" s="1729"/>
      <c r="AJ62" s="1729"/>
      <c r="AK62" s="55"/>
      <c r="AL62" s="120"/>
      <c r="AM62" s="55"/>
      <c r="AN62" s="55"/>
      <c r="AO62" s="55"/>
      <c r="AP62" s="55"/>
      <c r="AQ62" s="55"/>
      <c r="AR62" s="1729" t="str">
        <f>'1 System specification'!BP158</f>
        <v>manuelle Eingabe</v>
      </c>
      <c r="AS62" s="1729"/>
      <c r="AT62" s="1729"/>
      <c r="AU62" s="1729"/>
      <c r="AV62" s="1729"/>
      <c r="AW62" s="1729"/>
      <c r="AX62" s="1729"/>
      <c r="AY62" s="1729"/>
      <c r="AZ62" s="1729"/>
      <c r="BA62" s="1729"/>
      <c r="BB62" s="1729"/>
      <c r="BC62" s="55"/>
      <c r="BD62" s="120"/>
      <c r="BE62" s="55"/>
      <c r="BF62" s="55"/>
      <c r="BG62" s="55"/>
      <c r="BH62" s="317"/>
    </row>
    <row r="63" spans="2:97" s="28" customFormat="1" ht="6" customHeight="1">
      <c r="B63" s="316"/>
      <c r="C63" s="363"/>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640"/>
      <c r="AB63" s="640"/>
      <c r="AC63" s="640"/>
      <c r="AD63" s="640"/>
      <c r="AE63" s="640"/>
      <c r="AF63" s="640"/>
      <c r="AG63" s="640"/>
      <c r="AH63" s="640"/>
      <c r="AI63" s="640"/>
      <c r="AJ63" s="640"/>
      <c r="AK63" s="640"/>
      <c r="AL63" s="120"/>
      <c r="AM63" s="640"/>
      <c r="AN63" s="640"/>
      <c r="AO63" s="640"/>
      <c r="AP63" s="640"/>
      <c r="AQ63" s="640"/>
      <c r="AR63" s="640"/>
      <c r="AS63" s="640"/>
      <c r="AT63" s="640"/>
      <c r="AU63" s="640"/>
      <c r="AV63" s="640"/>
      <c r="AW63" s="640"/>
      <c r="AX63" s="640"/>
      <c r="AY63" s="640"/>
      <c r="AZ63" s="640"/>
      <c r="BA63" s="640"/>
      <c r="BB63" s="640"/>
      <c r="BC63" s="640"/>
      <c r="BD63" s="120"/>
      <c r="BE63" s="640"/>
      <c r="BF63" s="640"/>
      <c r="BG63" s="640"/>
      <c r="BH63" s="317"/>
      <c r="BU63" s="31"/>
      <c r="BV63" s="31"/>
      <c r="BW63" s="31"/>
      <c r="BX63" s="31"/>
      <c r="BY63" s="31"/>
      <c r="BZ63" s="31"/>
      <c r="CA63" s="31"/>
      <c r="CB63" s="31"/>
      <c r="CC63" s="31"/>
    </row>
    <row r="64" spans="2:97" s="28" customFormat="1" ht="17.100000000000001" customHeight="1">
      <c r="B64" s="316"/>
      <c r="C64" s="676" t="str">
        <f>X!$C$195</f>
        <v>Preis CO2-Kompensation</v>
      </c>
      <c r="D64" s="640"/>
      <c r="E64" s="640"/>
      <c r="F64" s="640"/>
      <c r="G64" s="640"/>
      <c r="H64" s="640"/>
      <c r="I64" s="640"/>
      <c r="J64" s="640"/>
      <c r="K64" s="640"/>
      <c r="L64" s="640"/>
      <c r="M64" s="640"/>
      <c r="N64" s="640"/>
      <c r="O64" s="640"/>
      <c r="P64" s="640"/>
      <c r="Q64" s="640"/>
      <c r="R64" s="640" t="str">
        <f>X!C65</f>
        <v>CHF/ Tonne CO2</v>
      </c>
      <c r="S64" s="640"/>
      <c r="T64" s="640"/>
      <c r="U64" s="640"/>
      <c r="V64" s="640"/>
      <c r="W64" s="640"/>
      <c r="X64" s="640"/>
      <c r="Y64" s="640"/>
      <c r="Z64" s="1818">
        <f>'3 TEWI'!AG239</f>
        <v>29</v>
      </c>
      <c r="AA64" s="1818"/>
      <c r="AB64" s="1818"/>
      <c r="AC64" s="1818"/>
      <c r="AD64" s="1818"/>
      <c r="AE64" s="1818"/>
      <c r="AF64" s="1818"/>
      <c r="AG64" s="1818"/>
      <c r="AH64" s="1818"/>
      <c r="AI64" s="1818"/>
      <c r="AJ64" s="1818"/>
      <c r="AK64" s="640"/>
      <c r="AL64" s="120"/>
      <c r="AM64" s="640"/>
      <c r="AN64" s="640"/>
      <c r="AO64" s="640"/>
      <c r="AP64" s="640"/>
      <c r="AQ64" s="640"/>
      <c r="AR64" s="1783">
        <f>'3 TEWI'!AZ239</f>
        <v>29</v>
      </c>
      <c r="AS64" s="1783"/>
      <c r="AT64" s="1783"/>
      <c r="AU64" s="1783"/>
      <c r="AV64" s="1783"/>
      <c r="AW64" s="1783"/>
      <c r="AX64" s="1783"/>
      <c r="AY64" s="1783"/>
      <c r="AZ64" s="1783"/>
      <c r="BA64" s="1783"/>
      <c r="BB64" s="1783"/>
      <c r="BC64" s="640"/>
      <c r="BD64" s="120"/>
      <c r="BE64" s="640"/>
      <c r="BF64" s="640"/>
      <c r="BG64" s="640"/>
      <c r="BH64" s="317"/>
      <c r="BV64" s="674"/>
      <c r="BW64" s="674"/>
      <c r="BX64" s="674"/>
    </row>
    <row r="65" spans="2:81" s="28" customFormat="1" ht="6" customHeight="1">
      <c r="B65" s="316"/>
      <c r="C65" s="363"/>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120"/>
      <c r="AM65" s="55"/>
      <c r="AN65" s="55"/>
      <c r="AO65" s="55"/>
      <c r="AP65" s="55"/>
      <c r="AQ65" s="55"/>
      <c r="AR65" s="55"/>
      <c r="AS65" s="55"/>
      <c r="AT65" s="55"/>
      <c r="AU65" s="55"/>
      <c r="AV65" s="55"/>
      <c r="AW65" s="55"/>
      <c r="AX65" s="55"/>
      <c r="AY65" s="55"/>
      <c r="AZ65" s="55"/>
      <c r="BA65" s="55"/>
      <c r="BB65" s="55"/>
      <c r="BC65" s="55"/>
      <c r="BD65" s="120"/>
      <c r="BE65" s="55"/>
      <c r="BF65" s="55"/>
      <c r="BG65" s="55"/>
      <c r="BH65" s="317"/>
      <c r="BU65" s="31"/>
      <c r="BV65" s="31"/>
      <c r="BW65" s="31"/>
      <c r="BX65" s="31"/>
      <c r="BY65" s="31"/>
      <c r="BZ65" s="31"/>
      <c r="CA65" s="31"/>
      <c r="CB65" s="31"/>
      <c r="CC65" s="31"/>
    </row>
    <row r="66" spans="2:81" s="28" customFormat="1" ht="17.100000000000001" customHeight="1">
      <c r="B66" s="316"/>
      <c r="C66" s="561" t="str">
        <f>X!$C$238</f>
        <v>Unterhaltskosten</v>
      </c>
      <c r="D66" s="55"/>
      <c r="E66" s="55"/>
      <c r="F66" s="55"/>
      <c r="G66" s="55"/>
      <c r="H66" s="55"/>
      <c r="I66" s="55"/>
      <c r="J66" s="55"/>
      <c r="K66" s="55"/>
      <c r="L66" s="55"/>
      <c r="M66" s="55"/>
      <c r="N66" s="55"/>
      <c r="O66" s="55"/>
      <c r="P66" s="55"/>
      <c r="Q66" s="55"/>
      <c r="R66" s="55" t="s">
        <v>95</v>
      </c>
      <c r="S66" s="55"/>
      <c r="T66" s="55"/>
      <c r="U66" s="55"/>
      <c r="V66" s="55"/>
      <c r="W66" s="55"/>
      <c r="X66" s="55"/>
      <c r="Y66" s="55"/>
      <c r="Z66" s="1728" t="str">
        <f>Z187</f>
        <v>--</v>
      </c>
      <c r="AA66" s="1729"/>
      <c r="AB66" s="1729"/>
      <c r="AC66" s="1729"/>
      <c r="AD66" s="1729"/>
      <c r="AE66" s="1729"/>
      <c r="AF66" s="1729"/>
      <c r="AG66" s="1729"/>
      <c r="AH66" s="1729"/>
      <c r="AI66" s="1729"/>
      <c r="AJ66" s="1729"/>
      <c r="AK66" s="55"/>
      <c r="AL66" s="591" t="s">
        <v>292</v>
      </c>
      <c r="AM66" s="591" t="s">
        <v>292</v>
      </c>
      <c r="AN66" s="591" t="s">
        <v>292</v>
      </c>
      <c r="AO66" s="55"/>
      <c r="AP66" s="55"/>
      <c r="AQ66" s="55"/>
      <c r="AR66" s="1729" t="str">
        <f>AR187</f>
        <v>--</v>
      </c>
      <c r="AS66" s="1729"/>
      <c r="AT66" s="1729"/>
      <c r="AU66" s="1729"/>
      <c r="AV66" s="1729"/>
      <c r="AW66" s="1729"/>
      <c r="AX66" s="1729"/>
      <c r="AY66" s="1729"/>
      <c r="AZ66" s="1729"/>
      <c r="BA66" s="1729"/>
      <c r="BB66" s="1729"/>
      <c r="BC66" s="55"/>
      <c r="BD66" s="120"/>
      <c r="BE66" s="55"/>
      <c r="BF66" s="55"/>
      <c r="BG66" s="55"/>
      <c r="BH66" s="317"/>
      <c r="BU66" s="531"/>
      <c r="BV66" s="531">
        <f>LEN(CA66)</f>
        <v>98</v>
      </c>
      <c r="BW66" s="531"/>
      <c r="BX66" s="531"/>
      <c r="BZ66" s="489" t="s">
        <v>446</v>
      </c>
      <c r="CA66" s="28" t="str">
        <f>X!E448</f>
        <v>Es wird die teuerste der drei Variante übernommen (Standard - Präventiv-Wartung oder Vollservice).</v>
      </c>
      <c r="CB66" s="28" t="str">
        <f>X!F448</f>
        <v>Il est repris avec la plus chère des trois variantes (maintenance standard, préventive ou SAV complet)</v>
      </c>
      <c r="CC66" s="28" t="str">
        <f>X!G448</f>
        <v>Si tiene conto della variante più cara delle tre (manutenzione standard o preventivata o pieno servizio).</v>
      </c>
    </row>
    <row r="67" spans="2:81" s="28" customFormat="1" ht="17.100000000000001" customHeight="1">
      <c r="B67" s="316"/>
      <c r="C67" s="676"/>
      <c r="D67" s="640" t="str">
        <f>X!C396</f>
        <v>Arbeitsweise des Rückkühlers</v>
      </c>
      <c r="E67" s="640"/>
      <c r="F67" s="640"/>
      <c r="G67" s="640"/>
      <c r="H67" s="640"/>
      <c r="I67" s="640"/>
      <c r="J67" s="640"/>
      <c r="K67" s="640"/>
      <c r="L67" s="640"/>
      <c r="M67" s="640"/>
      <c r="N67" s="640"/>
      <c r="O67" s="640"/>
      <c r="P67" s="640"/>
      <c r="Q67" s="640"/>
      <c r="R67" s="640" t="s">
        <v>95</v>
      </c>
      <c r="S67" s="640"/>
      <c r="T67" s="640"/>
      <c r="U67" s="591" t="s">
        <v>292</v>
      </c>
      <c r="V67" s="591" t="s">
        <v>292</v>
      </c>
      <c r="W67" s="591" t="s">
        <v>292</v>
      </c>
      <c r="X67" s="640"/>
      <c r="Y67" s="640"/>
      <c r="Z67" s="1818" t="str">
        <f>Z33</f>
        <v>--</v>
      </c>
      <c r="AA67" s="1818"/>
      <c r="AB67" s="1818"/>
      <c r="AC67" s="1818"/>
      <c r="AD67" s="1818"/>
      <c r="AE67" s="1818"/>
      <c r="AF67" s="1818"/>
      <c r="AG67" s="1818"/>
      <c r="AH67" s="1818"/>
      <c r="AI67" s="1818"/>
      <c r="AJ67" s="1818"/>
      <c r="AK67" s="640"/>
      <c r="AO67" s="640"/>
      <c r="AP67" s="640"/>
      <c r="AQ67" s="640"/>
      <c r="AR67" s="1783" t="str">
        <f>AR33</f>
        <v>--</v>
      </c>
      <c r="AS67" s="1783"/>
      <c r="AT67" s="1783"/>
      <c r="AU67" s="1783"/>
      <c r="AV67" s="1783"/>
      <c r="AW67" s="1783"/>
      <c r="AX67" s="1783"/>
      <c r="AY67" s="1783"/>
      <c r="AZ67" s="1783"/>
      <c r="BA67" s="1783"/>
      <c r="BB67" s="1783"/>
      <c r="BC67" s="640"/>
      <c r="BD67" s="120"/>
      <c r="BE67" s="640"/>
      <c r="BF67" s="640"/>
      <c r="BG67" s="640"/>
      <c r="BH67" s="317"/>
      <c r="BV67" s="1283"/>
      <c r="BW67" s="1283"/>
      <c r="BX67" s="1283"/>
    </row>
    <row r="68" spans="2:81" s="28" customFormat="1" ht="17.100000000000001" customHeight="1">
      <c r="B68" s="316"/>
      <c r="C68" s="363"/>
      <c r="D68" s="566" t="str">
        <f>X!$C$156</f>
        <v xml:space="preserve">Kosten </v>
      </c>
      <c r="E68" s="55"/>
      <c r="F68" s="55"/>
      <c r="G68" s="55"/>
      <c r="H68" s="55"/>
      <c r="I68" s="55"/>
      <c r="J68" s="55"/>
      <c r="K68" s="55"/>
      <c r="L68" s="55"/>
      <c r="M68" s="55"/>
      <c r="N68" s="55"/>
      <c r="O68" s="55"/>
      <c r="P68" s="55"/>
      <c r="Q68" s="55"/>
      <c r="R68" s="55" t="s">
        <v>48</v>
      </c>
      <c r="S68" s="55"/>
      <c r="T68" s="55"/>
      <c r="U68" s="55"/>
      <c r="V68" s="55"/>
      <c r="W68" s="55"/>
      <c r="X68" s="55"/>
      <c r="Y68" s="55"/>
      <c r="Z68" s="1782">
        <f>Z85</f>
        <v>0</v>
      </c>
      <c r="AA68" s="1729"/>
      <c r="AB68" s="1729"/>
      <c r="AC68" s="1729"/>
      <c r="AD68" s="1729"/>
      <c r="AE68" s="1729"/>
      <c r="AF68" s="1729"/>
      <c r="AG68" s="1729"/>
      <c r="AH68" s="1729"/>
      <c r="AI68" s="1729"/>
      <c r="AJ68" s="1729"/>
      <c r="AK68" s="55"/>
      <c r="AL68" s="120"/>
      <c r="AM68" s="595"/>
      <c r="AN68" s="595"/>
      <c r="AO68" s="595"/>
      <c r="AP68" s="55"/>
      <c r="AQ68" s="55"/>
      <c r="AR68" s="1782">
        <f>AR85</f>
        <v>0</v>
      </c>
      <c r="AS68" s="1782"/>
      <c r="AT68" s="1782"/>
      <c r="AU68" s="1782"/>
      <c r="AV68" s="1782"/>
      <c r="AW68" s="1782"/>
      <c r="AX68" s="1782"/>
      <c r="AY68" s="1782"/>
      <c r="AZ68" s="1782"/>
      <c r="BA68" s="1782"/>
      <c r="BB68" s="1782"/>
      <c r="BC68" s="55"/>
      <c r="BD68" s="120"/>
      <c r="BE68" s="55"/>
      <c r="BF68" s="55"/>
      <c r="BG68" s="55"/>
      <c r="BH68" s="317"/>
    </row>
    <row r="69" spans="2:81" s="28" customFormat="1" ht="17.100000000000001" customHeight="1">
      <c r="B69" s="316"/>
      <c r="C69" s="363"/>
      <c r="D69" s="55" t="s">
        <v>318</v>
      </c>
      <c r="E69" s="566" t="str">
        <f>X!$C$158</f>
        <v>Kosten Präventiv-Wartung ohne Material</v>
      </c>
      <c r="F69" s="55"/>
      <c r="G69" s="55"/>
      <c r="H69" s="55"/>
      <c r="I69" s="55"/>
      <c r="J69" s="55"/>
      <c r="K69" s="55"/>
      <c r="L69" s="55"/>
      <c r="M69" s="55"/>
      <c r="N69" s="55"/>
      <c r="O69" s="55"/>
      <c r="P69" s="55"/>
      <c r="Q69" s="55"/>
      <c r="R69" s="55" t="s">
        <v>48</v>
      </c>
      <c r="S69" s="55"/>
      <c r="T69" s="55"/>
      <c r="U69" s="55"/>
      <c r="V69" s="55"/>
      <c r="W69" s="55"/>
      <c r="X69" s="55"/>
      <c r="Y69" s="55"/>
      <c r="Z69" s="1796">
        <f>Z43</f>
        <v>0</v>
      </c>
      <c r="AA69" s="1797"/>
      <c r="AB69" s="1797"/>
      <c r="AC69" s="1797"/>
      <c r="AD69" s="1797"/>
      <c r="AE69" s="1797"/>
      <c r="AF69" s="54"/>
      <c r="AG69" s="54"/>
      <c r="AH69" s="54"/>
      <c r="AI69" s="54"/>
      <c r="AJ69" s="54"/>
      <c r="AK69" s="55"/>
      <c r="AL69" s="120"/>
      <c r="AM69" s="595"/>
      <c r="AN69" s="595"/>
      <c r="AO69" s="595"/>
      <c r="AP69" s="55"/>
      <c r="AQ69" s="55"/>
      <c r="AR69" s="1796">
        <f>AR43</f>
        <v>0</v>
      </c>
      <c r="AS69" s="1797"/>
      <c r="AT69" s="1797"/>
      <c r="AU69" s="1797"/>
      <c r="AV69" s="1797"/>
      <c r="AW69" s="1797"/>
      <c r="AX69" s="599"/>
      <c r="AY69" s="599"/>
      <c r="AZ69" s="599"/>
      <c r="BA69" s="599"/>
      <c r="BB69" s="599"/>
      <c r="BC69" s="55"/>
      <c r="BD69" s="120"/>
      <c r="BE69" s="55"/>
      <c r="BF69" s="55"/>
      <c r="BG69" s="55"/>
      <c r="BH69" s="317"/>
    </row>
    <row r="70" spans="2:81" s="28" customFormat="1" ht="17.100000000000001" customHeight="1">
      <c r="B70" s="316"/>
      <c r="C70" s="363"/>
      <c r="D70" s="55" t="s">
        <v>319</v>
      </c>
      <c r="E70" s="566" t="str">
        <f>X!$C$178</f>
        <v>Material (gerundet)</v>
      </c>
      <c r="F70" s="55"/>
      <c r="G70" s="55"/>
      <c r="H70" s="55"/>
      <c r="I70" s="55"/>
      <c r="J70" s="55"/>
      <c r="K70" s="55"/>
      <c r="L70" s="55"/>
      <c r="M70" s="55"/>
      <c r="N70" s="55"/>
      <c r="O70" s="55"/>
      <c r="P70" s="55"/>
      <c r="Q70" s="55"/>
      <c r="R70" s="55" t="s">
        <v>48</v>
      </c>
      <c r="S70" s="55"/>
      <c r="T70" s="55"/>
      <c r="U70" s="55"/>
      <c r="V70" s="55"/>
      <c r="W70" s="55"/>
      <c r="X70" s="55"/>
      <c r="Y70" s="55"/>
      <c r="Z70" s="1796">
        <f>Z68-Z69</f>
        <v>0</v>
      </c>
      <c r="AA70" s="1797"/>
      <c r="AB70" s="1797"/>
      <c r="AC70" s="1797"/>
      <c r="AD70" s="1797"/>
      <c r="AE70" s="1797"/>
      <c r="AF70" s="54"/>
      <c r="AG70" s="54"/>
      <c r="AH70" s="54"/>
      <c r="AI70" s="54"/>
      <c r="AJ70" s="54"/>
      <c r="AK70" s="55"/>
      <c r="AL70" s="120"/>
      <c r="AM70" s="595"/>
      <c r="AN70" s="595"/>
      <c r="AO70" s="595"/>
      <c r="AP70" s="55"/>
      <c r="AQ70" s="55"/>
      <c r="AR70" s="1796">
        <f>AR68-AR69</f>
        <v>0</v>
      </c>
      <c r="AS70" s="1797"/>
      <c r="AT70" s="1797"/>
      <c r="AU70" s="1797"/>
      <c r="AV70" s="1797"/>
      <c r="AW70" s="1797"/>
      <c r="AX70" s="599"/>
      <c r="AY70" s="599"/>
      <c r="AZ70" s="599"/>
      <c r="BA70" s="599"/>
      <c r="BB70" s="599"/>
      <c r="BC70" s="55"/>
      <c r="BD70" s="120"/>
      <c r="BE70" s="55"/>
      <c r="BF70" s="55"/>
      <c r="BG70" s="55"/>
      <c r="BH70" s="317"/>
    </row>
    <row r="71" spans="2:81" s="28" customFormat="1" ht="6" customHeight="1">
      <c r="B71" s="316"/>
      <c r="C71" s="363"/>
      <c r="D71" s="640"/>
      <c r="E71" s="640"/>
      <c r="F71" s="640"/>
      <c r="G71" s="640"/>
      <c r="H71" s="640"/>
      <c r="I71" s="640"/>
      <c r="J71" s="640"/>
      <c r="K71" s="640"/>
      <c r="L71" s="640"/>
      <c r="M71" s="640"/>
      <c r="N71" s="640"/>
      <c r="O71" s="640"/>
      <c r="P71" s="640"/>
      <c r="Q71" s="640"/>
      <c r="R71" s="640"/>
      <c r="S71" s="640"/>
      <c r="T71" s="640"/>
      <c r="U71" s="640"/>
      <c r="V71" s="640"/>
      <c r="W71" s="640"/>
      <c r="X71" s="640"/>
      <c r="Y71" s="640"/>
      <c r="Z71" s="640"/>
      <c r="AA71" s="640"/>
      <c r="AB71" s="640"/>
      <c r="AC71" s="640"/>
      <c r="AD71" s="640"/>
      <c r="AE71" s="640"/>
      <c r="AF71" s="640"/>
      <c r="AG71" s="640"/>
      <c r="AH71" s="640"/>
      <c r="AI71" s="640"/>
      <c r="AJ71" s="640"/>
      <c r="AK71" s="640"/>
      <c r="AL71" s="120"/>
      <c r="AM71" s="640"/>
      <c r="AN71" s="640"/>
      <c r="AO71" s="640"/>
      <c r="AP71" s="640"/>
      <c r="AQ71" s="640"/>
      <c r="AR71" s="640"/>
      <c r="AS71" s="640"/>
      <c r="AT71" s="640"/>
      <c r="AU71" s="640"/>
      <c r="AV71" s="640"/>
      <c r="AW71" s="640"/>
      <c r="AX71" s="640"/>
      <c r="AY71" s="640"/>
      <c r="AZ71" s="640"/>
      <c r="BA71" s="640"/>
      <c r="BB71" s="640"/>
      <c r="BC71" s="640"/>
      <c r="BD71" s="120"/>
      <c r="BE71" s="640"/>
      <c r="BF71" s="640"/>
      <c r="BG71" s="640"/>
      <c r="BH71" s="317"/>
      <c r="BU71" s="31"/>
      <c r="BV71" s="31"/>
      <c r="BW71" s="31"/>
      <c r="BX71" s="31"/>
      <c r="BY71" s="31"/>
      <c r="BZ71" s="31"/>
      <c r="CA71" s="31"/>
      <c r="CB71" s="31"/>
      <c r="CC71" s="31"/>
    </row>
    <row r="72" spans="2:81" s="28" customFormat="1" ht="17.100000000000001" customHeight="1">
      <c r="B72" s="316"/>
      <c r="C72" s="687" t="str">
        <f>AG203</f>
        <v/>
      </c>
      <c r="D72" s="687"/>
      <c r="E72" s="687"/>
      <c r="F72" s="687"/>
      <c r="G72" s="687"/>
      <c r="H72" s="687"/>
      <c r="I72" s="687"/>
      <c r="J72" s="687"/>
      <c r="K72" s="687"/>
      <c r="L72" s="687"/>
      <c r="M72" s="687"/>
      <c r="N72" s="687"/>
      <c r="O72" s="687"/>
      <c r="P72" s="687"/>
      <c r="Q72" s="640"/>
      <c r="R72" s="640" t="s">
        <v>234</v>
      </c>
      <c r="S72" s="640"/>
      <c r="T72" s="640"/>
      <c r="U72" s="640"/>
      <c r="V72" s="640"/>
      <c r="W72" s="640"/>
      <c r="X72" s="640"/>
      <c r="Y72" s="640"/>
      <c r="Z72" s="1790">
        <f>AM203</f>
        <v>0</v>
      </c>
      <c r="AA72" s="1790"/>
      <c r="AB72" s="1790"/>
      <c r="AC72" s="1790"/>
      <c r="AD72" s="1790"/>
      <c r="AE72" s="1790"/>
      <c r="AF72" s="1790"/>
      <c r="AG72" s="1790"/>
      <c r="AH72" s="1790"/>
      <c r="AI72" s="1790"/>
      <c r="AJ72" s="1790"/>
      <c r="AK72" s="640"/>
      <c r="AL72" s="120"/>
      <c r="AM72" s="640"/>
      <c r="AN72" s="640"/>
      <c r="AO72" s="640"/>
      <c r="AP72" s="640"/>
      <c r="AQ72" s="640"/>
      <c r="AR72" s="1785">
        <f>Z72</f>
        <v>0</v>
      </c>
      <c r="AS72" s="1785"/>
      <c r="AT72" s="1785"/>
      <c r="AU72" s="1785"/>
      <c r="AV72" s="1785"/>
      <c r="AW72" s="1785"/>
      <c r="AX72" s="1785"/>
      <c r="AY72" s="1785"/>
      <c r="AZ72" s="1785"/>
      <c r="BA72" s="1785"/>
      <c r="BB72" s="1785"/>
      <c r="BC72" s="640"/>
      <c r="BD72" s="120"/>
      <c r="BE72" s="640"/>
      <c r="BF72" s="640"/>
      <c r="BG72" s="640"/>
      <c r="BH72" s="317"/>
      <c r="BM72" s="1205">
        <v>1</v>
      </c>
      <c r="BP72" s="28" t="s">
        <v>1056</v>
      </c>
      <c r="BV72" s="764"/>
      <c r="BW72" s="764"/>
      <c r="BX72" s="764"/>
    </row>
    <row r="73" spans="2:81" s="28" customFormat="1" ht="17.100000000000001" customHeight="1">
      <c r="B73" s="316"/>
      <c r="C73" s="363"/>
      <c r="D73" s="55"/>
      <c r="E73" s="55"/>
      <c r="F73" s="55"/>
      <c r="G73" s="55"/>
      <c r="H73" s="55"/>
      <c r="I73" s="55"/>
      <c r="J73" s="55"/>
      <c r="K73" s="55"/>
      <c r="L73" s="55"/>
      <c r="M73" s="55"/>
      <c r="N73" s="55"/>
      <c r="O73" s="55"/>
      <c r="P73" s="55"/>
      <c r="Q73" s="55"/>
      <c r="R73" s="55"/>
      <c r="S73" s="55"/>
      <c r="T73" s="55"/>
      <c r="U73" s="55"/>
      <c r="V73" s="55"/>
      <c r="W73" s="55"/>
      <c r="X73" s="55"/>
      <c r="Y73" s="55"/>
      <c r="Z73" s="394"/>
      <c r="AA73" s="393"/>
      <c r="AB73" s="393"/>
      <c r="AC73" s="393"/>
      <c r="AD73" s="393"/>
      <c r="AE73" s="393"/>
      <c r="AF73" s="393"/>
      <c r="AG73" s="393"/>
      <c r="AH73" s="393"/>
      <c r="AI73" s="393"/>
      <c r="AJ73" s="393"/>
      <c r="AK73" s="55"/>
      <c r="AL73" s="120"/>
      <c r="AM73" s="55"/>
      <c r="AN73" s="55"/>
      <c r="AO73" s="55"/>
      <c r="AP73" s="55"/>
      <c r="AQ73" s="55"/>
      <c r="AR73" s="394"/>
      <c r="AS73" s="393"/>
      <c r="AT73" s="393"/>
      <c r="AU73" s="393"/>
      <c r="AV73" s="393"/>
      <c r="AW73" s="393"/>
      <c r="AX73" s="393"/>
      <c r="AY73" s="393"/>
      <c r="AZ73" s="393"/>
      <c r="BA73" s="393"/>
      <c r="BB73" s="393"/>
      <c r="BC73" s="55"/>
      <c r="BD73" s="120"/>
      <c r="BE73" s="55"/>
      <c r="BF73" s="55"/>
      <c r="BG73" s="55"/>
      <c r="BH73" s="317"/>
    </row>
    <row r="74" spans="2:81" s="28" customFormat="1" ht="17.100000000000001" customHeight="1">
      <c r="B74" s="316"/>
      <c r="C74" s="579" t="str">
        <f>X!$C$134</f>
        <v>Jährliche Kosten</v>
      </c>
      <c r="D74" s="55"/>
      <c r="E74" s="55"/>
      <c r="F74" s="55"/>
      <c r="G74" s="55"/>
      <c r="H74" s="55"/>
      <c r="I74" s="55"/>
      <c r="J74" s="55"/>
      <c r="K74" s="55"/>
      <c r="L74" s="55"/>
      <c r="M74" s="55"/>
      <c r="N74" s="55"/>
      <c r="O74" s="55"/>
      <c r="P74" s="55"/>
      <c r="Q74" s="55"/>
      <c r="R74" s="55"/>
      <c r="S74" s="55"/>
      <c r="T74" s="55"/>
      <c r="U74" s="55"/>
      <c r="V74" s="55"/>
      <c r="W74" s="55"/>
      <c r="X74" s="55"/>
      <c r="Y74" s="55"/>
      <c r="Z74" s="394"/>
      <c r="AA74" s="393"/>
      <c r="AB74" s="393"/>
      <c r="AC74" s="393"/>
      <c r="AD74" s="393"/>
      <c r="AE74" s="393"/>
      <c r="AF74" s="393"/>
      <c r="AG74" s="393"/>
      <c r="AH74" s="393"/>
      <c r="AI74" s="393"/>
      <c r="AJ74" s="393"/>
      <c r="AK74" s="55"/>
      <c r="AL74" s="120"/>
      <c r="AM74" s="55"/>
      <c r="AN74" s="55"/>
      <c r="AO74" s="55"/>
      <c r="AP74" s="55"/>
      <c r="AQ74" s="55"/>
      <c r="AR74" s="394"/>
      <c r="AS74" s="393"/>
      <c r="AT74" s="393"/>
      <c r="AU74" s="393"/>
      <c r="AV74" s="393"/>
      <c r="AW74" s="393"/>
      <c r="AX74" s="393"/>
      <c r="AY74" s="393"/>
      <c r="AZ74" s="393"/>
      <c r="BA74" s="393"/>
      <c r="BB74" s="393"/>
      <c r="BC74" s="55"/>
      <c r="BD74" s="120"/>
      <c r="BE74" s="55"/>
      <c r="BF74" s="55"/>
      <c r="BG74" s="55"/>
      <c r="BH74" s="317"/>
      <c r="BV74" s="531"/>
      <c r="BW74" s="531"/>
      <c r="BX74" s="531"/>
    </row>
    <row r="75" spans="2:81" ht="9.9499999999999993" customHeight="1">
      <c r="B75" s="311"/>
      <c r="C75" s="477"/>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92"/>
      <c r="AK75" s="52"/>
      <c r="AL75" s="93"/>
      <c r="AM75" s="52"/>
      <c r="AN75" s="52"/>
      <c r="AO75" s="52"/>
      <c r="AP75" s="52"/>
      <c r="AQ75" s="52"/>
      <c r="AR75" s="52"/>
      <c r="AS75" s="52"/>
      <c r="AT75" s="52"/>
      <c r="AU75" s="52"/>
      <c r="AV75" s="52"/>
      <c r="AW75" s="52"/>
      <c r="AX75" s="52"/>
      <c r="AY75" s="52"/>
      <c r="AZ75" s="52"/>
      <c r="BA75" s="52"/>
      <c r="BB75" s="92"/>
      <c r="BC75" s="52"/>
      <c r="BD75" s="93"/>
      <c r="BE75" s="52"/>
      <c r="BF75" s="52"/>
      <c r="BG75" s="52"/>
      <c r="BH75" s="312"/>
      <c r="BU75" s="28"/>
      <c r="BV75" s="28"/>
      <c r="BW75" s="28"/>
      <c r="BX75" s="28"/>
      <c r="BY75" s="28"/>
      <c r="BZ75" s="28"/>
      <c r="CA75" s="28"/>
      <c r="CB75" s="28"/>
      <c r="CC75" s="28"/>
    </row>
    <row r="76" spans="2:81" ht="17.100000000000001" customHeight="1">
      <c r="B76" s="311"/>
      <c r="C76" s="495">
        <v>2.1</v>
      </c>
      <c r="D76" s="544" t="str">
        <f>X!$C$135</f>
        <v>Jährliche Kosten (ökonomisch)</v>
      </c>
      <c r="E76" s="52"/>
      <c r="F76" s="52"/>
      <c r="G76" s="52"/>
      <c r="H76" s="52"/>
      <c r="I76" s="52"/>
      <c r="J76" s="52"/>
      <c r="K76" s="52"/>
      <c r="L76" s="52"/>
      <c r="M76" s="52"/>
      <c r="N76" s="52"/>
      <c r="O76" s="52"/>
      <c r="P76" s="52"/>
      <c r="Q76" s="52"/>
      <c r="R76" s="52"/>
      <c r="S76" s="52"/>
      <c r="T76" s="52"/>
      <c r="U76" s="52"/>
      <c r="V76" s="52"/>
      <c r="W76" s="52"/>
      <c r="X76" s="52"/>
      <c r="Y76" s="52"/>
      <c r="AK76" s="52"/>
      <c r="AL76" s="93"/>
      <c r="AM76" s="52"/>
      <c r="AN76" s="52"/>
      <c r="AO76" s="52"/>
      <c r="AP76" s="52"/>
      <c r="AQ76" s="52"/>
      <c r="BC76" s="52"/>
      <c r="BD76" s="93"/>
      <c r="BE76" s="52"/>
      <c r="BF76" s="52"/>
      <c r="BG76" s="52"/>
      <c r="BH76" s="312"/>
      <c r="BU76" s="28"/>
      <c r="BV76" s="28"/>
      <c r="BW76" s="28"/>
      <c r="BX76" s="28"/>
      <c r="BY76" s="28"/>
      <c r="BZ76" s="28"/>
      <c r="CA76" s="28"/>
      <c r="CB76" s="28"/>
      <c r="CC76" s="28"/>
    </row>
    <row r="77" spans="2:81" ht="17.100000000000001" hidden="1" customHeight="1" outlineLevel="1">
      <c r="B77" s="311"/>
      <c r="C77" s="477"/>
      <c r="E77" s="52" t="s">
        <v>231</v>
      </c>
      <c r="F77" s="52"/>
      <c r="G77" s="52"/>
      <c r="H77" s="52"/>
      <c r="I77" s="52"/>
      <c r="J77" s="52"/>
      <c r="K77" s="52"/>
      <c r="L77" s="52"/>
      <c r="M77" s="52"/>
      <c r="N77" s="52"/>
      <c r="O77" s="52"/>
      <c r="P77" s="52"/>
      <c r="Q77" s="52"/>
      <c r="R77" s="52" t="s">
        <v>48</v>
      </c>
      <c r="S77" s="52"/>
      <c r="T77" s="52"/>
      <c r="U77" s="52"/>
      <c r="V77" s="52"/>
      <c r="W77" s="52"/>
      <c r="X77" s="52"/>
      <c r="Y77" s="52"/>
      <c r="Z77" s="1728">
        <f>IF(Z60=0,0,Z37/Z60)</f>
        <v>0</v>
      </c>
      <c r="AA77" s="1728"/>
      <c r="AB77" s="1728"/>
      <c r="AC77" s="1728"/>
      <c r="AD77" s="1728"/>
      <c r="AE77" s="1728"/>
      <c r="AF77" s="1728"/>
      <c r="AG77" s="1728"/>
      <c r="AH77" s="1728"/>
      <c r="AI77" s="1728"/>
      <c r="AJ77" s="1728"/>
      <c r="AK77" s="52"/>
      <c r="AL77" s="93"/>
      <c r="AM77" s="52"/>
      <c r="AN77" s="52"/>
      <c r="AO77" s="52"/>
      <c r="AP77" s="52"/>
      <c r="AQ77" s="52"/>
      <c r="AR77" s="1728">
        <f>IF(AR60=0,0,AR37/AR60)</f>
        <v>0</v>
      </c>
      <c r="AS77" s="1728"/>
      <c r="AT77" s="1728"/>
      <c r="AU77" s="1728"/>
      <c r="AV77" s="1728"/>
      <c r="AW77" s="1728"/>
      <c r="AX77" s="1728"/>
      <c r="AY77" s="1728"/>
      <c r="AZ77" s="1728"/>
      <c r="BA77" s="1728"/>
      <c r="BB77" s="1728"/>
      <c r="BC77" s="52"/>
      <c r="BD77" s="93"/>
      <c r="BE77" s="52"/>
      <c r="BF77" s="52"/>
      <c r="BG77" s="52"/>
      <c r="BH77" s="312"/>
      <c r="BU77" s="28"/>
      <c r="BV77" s="28"/>
      <c r="BW77" s="28"/>
      <c r="BX77" s="28"/>
      <c r="BY77" s="28"/>
      <c r="BZ77" s="28"/>
      <c r="CA77" s="28"/>
      <c r="CB77" s="28"/>
      <c r="CC77" s="28"/>
    </row>
    <row r="78" spans="2:81" ht="17.100000000000001" hidden="1" customHeight="1" outlineLevel="1">
      <c r="B78" s="311"/>
      <c r="C78" s="477"/>
      <c r="D78" s="52"/>
      <c r="E78" s="52" t="s">
        <v>237</v>
      </c>
      <c r="F78" s="52"/>
      <c r="G78" s="52"/>
      <c r="H78" s="52"/>
      <c r="I78" s="52"/>
      <c r="J78" s="52"/>
      <c r="K78" s="52"/>
      <c r="L78" s="52"/>
      <c r="M78" s="52"/>
      <c r="N78" s="52"/>
      <c r="O78" s="52"/>
      <c r="P78" s="52"/>
      <c r="Q78" s="52"/>
      <c r="R78" s="52"/>
      <c r="S78" s="52"/>
      <c r="T78" s="52"/>
      <c r="U78" s="52"/>
      <c r="V78" s="52"/>
      <c r="W78" s="52"/>
      <c r="X78" s="52"/>
      <c r="Y78" s="52"/>
      <c r="Z78" s="1785">
        <f>IF(Z77&lt;10000,-2,-3)</f>
        <v>-2</v>
      </c>
      <c r="AA78" s="1785"/>
      <c r="AB78" s="1785"/>
      <c r="AC78" s="1785"/>
      <c r="AD78" s="1785"/>
      <c r="AE78" s="1785"/>
      <c r="AF78" s="1785"/>
      <c r="AG78" s="1785"/>
      <c r="AH78" s="1785"/>
      <c r="AI78" s="1785"/>
      <c r="AJ78" s="1785"/>
      <c r="AK78" s="52"/>
      <c r="AL78" s="93"/>
      <c r="AM78" s="52"/>
      <c r="AN78" s="52"/>
      <c r="AO78" s="52"/>
      <c r="AP78" s="52"/>
      <c r="AQ78" s="52"/>
      <c r="AR78" s="1785">
        <f>IF(AR77&lt;10000,-2,-3)</f>
        <v>-2</v>
      </c>
      <c r="AS78" s="1785"/>
      <c r="AT78" s="1785"/>
      <c r="AU78" s="1785"/>
      <c r="AV78" s="1785"/>
      <c r="AW78" s="1785"/>
      <c r="AX78" s="1785"/>
      <c r="AY78" s="1785"/>
      <c r="AZ78" s="1785"/>
      <c r="BA78" s="1785"/>
      <c r="BB78" s="1785"/>
      <c r="BC78" s="52"/>
      <c r="BD78" s="93"/>
      <c r="BE78" s="52"/>
      <c r="BF78" s="52"/>
      <c r="BG78" s="52"/>
      <c r="BH78" s="312"/>
      <c r="BU78" s="28"/>
      <c r="BV78" s="28"/>
      <c r="BW78" s="28"/>
      <c r="BX78" s="28"/>
      <c r="BY78" s="28"/>
      <c r="BZ78" s="28"/>
      <c r="CA78" s="28"/>
      <c r="CB78" s="28"/>
      <c r="CC78" s="28"/>
    </row>
    <row r="79" spans="2:81" s="28" customFormat="1" ht="17.100000000000001" customHeight="1" collapsed="1">
      <c r="B79" s="316"/>
      <c r="C79" s="363"/>
      <c r="D79" s="622" t="str">
        <f>X!$C$128</f>
        <v>Investitionskosten</v>
      </c>
      <c r="E79" s="640"/>
      <c r="F79" s="640"/>
      <c r="G79" s="640"/>
      <c r="H79" s="640"/>
      <c r="I79" s="640"/>
      <c r="J79" s="640"/>
      <c r="K79" s="640"/>
      <c r="L79" s="640"/>
      <c r="M79" s="640"/>
      <c r="N79" s="640"/>
      <c r="O79" s="640"/>
      <c r="P79" s="640"/>
      <c r="Q79" s="640"/>
      <c r="R79" s="640" t="s">
        <v>48</v>
      </c>
      <c r="S79" s="640"/>
      <c r="T79" s="640"/>
      <c r="U79" s="640"/>
      <c r="V79" s="640"/>
      <c r="W79" s="640"/>
      <c r="X79" s="640"/>
      <c r="Y79" s="640"/>
      <c r="Z79" s="1782">
        <f>ROUND(Z77,Z78)</f>
        <v>0</v>
      </c>
      <c r="AA79" s="1782"/>
      <c r="AB79" s="1782"/>
      <c r="AC79" s="1782"/>
      <c r="AD79" s="1782"/>
      <c r="AE79" s="1782"/>
      <c r="AF79" s="1782"/>
      <c r="AG79" s="1782"/>
      <c r="AH79" s="1782"/>
      <c r="AI79" s="1782"/>
      <c r="AJ79" s="1782"/>
      <c r="AK79" s="640"/>
      <c r="AL79" s="120"/>
      <c r="AM79" s="640"/>
      <c r="AN79" s="640"/>
      <c r="AO79" s="640"/>
      <c r="AP79" s="640"/>
      <c r="AQ79" s="640"/>
      <c r="AR79" s="1782">
        <f>ROUND(AR77,AR78)</f>
        <v>0</v>
      </c>
      <c r="AS79" s="1782"/>
      <c r="AT79" s="1782"/>
      <c r="AU79" s="1782"/>
      <c r="AV79" s="1782"/>
      <c r="AW79" s="1782"/>
      <c r="AX79" s="1782"/>
      <c r="AY79" s="1782"/>
      <c r="AZ79" s="1782"/>
      <c r="BA79" s="1782"/>
      <c r="BB79" s="1782"/>
      <c r="BC79" s="640"/>
      <c r="BD79" s="120"/>
      <c r="BE79" s="640"/>
      <c r="BF79" s="640"/>
      <c r="BG79" s="640"/>
      <c r="BH79" s="317"/>
      <c r="BU79" s="155"/>
      <c r="BV79" s="155"/>
      <c r="BW79" s="155"/>
      <c r="BX79" s="155"/>
      <c r="BY79" s="155"/>
      <c r="BZ79" s="155"/>
      <c r="CA79" s="155"/>
      <c r="CB79" s="155"/>
      <c r="CC79" s="155"/>
    </row>
    <row r="80" spans="2:81" s="28" customFormat="1" ht="17.100000000000001" hidden="1" customHeight="1" outlineLevel="1">
      <c r="B80" s="316"/>
      <c r="C80" s="363"/>
      <c r="D80" s="640"/>
      <c r="E80" s="640"/>
      <c r="F80" s="640"/>
      <c r="G80" s="640"/>
      <c r="H80" s="640"/>
      <c r="I80" s="640"/>
      <c r="J80" s="640"/>
      <c r="K80" s="640"/>
      <c r="L80" s="640"/>
      <c r="M80" s="640"/>
      <c r="N80" s="640"/>
      <c r="O80" s="640"/>
      <c r="P80" s="640"/>
      <c r="Q80" s="640"/>
      <c r="R80" s="640"/>
      <c r="S80" s="640"/>
      <c r="T80" s="640"/>
      <c r="U80" s="640"/>
      <c r="V80" s="640"/>
      <c r="W80" s="640"/>
      <c r="X80" s="640"/>
      <c r="Y80" s="640"/>
      <c r="Z80" s="686"/>
      <c r="AA80" s="686"/>
      <c r="AB80" s="686"/>
      <c r="AC80" s="686"/>
      <c r="AD80" s="686"/>
      <c r="AE80" s="686"/>
      <c r="AF80" s="686"/>
      <c r="AG80" s="686"/>
      <c r="AH80" s="686"/>
      <c r="AI80" s="686"/>
      <c r="AJ80" s="686"/>
      <c r="AK80" s="640"/>
      <c r="AL80" s="120"/>
      <c r="AM80" s="640"/>
      <c r="AN80" s="640"/>
      <c r="AO80" s="640"/>
      <c r="AP80" s="640"/>
      <c r="AQ80" s="640"/>
      <c r="AR80" s="1782"/>
      <c r="AS80" s="1782"/>
      <c r="AT80" s="1782"/>
      <c r="AU80" s="1782"/>
      <c r="AV80" s="1782"/>
      <c r="AW80" s="1782"/>
      <c r="AX80" s="1782"/>
      <c r="AY80" s="1782"/>
      <c r="AZ80" s="1782"/>
      <c r="BA80" s="1782"/>
      <c r="BB80" s="1782"/>
      <c r="BC80" s="640"/>
      <c r="BD80" s="120"/>
      <c r="BE80" s="640"/>
      <c r="BF80" s="640"/>
      <c r="BG80" s="640"/>
      <c r="BH80" s="317"/>
    </row>
    <row r="81" spans="2:76" s="28" customFormat="1" ht="17.100000000000001" hidden="1" customHeight="1" outlineLevel="1">
      <c r="B81" s="316"/>
      <c r="C81" s="363"/>
      <c r="D81" s="775" t="str">
        <f>C41</f>
        <v>Unterhaltskosten (Eingabe fakultativ)</v>
      </c>
      <c r="E81" s="640"/>
      <c r="F81" s="640"/>
      <c r="G81" s="640"/>
      <c r="H81" s="640"/>
      <c r="I81" s="640"/>
      <c r="J81" s="640"/>
      <c r="K81" s="640"/>
      <c r="L81" s="640"/>
      <c r="M81" s="640"/>
      <c r="N81" s="640"/>
      <c r="O81" s="640"/>
      <c r="P81" s="640"/>
      <c r="Q81" s="640"/>
      <c r="R81" s="667"/>
      <c r="S81" s="640"/>
      <c r="T81" s="640"/>
      <c r="U81" s="640"/>
      <c r="V81" s="640"/>
      <c r="W81" s="640"/>
      <c r="X81" s="640"/>
      <c r="Y81" s="640"/>
      <c r="Z81" s="478"/>
      <c r="AA81" s="478"/>
      <c r="AB81" s="478"/>
      <c r="AC81" s="478"/>
      <c r="AD81" s="478"/>
      <c r="AE81" s="478"/>
      <c r="AF81" s="478"/>
      <c r="AG81" s="478"/>
      <c r="AH81" s="478"/>
      <c r="AI81" s="478"/>
      <c r="AJ81" s="478"/>
      <c r="AK81" s="640"/>
      <c r="AL81" s="120"/>
      <c r="AM81" s="640"/>
      <c r="AN81" s="640"/>
      <c r="AO81" s="640"/>
      <c r="AP81" s="640"/>
      <c r="AQ81" s="640"/>
      <c r="AR81" s="1782"/>
      <c r="AS81" s="1782"/>
      <c r="AT81" s="1782"/>
      <c r="AU81" s="1782"/>
      <c r="AV81" s="1782"/>
      <c r="AW81" s="1782"/>
      <c r="AX81" s="1782"/>
      <c r="AY81" s="1782"/>
      <c r="AZ81" s="1782"/>
      <c r="BA81" s="1782"/>
      <c r="BB81" s="1782"/>
      <c r="BC81" s="640"/>
      <c r="BD81" s="120"/>
      <c r="BE81" s="640"/>
      <c r="BF81" s="640"/>
      <c r="BG81" s="640"/>
      <c r="BH81" s="317"/>
    </row>
    <row r="82" spans="2:76" s="28" customFormat="1" ht="6.95" hidden="1" customHeight="1" outlineLevel="1">
      <c r="B82" s="316"/>
      <c r="C82" s="363"/>
      <c r="E82" s="640"/>
      <c r="F82" s="640"/>
      <c r="G82" s="640"/>
      <c r="H82" s="640"/>
      <c r="I82" s="640"/>
      <c r="J82" s="640"/>
      <c r="K82" s="640"/>
      <c r="L82" s="640"/>
      <c r="M82" s="640"/>
      <c r="N82" s="640"/>
      <c r="O82" s="640"/>
      <c r="P82" s="640"/>
      <c r="Q82" s="640"/>
      <c r="R82" s="640"/>
      <c r="S82" s="640"/>
      <c r="T82" s="640"/>
      <c r="U82" s="640"/>
      <c r="V82" s="640"/>
      <c r="W82" s="640"/>
      <c r="X82" s="640"/>
      <c r="Y82" s="640"/>
      <c r="Z82" s="686"/>
      <c r="AA82" s="686"/>
      <c r="AB82" s="686"/>
      <c r="AC82" s="686"/>
      <c r="AD82" s="686"/>
      <c r="AE82" s="686"/>
      <c r="AF82" s="686"/>
      <c r="AG82" s="686"/>
      <c r="AH82" s="686"/>
      <c r="AI82" s="686"/>
      <c r="AJ82" s="686"/>
      <c r="AK82" s="640"/>
      <c r="AL82" s="120"/>
      <c r="AM82" s="640"/>
      <c r="AN82" s="640"/>
      <c r="AO82" s="640"/>
      <c r="AP82" s="640"/>
      <c r="AQ82" s="640"/>
      <c r="AR82" s="686"/>
      <c r="AS82" s="686"/>
      <c r="AT82" s="686"/>
      <c r="AU82" s="686"/>
      <c r="AV82" s="686"/>
      <c r="AW82" s="686"/>
      <c r="AX82" s="686"/>
      <c r="AY82" s="686"/>
      <c r="AZ82" s="686"/>
      <c r="BA82" s="686"/>
      <c r="BB82" s="686"/>
      <c r="BC82" s="640"/>
      <c r="BD82" s="120"/>
      <c r="BE82" s="640"/>
      <c r="BF82" s="640"/>
      <c r="BG82" s="640"/>
      <c r="BH82" s="317"/>
    </row>
    <row r="83" spans="2:76" s="28" customFormat="1" ht="17.100000000000001" hidden="1" customHeight="1" outlineLevel="1">
      <c r="B83" s="316"/>
      <c r="C83" s="363"/>
      <c r="E83" s="667" t="s">
        <v>312</v>
      </c>
      <c r="F83" s="640"/>
      <c r="G83" s="640"/>
      <c r="H83" s="640"/>
      <c r="I83" s="640"/>
      <c r="J83" s="640"/>
      <c r="K83" s="640"/>
      <c r="L83" s="640"/>
      <c r="M83" s="640"/>
      <c r="N83" s="640"/>
      <c r="O83" s="640"/>
      <c r="P83" s="640"/>
      <c r="Q83" s="640"/>
      <c r="R83" s="640" t="s">
        <v>48</v>
      </c>
      <c r="S83" s="640"/>
      <c r="T83" s="640"/>
      <c r="U83" s="640"/>
      <c r="V83" s="640"/>
      <c r="W83" s="640"/>
      <c r="X83" s="640"/>
      <c r="Y83" s="640"/>
      <c r="Z83" s="1782">
        <f>MAX(Z168,Z171,Z177)</f>
        <v>0</v>
      </c>
      <c r="AA83" s="1782"/>
      <c r="AB83" s="1782"/>
      <c r="AC83" s="1782"/>
      <c r="AD83" s="1782"/>
      <c r="AE83" s="1782"/>
      <c r="AF83" s="1782"/>
      <c r="AG83" s="1782"/>
      <c r="AH83" s="1782"/>
      <c r="AI83" s="1782"/>
      <c r="AJ83" s="1782"/>
      <c r="AK83" s="640"/>
      <c r="AL83" s="120"/>
      <c r="AM83" s="640"/>
      <c r="AN83" s="640"/>
      <c r="AO83" s="640"/>
      <c r="AP83" s="640"/>
      <c r="AQ83" s="640"/>
      <c r="AR83" s="1782">
        <f>MAX(AR168,AR171,AR177)</f>
        <v>0</v>
      </c>
      <c r="AS83" s="1782"/>
      <c r="AT83" s="1782"/>
      <c r="AU83" s="1782"/>
      <c r="AV83" s="1782"/>
      <c r="AW83" s="1782"/>
      <c r="AX83" s="1782"/>
      <c r="AY83" s="1782"/>
      <c r="AZ83" s="1782"/>
      <c r="BA83" s="1782"/>
      <c r="BB83" s="1782"/>
      <c r="BC83" s="640"/>
      <c r="BD83" s="120"/>
      <c r="BE83" s="640"/>
      <c r="BF83" s="640"/>
      <c r="BG83" s="640"/>
      <c r="BH83" s="317"/>
    </row>
    <row r="84" spans="2:76" s="28" customFormat="1" ht="17.100000000000001" hidden="1" customHeight="1" outlineLevel="1">
      <c r="B84" s="316"/>
      <c r="C84" s="363"/>
      <c r="D84" s="640"/>
      <c r="E84" s="640" t="s">
        <v>237</v>
      </c>
      <c r="F84" s="640"/>
      <c r="G84" s="640"/>
      <c r="H84" s="640"/>
      <c r="I84" s="640"/>
      <c r="J84" s="640"/>
      <c r="K84" s="640"/>
      <c r="L84" s="640"/>
      <c r="M84" s="640"/>
      <c r="N84" s="640"/>
      <c r="O84" s="640"/>
      <c r="P84" s="640"/>
      <c r="Q84" s="640"/>
      <c r="R84" s="640"/>
      <c r="S84" s="640"/>
      <c r="T84" s="640"/>
      <c r="U84" s="640"/>
      <c r="V84" s="640"/>
      <c r="W84" s="640"/>
      <c r="X84" s="640"/>
      <c r="Y84" s="640"/>
      <c r="Z84" s="1785">
        <f>IF(Z83&lt;10000,-2,-3)</f>
        <v>-2</v>
      </c>
      <c r="AA84" s="1785"/>
      <c r="AB84" s="1785"/>
      <c r="AC84" s="1785"/>
      <c r="AD84" s="1785"/>
      <c r="AE84" s="1785"/>
      <c r="AF84" s="1785"/>
      <c r="AG84" s="1785"/>
      <c r="AH84" s="1785"/>
      <c r="AI84" s="1785"/>
      <c r="AJ84" s="1785"/>
      <c r="AK84" s="640"/>
      <c r="AL84" s="120"/>
      <c r="AM84" s="640"/>
      <c r="AN84" s="640"/>
      <c r="AO84" s="640"/>
      <c r="AP84" s="640"/>
      <c r="AQ84" s="640"/>
      <c r="AR84" s="1785">
        <f>IF(AR83&lt;10000,-2,-3)</f>
        <v>-2</v>
      </c>
      <c r="AS84" s="1785"/>
      <c r="AT84" s="1785"/>
      <c r="AU84" s="1785"/>
      <c r="AV84" s="1785"/>
      <c r="AW84" s="1785"/>
      <c r="AX84" s="1785"/>
      <c r="AY84" s="1785"/>
      <c r="AZ84" s="1785"/>
      <c r="BA84" s="1785"/>
      <c r="BB84" s="1785"/>
      <c r="BC84" s="640"/>
      <c r="BD84" s="120"/>
      <c r="BE84" s="640"/>
      <c r="BF84" s="640"/>
      <c r="BG84" s="640"/>
      <c r="BH84" s="317"/>
    </row>
    <row r="85" spans="2:76" s="28" customFormat="1" ht="17.100000000000001" customHeight="1" collapsed="1">
      <c r="B85" s="316"/>
      <c r="C85" s="363"/>
      <c r="D85" s="622" t="str">
        <f>X!$C$237</f>
        <v>Unterhaltskosten</v>
      </c>
      <c r="E85" s="640"/>
      <c r="F85" s="640"/>
      <c r="G85" s="640"/>
      <c r="H85" s="640"/>
      <c r="I85" s="640"/>
      <c r="J85" s="640"/>
      <c r="K85" s="640"/>
      <c r="L85" s="640"/>
      <c r="M85" s="640"/>
      <c r="N85" s="640"/>
      <c r="O85" s="640"/>
      <c r="P85" s="640"/>
      <c r="Q85" s="640"/>
      <c r="R85" s="640" t="s">
        <v>48</v>
      </c>
      <c r="S85" s="640"/>
      <c r="T85" s="640"/>
      <c r="U85" s="640"/>
      <c r="V85" s="640"/>
      <c r="W85" s="640"/>
      <c r="X85" s="640"/>
      <c r="Y85" s="640"/>
      <c r="Z85" s="1782">
        <f>IF(Z83&gt;0,ROUND(Z83,Z84),0)</f>
        <v>0</v>
      </c>
      <c r="AA85" s="1782"/>
      <c r="AB85" s="1782"/>
      <c r="AC85" s="1782"/>
      <c r="AD85" s="1782"/>
      <c r="AE85" s="1782"/>
      <c r="AF85" s="1782"/>
      <c r="AG85" s="1782"/>
      <c r="AH85" s="1782"/>
      <c r="AI85" s="1782"/>
      <c r="AJ85" s="1782"/>
      <c r="AK85" s="640"/>
      <c r="AL85" s="120"/>
      <c r="AM85" s="640"/>
      <c r="AN85" s="640"/>
      <c r="AO85" s="640"/>
      <c r="AP85" s="640"/>
      <c r="AQ85" s="640"/>
      <c r="AR85" s="1784">
        <f>IF(AR83&gt;0,ROUND(AR83,AR84),0)</f>
        <v>0</v>
      </c>
      <c r="AS85" s="1782"/>
      <c r="AT85" s="1782"/>
      <c r="AU85" s="1782"/>
      <c r="AV85" s="1782"/>
      <c r="AW85" s="1782"/>
      <c r="AX85" s="1782"/>
      <c r="AY85" s="1782"/>
      <c r="AZ85" s="1782"/>
      <c r="BA85" s="1782"/>
      <c r="BB85" s="1782"/>
      <c r="BC85" s="640"/>
      <c r="BD85" s="120"/>
      <c r="BE85" s="640"/>
      <c r="BF85" s="640"/>
      <c r="BG85" s="640"/>
      <c r="BH85" s="317"/>
      <c r="BV85" s="685"/>
      <c r="BW85" s="685"/>
      <c r="BX85" s="685"/>
    </row>
    <row r="86" spans="2:76" s="28" customFormat="1" ht="17.100000000000001" hidden="1" customHeight="1" outlineLevel="1">
      <c r="B86" s="316"/>
      <c r="C86" s="363"/>
      <c r="D86" s="640" t="s">
        <v>313</v>
      </c>
      <c r="E86" s="640"/>
      <c r="F86" s="640"/>
      <c r="G86" s="640"/>
      <c r="H86" s="640"/>
      <c r="I86" s="640"/>
      <c r="J86" s="640"/>
      <c r="K86" s="640"/>
      <c r="L86" s="640"/>
      <c r="M86" s="640"/>
      <c r="N86" s="640"/>
      <c r="O86" s="640"/>
      <c r="P86" s="640"/>
      <c r="Q86" s="640"/>
      <c r="R86" s="640" t="s">
        <v>95</v>
      </c>
      <c r="S86" s="640"/>
      <c r="T86" s="640"/>
      <c r="U86" s="640"/>
      <c r="V86" s="640"/>
      <c r="W86" s="640"/>
      <c r="X86" s="640"/>
      <c r="Y86" s="640"/>
      <c r="Z86" s="1782" t="str">
        <f>IF(Z83=Z177,D68,IF(Z83=Z171,E45,E168))</f>
        <v xml:space="preserve">Kosten </v>
      </c>
      <c r="AA86" s="1782"/>
      <c r="AB86" s="1782"/>
      <c r="AC86" s="1782"/>
      <c r="AD86" s="1782"/>
      <c r="AE86" s="1782"/>
      <c r="AF86" s="1782"/>
      <c r="AG86" s="1782"/>
      <c r="AH86" s="1782"/>
      <c r="AI86" s="1782"/>
      <c r="AJ86" s="1782"/>
      <c r="AK86" s="640"/>
      <c r="AL86" s="120"/>
      <c r="AM86" s="640"/>
      <c r="AN86" s="640"/>
      <c r="AO86" s="640"/>
      <c r="AP86" s="640"/>
      <c r="AQ86" s="640"/>
      <c r="AR86" s="1786">
        <f>IF(AR84&gt;0,ROUND(AR84,AR85),0)</f>
        <v>0</v>
      </c>
      <c r="AS86" s="1786"/>
      <c r="AT86" s="1786"/>
      <c r="AU86" s="1786"/>
      <c r="AV86" s="1786"/>
      <c r="AW86" s="1786"/>
      <c r="AX86" s="1786"/>
      <c r="AY86" s="1786"/>
      <c r="AZ86" s="1786"/>
      <c r="BA86" s="1786"/>
      <c r="BB86" s="1786"/>
      <c r="BC86" s="640"/>
      <c r="BD86" s="120"/>
      <c r="BE86" s="640"/>
      <c r="BF86" s="640"/>
      <c r="BG86" s="640"/>
      <c r="BH86" s="317"/>
    </row>
    <row r="87" spans="2:76" s="28" customFormat="1" ht="17.100000000000001" hidden="1" customHeight="1" outlineLevel="1">
      <c r="B87" s="316"/>
      <c r="C87" s="363"/>
      <c r="D87" s="640"/>
      <c r="E87" s="640"/>
      <c r="F87" s="640"/>
      <c r="G87" s="640"/>
      <c r="H87" s="640"/>
      <c r="I87" s="640"/>
      <c r="J87" s="640"/>
      <c r="K87" s="640"/>
      <c r="L87" s="640"/>
      <c r="M87" s="640"/>
      <c r="N87" s="640"/>
      <c r="O87" s="640"/>
      <c r="P87" s="640"/>
      <c r="Q87" s="640"/>
      <c r="R87" s="640"/>
      <c r="S87" s="640"/>
      <c r="T87" s="640"/>
      <c r="U87" s="640"/>
      <c r="V87" s="640"/>
      <c r="W87" s="640"/>
      <c r="X87" s="640"/>
      <c r="Y87" s="640"/>
      <c r="Z87" s="686"/>
      <c r="AA87" s="686"/>
      <c r="AB87" s="686"/>
      <c r="AC87" s="686"/>
      <c r="AD87" s="686"/>
      <c r="AE87" s="686"/>
      <c r="AF87" s="686"/>
      <c r="AG87" s="686"/>
      <c r="AH87" s="686"/>
      <c r="AI87" s="686"/>
      <c r="AJ87" s="686"/>
      <c r="AK87" s="640"/>
      <c r="AL87" s="120"/>
      <c r="AM87" s="640"/>
      <c r="AN87" s="640"/>
      <c r="AO87" s="640"/>
      <c r="AP87" s="640"/>
      <c r="AQ87" s="640"/>
      <c r="AR87" s="1782"/>
      <c r="AS87" s="1782"/>
      <c r="AT87" s="1782"/>
      <c r="AU87" s="1782"/>
      <c r="AV87" s="1782"/>
      <c r="AW87" s="1782"/>
      <c r="AX87" s="1782"/>
      <c r="AY87" s="1782"/>
      <c r="AZ87" s="1782"/>
      <c r="BA87" s="1782"/>
      <c r="BB87" s="1782"/>
      <c r="BC87" s="640"/>
      <c r="BD87" s="120"/>
      <c r="BE87" s="640"/>
      <c r="BF87" s="640"/>
      <c r="BG87" s="640"/>
      <c r="BH87" s="317"/>
    </row>
    <row r="88" spans="2:76" s="28" customFormat="1" ht="17.100000000000001" hidden="1" customHeight="1" outlineLevel="1">
      <c r="B88" s="316"/>
      <c r="C88" s="363"/>
      <c r="E88" s="640" t="s">
        <v>235</v>
      </c>
      <c r="F88" s="640"/>
      <c r="G88" s="640"/>
      <c r="H88" s="640"/>
      <c r="I88" s="640"/>
      <c r="J88" s="640"/>
      <c r="K88" s="640"/>
      <c r="L88" s="640"/>
      <c r="M88" s="640"/>
      <c r="N88" s="640"/>
      <c r="O88" s="640"/>
      <c r="P88" s="640"/>
      <c r="Q88" s="640"/>
      <c r="R88" s="640" t="s">
        <v>48</v>
      </c>
      <c r="S88" s="640"/>
      <c r="T88" s="640"/>
      <c r="U88" s="640"/>
      <c r="V88" s="640"/>
      <c r="W88" s="640"/>
      <c r="X88" s="640"/>
      <c r="Y88" s="640"/>
      <c r="Z88" s="1782">
        <f>Z39*Z61/100</f>
        <v>0</v>
      </c>
      <c r="AA88" s="1782"/>
      <c r="AB88" s="1782"/>
      <c r="AC88" s="1782"/>
      <c r="AD88" s="1782"/>
      <c r="AE88" s="1782"/>
      <c r="AF88" s="1782"/>
      <c r="AG88" s="1782"/>
      <c r="AH88" s="1782"/>
      <c r="AI88" s="1782"/>
      <c r="AJ88" s="1782"/>
      <c r="AK88" s="640"/>
      <c r="AL88" s="120"/>
      <c r="AM88" s="640"/>
      <c r="AN88" s="640"/>
      <c r="AO88" s="640"/>
      <c r="AP88" s="640"/>
      <c r="AQ88" s="640"/>
      <c r="AR88" s="1782">
        <f>AR39*AR61/100</f>
        <v>0</v>
      </c>
      <c r="AS88" s="1782"/>
      <c r="AT88" s="1782"/>
      <c r="AU88" s="1782"/>
      <c r="AV88" s="1782"/>
      <c r="AW88" s="1782"/>
      <c r="AX88" s="1782"/>
      <c r="AY88" s="1782"/>
      <c r="AZ88" s="1782"/>
      <c r="BA88" s="1782"/>
      <c r="BB88" s="1782"/>
      <c r="BC88" s="640"/>
      <c r="BD88" s="120"/>
      <c r="BE88" s="640"/>
      <c r="BF88" s="640"/>
      <c r="BG88" s="640"/>
      <c r="BH88" s="317"/>
    </row>
    <row r="89" spans="2:76" s="28" customFormat="1" ht="17.100000000000001" hidden="1" customHeight="1" outlineLevel="1">
      <c r="B89" s="316"/>
      <c r="C89" s="363"/>
      <c r="D89" s="640"/>
      <c r="E89" s="640" t="s">
        <v>237</v>
      </c>
      <c r="F89" s="640"/>
      <c r="G89" s="640"/>
      <c r="H89" s="640"/>
      <c r="I89" s="640"/>
      <c r="J89" s="640"/>
      <c r="K89" s="640"/>
      <c r="L89" s="640"/>
      <c r="M89" s="640"/>
      <c r="N89" s="640"/>
      <c r="O89" s="640"/>
      <c r="P89" s="640"/>
      <c r="Q89" s="640"/>
      <c r="R89" s="640"/>
      <c r="S89" s="640"/>
      <c r="T89" s="640"/>
      <c r="U89" s="640"/>
      <c r="V89" s="640"/>
      <c r="W89" s="640"/>
      <c r="X89" s="640"/>
      <c r="Y89" s="640"/>
      <c r="Z89" s="1785">
        <f>IF(Z88&lt;10000,-2,-3)</f>
        <v>-2</v>
      </c>
      <c r="AA89" s="1785"/>
      <c r="AB89" s="1785"/>
      <c r="AC89" s="1785"/>
      <c r="AD89" s="1785"/>
      <c r="AE89" s="1785"/>
      <c r="AF89" s="1785"/>
      <c r="AG89" s="1785"/>
      <c r="AH89" s="1785"/>
      <c r="AI89" s="1785"/>
      <c r="AJ89" s="1785"/>
      <c r="AK89" s="640"/>
      <c r="AL89" s="120"/>
      <c r="AM89" s="640"/>
      <c r="AN89" s="640"/>
      <c r="AO89" s="640"/>
      <c r="AP89" s="640"/>
      <c r="AQ89" s="640"/>
      <c r="AR89" s="1782">
        <f>IF(AR88&lt;10000,-2,-3)</f>
        <v>-2</v>
      </c>
      <c r="AS89" s="1782"/>
      <c r="AT89" s="1782"/>
      <c r="AU89" s="1782"/>
      <c r="AV89" s="1782"/>
      <c r="AW89" s="1782"/>
      <c r="AX89" s="1782"/>
      <c r="AY89" s="1782"/>
      <c r="AZ89" s="1782"/>
      <c r="BA89" s="1782"/>
      <c r="BB89" s="1782"/>
      <c r="BC89" s="640"/>
      <c r="BD89" s="120"/>
      <c r="BE89" s="640"/>
      <c r="BF89" s="640"/>
      <c r="BG89" s="640"/>
      <c r="BH89" s="317"/>
    </row>
    <row r="90" spans="2:76" s="28" customFormat="1" ht="17.100000000000001" customHeight="1" collapsed="1">
      <c r="B90" s="316"/>
      <c r="C90" s="363"/>
      <c r="D90" s="687" t="str">
        <f>X!C384</f>
        <v>Energiekosten Kälteanlage</v>
      </c>
      <c r="E90" s="640"/>
      <c r="F90" s="640"/>
      <c r="G90" s="640"/>
      <c r="H90" s="640"/>
      <c r="I90" s="640"/>
      <c r="J90" s="640"/>
      <c r="K90" s="640"/>
      <c r="L90" s="640"/>
      <c r="M90" s="640"/>
      <c r="N90" s="640"/>
      <c r="O90" s="640"/>
      <c r="P90" s="640"/>
      <c r="Q90" s="640"/>
      <c r="R90" s="640" t="s">
        <v>48</v>
      </c>
      <c r="S90" s="640"/>
      <c r="T90" s="640"/>
      <c r="U90" s="591" t="s">
        <v>292</v>
      </c>
      <c r="V90" s="591" t="s">
        <v>292</v>
      </c>
      <c r="W90" s="591" t="s">
        <v>292</v>
      </c>
      <c r="X90" s="640"/>
      <c r="Y90" s="640"/>
      <c r="Z90" s="1782">
        <f>ROUND(Z88,Z89)-Z97</f>
        <v>0</v>
      </c>
      <c r="AA90" s="1782"/>
      <c r="AB90" s="1782"/>
      <c r="AC90" s="1782"/>
      <c r="AD90" s="1782"/>
      <c r="AE90" s="1782"/>
      <c r="AF90" s="1782"/>
      <c r="AG90" s="1782"/>
      <c r="AH90" s="1782"/>
      <c r="AI90" s="1782"/>
      <c r="AJ90" s="1782"/>
      <c r="AK90" s="640"/>
      <c r="AO90" s="640"/>
      <c r="AP90" s="640"/>
      <c r="AQ90" s="640"/>
      <c r="AR90" s="1784">
        <f>ROUND(AR88,AR89)-AR97</f>
        <v>0</v>
      </c>
      <c r="AS90" s="1782"/>
      <c r="AT90" s="1782"/>
      <c r="AU90" s="1782"/>
      <c r="AV90" s="1782"/>
      <c r="AW90" s="1782"/>
      <c r="AX90" s="1782"/>
      <c r="AY90" s="1782"/>
      <c r="AZ90" s="1782"/>
      <c r="BA90" s="1782"/>
      <c r="BB90" s="1782"/>
      <c r="BC90" s="640"/>
      <c r="BD90" s="120"/>
      <c r="BE90" s="640"/>
      <c r="BF90" s="640"/>
      <c r="BG90" s="640"/>
      <c r="BH90" s="317"/>
      <c r="BV90" s="685"/>
      <c r="BW90" s="685"/>
      <c r="BX90" s="685"/>
    </row>
    <row r="91" spans="2:76" s="28" customFormat="1" ht="17.100000000000001" hidden="1" customHeight="1" outlineLevel="1">
      <c r="B91" s="316"/>
      <c r="C91" s="363"/>
      <c r="D91" s="363"/>
      <c r="E91" s="363"/>
      <c r="F91" s="363"/>
      <c r="G91" s="640"/>
      <c r="H91" s="640"/>
      <c r="I91" s="640"/>
      <c r="J91" s="640"/>
      <c r="K91" s="640"/>
      <c r="L91" s="640"/>
      <c r="M91" s="640"/>
      <c r="N91" s="640"/>
      <c r="O91" s="640"/>
      <c r="P91" s="640"/>
      <c r="Q91" s="640"/>
      <c r="R91" s="640"/>
      <c r="S91" s="640"/>
      <c r="T91" s="640"/>
      <c r="U91" s="640"/>
      <c r="V91" s="640"/>
      <c r="W91" s="640"/>
      <c r="X91" s="640"/>
      <c r="Y91" s="640"/>
      <c r="Z91" s="1237"/>
      <c r="AA91" s="1237"/>
      <c r="AB91" s="1237"/>
      <c r="AC91" s="1237"/>
      <c r="AD91" s="1237"/>
      <c r="AE91" s="1237"/>
      <c r="AF91" s="1237"/>
      <c r="AG91" s="1237"/>
      <c r="AH91" s="1237"/>
      <c r="AI91" s="1237"/>
      <c r="AJ91" s="1237"/>
      <c r="AK91" s="640"/>
      <c r="AL91" s="120"/>
      <c r="AM91" s="640"/>
      <c r="AN91" s="640"/>
      <c r="AO91" s="640"/>
      <c r="AP91" s="640"/>
      <c r="AQ91" s="640"/>
      <c r="AR91" s="1239"/>
      <c r="AS91" s="1237"/>
      <c r="AT91" s="1237"/>
      <c r="AU91" s="1237"/>
      <c r="AV91" s="1237"/>
      <c r="AW91" s="1237"/>
      <c r="AX91" s="1237"/>
      <c r="AY91" s="1237"/>
      <c r="AZ91" s="1237"/>
      <c r="BA91" s="1237"/>
      <c r="BB91" s="1237"/>
      <c r="BC91" s="640"/>
      <c r="BD91" s="120"/>
      <c r="BE91" s="640"/>
      <c r="BF91" s="640"/>
      <c r="BG91" s="640"/>
      <c r="BH91" s="317"/>
      <c r="BV91" s="1233"/>
      <c r="BW91" s="1233"/>
      <c r="BX91" s="1233"/>
    </row>
    <row r="92" spans="2:76" s="28" customFormat="1" ht="17.100000000000001" hidden="1" customHeight="1" outlineLevel="1">
      <c r="B92" s="316"/>
      <c r="C92" s="363"/>
      <c r="D92" s="776" t="s">
        <v>1076</v>
      </c>
      <c r="E92" s="363"/>
      <c r="F92" s="363"/>
      <c r="G92" s="640"/>
      <c r="H92" s="640"/>
      <c r="I92" s="640"/>
      <c r="J92" s="640"/>
      <c r="K92" s="640"/>
      <c r="L92" s="640"/>
      <c r="M92" s="640"/>
      <c r="N92" s="640"/>
      <c r="O92" s="640"/>
      <c r="P92" s="640"/>
      <c r="Q92" s="640"/>
      <c r="R92" s="640"/>
      <c r="S92" s="640"/>
      <c r="T92" s="640"/>
      <c r="U92" s="640"/>
      <c r="V92" s="640"/>
      <c r="W92" s="640"/>
      <c r="X92" s="640"/>
      <c r="Y92" s="640"/>
      <c r="Z92" s="1237"/>
      <c r="AA92" s="1237"/>
      <c r="AB92" s="1237"/>
      <c r="AC92" s="1237"/>
      <c r="AD92" s="1237"/>
      <c r="AE92" s="1237"/>
      <c r="AF92" s="1237"/>
      <c r="AG92" s="1237"/>
      <c r="AH92" s="1237"/>
      <c r="AI92" s="1237"/>
      <c r="AJ92" s="1237"/>
      <c r="AK92" s="640"/>
      <c r="AL92" s="120"/>
      <c r="AM92" s="640"/>
      <c r="AN92" s="640"/>
      <c r="AO92" s="640"/>
      <c r="AP92" s="640"/>
      <c r="AQ92" s="640"/>
      <c r="AR92" s="1239"/>
      <c r="AS92" s="1237"/>
      <c r="AT92" s="1237"/>
      <c r="AU92" s="1237"/>
      <c r="AV92" s="1237"/>
      <c r="AW92" s="1237"/>
      <c r="AX92" s="1237"/>
      <c r="AY92" s="1237"/>
      <c r="AZ92" s="1237"/>
      <c r="BA92" s="1237"/>
      <c r="BB92" s="1237"/>
      <c r="BC92" s="640"/>
      <c r="BD92" s="120"/>
      <c r="BE92" s="640"/>
      <c r="BF92" s="640"/>
      <c r="BG92" s="640"/>
      <c r="BH92" s="317"/>
      <c r="BV92" s="1233"/>
      <c r="BW92" s="1233"/>
      <c r="BX92" s="1233"/>
    </row>
    <row r="93" spans="2:76" s="28" customFormat="1" ht="17.100000000000001" hidden="1" customHeight="1" outlineLevel="1">
      <c r="B93" s="316"/>
      <c r="C93" s="363"/>
      <c r="D93" s="687"/>
      <c r="E93" s="363"/>
      <c r="F93" s="363"/>
      <c r="G93" s="640"/>
      <c r="H93" s="640"/>
      <c r="I93" s="640"/>
      <c r="J93" s="640"/>
      <c r="K93" s="640"/>
      <c r="L93" s="640"/>
      <c r="M93" s="640"/>
      <c r="N93" s="640"/>
      <c r="O93" s="640"/>
      <c r="P93" s="640"/>
      <c r="Q93" s="640"/>
      <c r="R93" s="640"/>
      <c r="S93" s="640"/>
      <c r="T93" s="640"/>
      <c r="U93" s="640"/>
      <c r="V93" s="640"/>
      <c r="W93" s="640"/>
      <c r="X93" s="640"/>
      <c r="Y93" s="640"/>
      <c r="Z93" s="1237"/>
      <c r="AA93" s="1237"/>
      <c r="AB93" s="1237"/>
      <c r="AC93" s="1237"/>
      <c r="AD93" s="1237"/>
      <c r="AE93" s="1237"/>
      <c r="AF93" s="1237"/>
      <c r="AG93" s="1237"/>
      <c r="AH93" s="1237"/>
      <c r="AI93" s="1237"/>
      <c r="AJ93" s="1237"/>
      <c r="AK93" s="640"/>
      <c r="AL93" s="120"/>
      <c r="AM93" s="640"/>
      <c r="AN93" s="640"/>
      <c r="AO93" s="640"/>
      <c r="AP93" s="640"/>
      <c r="AQ93" s="640"/>
      <c r="AR93" s="1239"/>
      <c r="AS93" s="1237"/>
      <c r="AT93" s="1237"/>
      <c r="AU93" s="1237"/>
      <c r="AV93" s="1237"/>
      <c r="AW93" s="1237"/>
      <c r="AX93" s="1237"/>
      <c r="AY93" s="1237"/>
      <c r="AZ93" s="1237"/>
      <c r="BA93" s="1237"/>
      <c r="BB93" s="1237"/>
      <c r="BC93" s="640"/>
      <c r="BD93" s="120"/>
      <c r="BE93" s="640"/>
      <c r="BF93" s="640"/>
      <c r="BG93" s="640"/>
      <c r="BH93" s="317"/>
      <c r="BV93" s="1233"/>
      <c r="BW93" s="1233"/>
      <c r="BX93" s="1233"/>
    </row>
    <row r="94" spans="2:76" s="28" customFormat="1" ht="17.100000000000001" hidden="1" customHeight="1" outlineLevel="1">
      <c r="B94" s="316"/>
      <c r="C94" s="363"/>
      <c r="D94" s="687"/>
      <c r="E94" s="363" t="s">
        <v>1078</v>
      </c>
      <c r="F94" s="363"/>
      <c r="G94" s="640"/>
      <c r="H94" s="640"/>
      <c r="I94" s="640"/>
      <c r="J94" s="640"/>
      <c r="K94" s="640"/>
      <c r="L94" s="640"/>
      <c r="M94" s="640"/>
      <c r="N94" s="640"/>
      <c r="O94" s="640"/>
      <c r="P94" s="640"/>
      <c r="Q94" s="640"/>
      <c r="R94" s="640" t="s">
        <v>22</v>
      </c>
      <c r="S94" s="640"/>
      <c r="T94" s="640"/>
      <c r="U94" s="640"/>
      <c r="V94" s="640"/>
      <c r="W94" s="640"/>
      <c r="X94" s="640"/>
      <c r="Y94" s="640"/>
      <c r="Z94" s="1791">
        <f>'2A Electricity regular'!Z766</f>
        <v>0</v>
      </c>
      <c r="AA94" s="1791"/>
      <c r="AB94" s="1791"/>
      <c r="AC94" s="1791"/>
      <c r="AD94" s="1791"/>
      <c r="AE94" s="1791"/>
      <c r="AF94" s="1791"/>
      <c r="AG94" s="1791"/>
      <c r="AH94" s="1791"/>
      <c r="AI94" s="1791"/>
      <c r="AJ94" s="1791"/>
      <c r="AK94" s="640"/>
      <c r="AL94" s="120"/>
      <c r="AM94" s="640"/>
      <c r="AN94" s="640"/>
      <c r="AO94" s="640"/>
      <c r="AP94" s="640"/>
      <c r="AQ94" s="640"/>
      <c r="AR94" s="1791">
        <f>'2A Electricity regular'!AX766</f>
        <v>0</v>
      </c>
      <c r="AS94" s="1791"/>
      <c r="AT94" s="1791"/>
      <c r="AU94" s="1791"/>
      <c r="AV94" s="1791"/>
      <c r="AW94" s="1791"/>
      <c r="AX94" s="1791"/>
      <c r="AY94" s="1791"/>
      <c r="AZ94" s="1791"/>
      <c r="BA94" s="1791"/>
      <c r="BB94" s="1791"/>
      <c r="BC94" s="640"/>
      <c r="BD94" s="120"/>
      <c r="BE94" s="640"/>
      <c r="BF94" s="640"/>
      <c r="BG94" s="640"/>
      <c r="BH94" s="317"/>
      <c r="BL94" s="760"/>
      <c r="BV94" s="1233"/>
      <c r="BW94" s="1233"/>
      <c r="BX94" s="1233"/>
    </row>
    <row r="95" spans="2:76" s="28" customFormat="1" ht="17.100000000000001" hidden="1" customHeight="1" outlineLevel="1">
      <c r="B95" s="316"/>
      <c r="C95" s="363"/>
      <c r="D95" s="363"/>
      <c r="E95" s="363" t="s">
        <v>880</v>
      </c>
      <c r="F95" s="363"/>
      <c r="G95" s="640"/>
      <c r="H95" s="640"/>
      <c r="I95" s="640"/>
      <c r="J95" s="640"/>
      <c r="K95" s="640"/>
      <c r="L95" s="640"/>
      <c r="M95" s="640"/>
      <c r="N95" s="640"/>
      <c r="O95" s="640"/>
      <c r="P95" s="640"/>
      <c r="Q95" s="640"/>
      <c r="R95" s="640" t="s">
        <v>879</v>
      </c>
      <c r="S95" s="640"/>
      <c r="T95" s="640"/>
      <c r="U95" s="640"/>
      <c r="V95" s="640"/>
      <c r="W95" s="640"/>
      <c r="X95" s="640"/>
      <c r="Y95" s="640"/>
      <c r="Z95" s="1791">
        <f>Z94*N39/100</f>
        <v>0</v>
      </c>
      <c r="AA95" s="1791"/>
      <c r="AB95" s="1791"/>
      <c r="AC95" s="1791"/>
      <c r="AD95" s="1791"/>
      <c r="AE95" s="1791"/>
      <c r="AF95" s="1791"/>
      <c r="AG95" s="1791"/>
      <c r="AH95" s="1791"/>
      <c r="AI95" s="1791"/>
      <c r="AJ95" s="1791"/>
      <c r="AK95" s="640"/>
      <c r="AL95" s="120"/>
      <c r="AM95" s="640"/>
      <c r="AN95" s="640"/>
      <c r="AO95" s="640"/>
      <c r="AP95" s="640"/>
      <c r="AQ95" s="640"/>
      <c r="AR95" s="1791">
        <f>AR94*N39/100</f>
        <v>0</v>
      </c>
      <c r="AS95" s="1791"/>
      <c r="AT95" s="1791"/>
      <c r="AU95" s="1791"/>
      <c r="AV95" s="1791"/>
      <c r="AW95" s="1791"/>
      <c r="AX95" s="1791"/>
      <c r="AY95" s="1791"/>
      <c r="AZ95" s="1791"/>
      <c r="BA95" s="1791"/>
      <c r="BB95" s="1791"/>
      <c r="BC95" s="640"/>
      <c r="BD95" s="120"/>
      <c r="BE95" s="640"/>
      <c r="BF95" s="640"/>
      <c r="BG95" s="640"/>
      <c r="BH95" s="317"/>
      <c r="BL95" s="760"/>
      <c r="BV95" s="1233"/>
      <c r="BW95" s="1233"/>
      <c r="BX95" s="1233"/>
    </row>
    <row r="96" spans="2:76" s="28" customFormat="1" ht="17.100000000000001" hidden="1" customHeight="1" outlineLevel="1">
      <c r="B96" s="316"/>
      <c r="C96" s="363"/>
      <c r="D96" s="640"/>
      <c r="E96" s="640" t="s">
        <v>237</v>
      </c>
      <c r="F96" s="640"/>
      <c r="G96" s="640"/>
      <c r="H96" s="640"/>
      <c r="I96" s="640"/>
      <c r="J96" s="640"/>
      <c r="K96" s="640"/>
      <c r="L96" s="640"/>
      <c r="M96" s="640"/>
      <c r="N96" s="640"/>
      <c r="O96" s="640"/>
      <c r="P96" s="640"/>
      <c r="Q96" s="640"/>
      <c r="R96" s="640"/>
      <c r="S96" s="640"/>
      <c r="T96" s="640"/>
      <c r="U96" s="640"/>
      <c r="V96" s="640"/>
      <c r="W96" s="640"/>
      <c r="X96" s="640"/>
      <c r="Y96" s="640"/>
      <c r="Z96" s="1785">
        <f>IF(Z95&gt;-10000,-2,-3)</f>
        <v>-2</v>
      </c>
      <c r="AA96" s="1785"/>
      <c r="AB96" s="1785"/>
      <c r="AC96" s="1785"/>
      <c r="AD96" s="1785"/>
      <c r="AE96" s="1785"/>
      <c r="AF96" s="1785"/>
      <c r="AG96" s="1785"/>
      <c r="AH96" s="1785"/>
      <c r="AI96" s="1785"/>
      <c r="AJ96" s="1785"/>
      <c r="AK96" s="640"/>
      <c r="AL96" s="120"/>
      <c r="AM96" s="640"/>
      <c r="AN96" s="640"/>
      <c r="AO96" s="640"/>
      <c r="AP96" s="640"/>
      <c r="AQ96" s="640"/>
      <c r="AR96" s="1785">
        <f>IF(AR95&gt;-10000,-2,-3)</f>
        <v>-2</v>
      </c>
      <c r="AS96" s="1785"/>
      <c r="AT96" s="1785"/>
      <c r="AU96" s="1785"/>
      <c r="AV96" s="1785"/>
      <c r="AW96" s="1785"/>
      <c r="AX96" s="1785"/>
      <c r="AY96" s="1785"/>
      <c r="AZ96" s="1785"/>
      <c r="BA96" s="1785"/>
      <c r="BB96" s="1785"/>
      <c r="BC96" s="640"/>
      <c r="BD96" s="120"/>
      <c r="BE96" s="640"/>
      <c r="BF96" s="640"/>
      <c r="BG96" s="640"/>
      <c r="BH96" s="317"/>
      <c r="BL96" s="760"/>
    </row>
    <row r="97" spans="2:81" s="28" customFormat="1" ht="17.100000000000001" customHeight="1" collapsed="1">
      <c r="B97" s="316"/>
      <c r="C97" s="363"/>
      <c r="E97" s="687" t="str">
        <f>X!C394</f>
        <v>Free-Cooling reduziert die Energiekosten um</v>
      </c>
      <c r="G97" s="640"/>
      <c r="H97" s="640"/>
      <c r="I97" s="640"/>
      <c r="J97" s="640"/>
      <c r="K97" s="640"/>
      <c r="L97" s="640"/>
      <c r="M97" s="640"/>
      <c r="N97" s="640"/>
      <c r="O97" s="640"/>
      <c r="P97" s="640"/>
      <c r="Q97" s="640"/>
      <c r="R97" s="640" t="s">
        <v>48</v>
      </c>
      <c r="S97" s="640"/>
      <c r="T97" s="640"/>
      <c r="U97" s="640"/>
      <c r="V97" s="640"/>
      <c r="W97" s="640"/>
      <c r="X97" s="640"/>
      <c r="Y97" s="640"/>
      <c r="Z97" s="1782">
        <f>IF(Z94=0,0,ROUND(-Z95,Z96))</f>
        <v>0</v>
      </c>
      <c r="AA97" s="1782"/>
      <c r="AB97" s="1782"/>
      <c r="AC97" s="1782"/>
      <c r="AD97" s="1782"/>
      <c r="AE97" s="1782"/>
      <c r="AF97" s="1782"/>
      <c r="AG97" s="1782"/>
      <c r="AH97" s="1782"/>
      <c r="AI97" s="1782"/>
      <c r="AJ97" s="1782"/>
      <c r="AK97" s="1246"/>
      <c r="AL97" s="1246"/>
      <c r="AM97" s="1246"/>
      <c r="AN97" s="1246"/>
      <c r="AO97" s="1246"/>
      <c r="AP97" s="1238"/>
      <c r="AQ97" s="640"/>
      <c r="AR97" s="1782">
        <f>IF(AR94=0,0,ROUND(-AR95,AR96))</f>
        <v>0</v>
      </c>
      <c r="AS97" s="1782"/>
      <c r="AT97" s="1782"/>
      <c r="AU97" s="1782"/>
      <c r="AV97" s="1782"/>
      <c r="AW97" s="1782"/>
      <c r="AX97" s="1782"/>
      <c r="AY97" s="1782"/>
      <c r="AZ97" s="1782"/>
      <c r="BA97" s="1782"/>
      <c r="BB97" s="1782"/>
      <c r="BC97" s="1246"/>
      <c r="BD97" s="1246"/>
      <c r="BE97" s="1246"/>
      <c r="BF97" s="1246"/>
      <c r="BG97" s="1246"/>
      <c r="BH97" s="317"/>
      <c r="BL97" s="760"/>
      <c r="BV97" s="1233"/>
      <c r="BW97" s="1233"/>
      <c r="BX97" s="1233"/>
    </row>
    <row r="98" spans="2:81" s="28" customFormat="1" ht="17.100000000000001" hidden="1" customHeight="1" outlineLevel="1">
      <c r="B98" s="316"/>
      <c r="C98" s="363"/>
      <c r="D98" s="363"/>
      <c r="E98" s="363"/>
      <c r="F98" s="363"/>
      <c r="G98" s="640"/>
      <c r="H98" s="640"/>
      <c r="I98" s="640"/>
      <c r="J98" s="640"/>
      <c r="K98" s="640"/>
      <c r="L98" s="640"/>
      <c r="M98" s="640"/>
      <c r="N98" s="640"/>
      <c r="O98" s="640"/>
      <c r="P98" s="640"/>
      <c r="Q98" s="640"/>
      <c r="R98" s="640"/>
      <c r="S98" s="640"/>
      <c r="T98" s="640"/>
      <c r="U98" s="640"/>
      <c r="V98" s="640"/>
      <c r="W98" s="640"/>
      <c r="X98" s="640"/>
      <c r="Y98" s="640"/>
      <c r="Z98" s="768"/>
      <c r="AA98" s="768"/>
      <c r="AB98" s="768"/>
      <c r="AC98" s="768"/>
      <c r="AD98" s="768"/>
      <c r="AE98" s="768"/>
      <c r="AF98" s="768"/>
      <c r="AG98" s="768"/>
      <c r="AH98" s="768"/>
      <c r="AI98" s="768"/>
      <c r="AJ98" s="768"/>
      <c r="AK98" s="640"/>
      <c r="AL98" s="120"/>
      <c r="AM98" s="640"/>
      <c r="AN98" s="640"/>
      <c r="AO98" s="640"/>
      <c r="AP98" s="640"/>
      <c r="AQ98" s="640"/>
      <c r="AR98" s="769"/>
      <c r="AS98" s="768"/>
      <c r="AT98" s="768"/>
      <c r="AU98" s="768"/>
      <c r="AV98" s="768"/>
      <c r="AW98" s="768"/>
      <c r="AX98" s="768"/>
      <c r="AY98" s="768"/>
      <c r="AZ98" s="768"/>
      <c r="BA98" s="768"/>
      <c r="BB98" s="768"/>
      <c r="BC98" s="640"/>
      <c r="BD98" s="120"/>
      <c r="BE98" s="640"/>
      <c r="BF98" s="640"/>
      <c r="BG98" s="640"/>
      <c r="BH98" s="317"/>
      <c r="BV98" s="764"/>
      <c r="BW98" s="764"/>
      <c r="BX98" s="764"/>
    </row>
    <row r="99" spans="2:81" s="28" customFormat="1" ht="17.100000000000001" hidden="1" customHeight="1" outlineLevel="1">
      <c r="B99" s="316"/>
      <c r="C99" s="363"/>
      <c r="D99" s="776" t="s">
        <v>1077</v>
      </c>
      <c r="E99" s="363"/>
      <c r="F99" s="363"/>
      <c r="G99" s="640"/>
      <c r="H99" s="640"/>
      <c r="I99" s="640"/>
      <c r="J99" s="640"/>
      <c r="K99" s="640"/>
      <c r="L99" s="640"/>
      <c r="M99" s="640"/>
      <c r="N99" s="640"/>
      <c r="O99" s="640"/>
      <c r="P99" s="640"/>
      <c r="Q99" s="640"/>
      <c r="R99" s="640"/>
      <c r="S99" s="640"/>
      <c r="T99" s="640"/>
      <c r="U99" s="640"/>
      <c r="V99" s="640"/>
      <c r="W99" s="640"/>
      <c r="X99" s="640"/>
      <c r="Y99" s="640"/>
      <c r="Z99" s="768"/>
      <c r="AA99" s="768"/>
      <c r="AB99" s="768"/>
      <c r="AC99" s="768"/>
      <c r="AD99" s="768"/>
      <c r="AE99" s="768"/>
      <c r="AF99" s="768"/>
      <c r="AG99" s="768"/>
      <c r="AH99" s="768"/>
      <c r="AI99" s="768"/>
      <c r="AJ99" s="768"/>
      <c r="AK99" s="640"/>
      <c r="AL99" s="120"/>
      <c r="AM99" s="640"/>
      <c r="AN99" s="640"/>
      <c r="AO99" s="640"/>
      <c r="AP99" s="640"/>
      <c r="AQ99" s="640"/>
      <c r="AR99" s="769"/>
      <c r="AS99" s="768"/>
      <c r="AT99" s="768"/>
      <c r="AU99" s="768"/>
      <c r="AV99" s="768"/>
      <c r="AW99" s="768"/>
      <c r="AX99" s="768"/>
      <c r="AY99" s="768"/>
      <c r="AZ99" s="768"/>
      <c r="BA99" s="768"/>
      <c r="BB99" s="768"/>
      <c r="BC99" s="640"/>
      <c r="BD99" s="120"/>
      <c r="BE99" s="640"/>
      <c r="BF99" s="640"/>
      <c r="BG99" s="640"/>
      <c r="BH99" s="317"/>
      <c r="BV99" s="764"/>
      <c r="BW99" s="764"/>
      <c r="BX99" s="764"/>
    </row>
    <row r="100" spans="2:81" s="28" customFormat="1" ht="17.100000000000001" hidden="1" customHeight="1" outlineLevel="1">
      <c r="B100" s="316"/>
      <c r="C100" s="363"/>
      <c r="D100" s="687"/>
      <c r="E100" s="363"/>
      <c r="F100" s="363"/>
      <c r="G100" s="640"/>
      <c r="H100" s="640"/>
      <c r="I100" s="640"/>
      <c r="J100" s="640"/>
      <c r="K100" s="640"/>
      <c r="L100" s="640"/>
      <c r="M100" s="640"/>
      <c r="N100" s="640"/>
      <c r="O100" s="640"/>
      <c r="P100" s="640"/>
      <c r="Q100" s="640"/>
      <c r="R100" s="640"/>
      <c r="S100" s="640"/>
      <c r="T100" s="640"/>
      <c r="U100" s="640"/>
      <c r="V100" s="640"/>
      <c r="W100" s="640"/>
      <c r="X100" s="640"/>
      <c r="Y100" s="640"/>
      <c r="Z100" s="768"/>
      <c r="AA100" s="768"/>
      <c r="AB100" s="768"/>
      <c r="AC100" s="768"/>
      <c r="AD100" s="768"/>
      <c r="AE100" s="768"/>
      <c r="AF100" s="768"/>
      <c r="AG100" s="768"/>
      <c r="AH100" s="768"/>
      <c r="AI100" s="768"/>
      <c r="AJ100" s="768"/>
      <c r="AK100" s="640"/>
      <c r="AL100" s="120"/>
      <c r="AM100" s="640"/>
      <c r="AN100" s="640"/>
      <c r="AO100" s="640"/>
      <c r="AP100" s="640"/>
      <c r="AQ100" s="640"/>
      <c r="AR100" s="769"/>
      <c r="AS100" s="768"/>
      <c r="AT100" s="768"/>
      <c r="AU100" s="768"/>
      <c r="AV100" s="768"/>
      <c r="AW100" s="768"/>
      <c r="AX100" s="768"/>
      <c r="AY100" s="768"/>
      <c r="AZ100" s="768"/>
      <c r="BA100" s="768"/>
      <c r="BB100" s="768"/>
      <c r="BC100" s="640"/>
      <c r="BD100" s="120"/>
      <c r="BE100" s="640"/>
      <c r="BF100" s="640"/>
      <c r="BG100" s="640"/>
      <c r="BH100" s="317"/>
      <c r="BV100" s="764"/>
      <c r="BW100" s="764"/>
      <c r="BX100" s="764"/>
    </row>
    <row r="101" spans="2:81" s="28" customFormat="1" ht="17.100000000000001" hidden="1" customHeight="1" outlineLevel="1">
      <c r="B101" s="316"/>
      <c r="C101" s="363"/>
      <c r="D101" s="687"/>
      <c r="E101" s="363" t="s">
        <v>878</v>
      </c>
      <c r="F101" s="363"/>
      <c r="G101" s="640"/>
      <c r="H101" s="640"/>
      <c r="I101" s="640"/>
      <c r="J101" s="640"/>
      <c r="K101" s="640"/>
      <c r="L101" s="640"/>
      <c r="M101" s="640"/>
      <c r="N101" s="640"/>
      <c r="O101" s="640"/>
      <c r="P101" s="640"/>
      <c r="Q101" s="640"/>
      <c r="R101" s="640" t="s">
        <v>22</v>
      </c>
      <c r="S101" s="640"/>
      <c r="T101" s="640"/>
      <c r="U101" s="640"/>
      <c r="V101" s="640"/>
      <c r="W101" s="640"/>
      <c r="X101" s="640"/>
      <c r="Y101" s="640"/>
      <c r="Z101" s="1791">
        <f>'1 System specification'!S193</f>
        <v>0</v>
      </c>
      <c r="AA101" s="1791"/>
      <c r="AB101" s="1791"/>
      <c r="AC101" s="1791"/>
      <c r="AD101" s="1791"/>
      <c r="AE101" s="1791"/>
      <c r="AF101" s="1791"/>
      <c r="AG101" s="1791"/>
      <c r="AH101" s="1791"/>
      <c r="AI101" s="1791"/>
      <c r="AJ101" s="1791"/>
      <c r="AK101" s="640"/>
      <c r="AL101" s="120"/>
      <c r="AM101" s="640"/>
      <c r="AN101" s="640"/>
      <c r="AO101" s="640"/>
      <c r="AP101" s="640"/>
      <c r="AQ101" s="640"/>
      <c r="AR101" s="1791">
        <f>'1 System specification'!BJ193</f>
        <v>0</v>
      </c>
      <c r="AS101" s="1791"/>
      <c r="AT101" s="1791"/>
      <c r="AU101" s="1791"/>
      <c r="AV101" s="1791"/>
      <c r="AW101" s="1791"/>
      <c r="AX101" s="1791"/>
      <c r="AY101" s="1791"/>
      <c r="AZ101" s="1791"/>
      <c r="BA101" s="1791"/>
      <c r="BB101" s="1791"/>
      <c r="BC101" s="640"/>
      <c r="BD101" s="120"/>
      <c r="BE101" s="640"/>
      <c r="BF101" s="640"/>
      <c r="BG101" s="640"/>
      <c r="BH101" s="317"/>
      <c r="BL101" s="760"/>
      <c r="BV101" s="764"/>
      <c r="BW101" s="764"/>
      <c r="BX101" s="764"/>
    </row>
    <row r="102" spans="2:81" s="28" customFormat="1" ht="17.100000000000001" hidden="1" customHeight="1" outlineLevel="1">
      <c r="B102" s="316"/>
      <c r="C102" s="363"/>
      <c r="D102" s="363"/>
      <c r="E102" s="363" t="s">
        <v>235</v>
      </c>
      <c r="F102" s="363"/>
      <c r="G102" s="640"/>
      <c r="H102" s="640"/>
      <c r="I102" s="640"/>
      <c r="J102" s="640"/>
      <c r="K102" s="640"/>
      <c r="L102" s="640"/>
      <c r="M102" s="640"/>
      <c r="N102" s="640"/>
      <c r="O102" s="640"/>
      <c r="P102" s="640"/>
      <c r="Q102" s="640"/>
      <c r="R102" s="640" t="s">
        <v>234</v>
      </c>
      <c r="S102" s="640"/>
      <c r="T102" s="640"/>
      <c r="U102" s="640"/>
      <c r="V102" s="640"/>
      <c r="W102" s="640"/>
      <c r="X102" s="640"/>
      <c r="Y102" s="640"/>
      <c r="Z102" s="1791">
        <f>AM203</f>
        <v>0</v>
      </c>
      <c r="AA102" s="1791"/>
      <c r="AB102" s="1791"/>
      <c r="AC102" s="1791"/>
      <c r="AD102" s="1791"/>
      <c r="AE102" s="1791"/>
      <c r="AF102" s="1791"/>
      <c r="AG102" s="1791"/>
      <c r="AH102" s="1791"/>
      <c r="AI102" s="1791"/>
      <c r="AJ102" s="1791"/>
      <c r="AK102" s="640"/>
      <c r="AL102" s="120"/>
      <c r="AM102" s="640"/>
      <c r="AN102" s="640"/>
      <c r="AO102" s="640"/>
      <c r="AP102" s="640"/>
      <c r="AQ102" s="640"/>
      <c r="AR102" s="1791">
        <f>Z102</f>
        <v>0</v>
      </c>
      <c r="AS102" s="1791"/>
      <c r="AT102" s="1791"/>
      <c r="AU102" s="1791"/>
      <c r="AV102" s="1791"/>
      <c r="AW102" s="1791"/>
      <c r="AX102" s="1791"/>
      <c r="AY102" s="1791"/>
      <c r="AZ102" s="1791"/>
      <c r="BA102" s="1791"/>
      <c r="BB102" s="1791"/>
      <c r="BC102" s="640"/>
      <c r="BD102" s="120"/>
      <c r="BE102" s="640"/>
      <c r="BF102" s="640"/>
      <c r="BG102" s="640"/>
      <c r="BH102" s="317"/>
      <c r="BL102" s="760"/>
      <c r="BV102" s="764"/>
      <c r="BW102" s="764"/>
      <c r="BX102" s="764"/>
    </row>
    <row r="103" spans="2:81" s="28" customFormat="1" ht="17.100000000000001" hidden="1" customHeight="1" outlineLevel="1">
      <c r="B103" s="316"/>
      <c r="C103" s="363"/>
      <c r="D103" s="363"/>
      <c r="E103" s="363" t="s">
        <v>880</v>
      </c>
      <c r="F103" s="363"/>
      <c r="G103" s="640"/>
      <c r="H103" s="640"/>
      <c r="I103" s="640"/>
      <c r="J103" s="640"/>
      <c r="K103" s="640"/>
      <c r="L103" s="640"/>
      <c r="M103" s="640"/>
      <c r="N103" s="640"/>
      <c r="O103" s="640"/>
      <c r="P103" s="640"/>
      <c r="Q103" s="640"/>
      <c r="R103" s="640" t="s">
        <v>879</v>
      </c>
      <c r="S103" s="640"/>
      <c r="T103" s="640"/>
      <c r="U103" s="640"/>
      <c r="V103" s="640"/>
      <c r="W103" s="640"/>
      <c r="X103" s="640"/>
      <c r="Y103" s="640"/>
      <c r="Z103" s="1791">
        <f>Z101*Z102/100*-1</f>
        <v>0</v>
      </c>
      <c r="AA103" s="1791"/>
      <c r="AB103" s="1791"/>
      <c r="AC103" s="1791"/>
      <c r="AD103" s="1791"/>
      <c r="AE103" s="1791"/>
      <c r="AF103" s="1791"/>
      <c r="AG103" s="1791"/>
      <c r="AH103" s="1791"/>
      <c r="AI103" s="1791"/>
      <c r="AJ103" s="1791"/>
      <c r="AK103" s="640"/>
      <c r="AL103" s="120"/>
      <c r="AM103" s="640"/>
      <c r="AN103" s="640"/>
      <c r="AO103" s="640"/>
      <c r="AP103" s="640"/>
      <c r="AQ103" s="640"/>
      <c r="AR103" s="1791">
        <f>AR101*AR102/100*-1</f>
        <v>0</v>
      </c>
      <c r="AS103" s="1791"/>
      <c r="AT103" s="1791"/>
      <c r="AU103" s="1791"/>
      <c r="AV103" s="1791"/>
      <c r="AW103" s="1791"/>
      <c r="AX103" s="1791"/>
      <c r="AY103" s="1791"/>
      <c r="AZ103" s="1791"/>
      <c r="BA103" s="1791"/>
      <c r="BB103" s="1791"/>
      <c r="BC103" s="640"/>
      <c r="BD103" s="120"/>
      <c r="BE103" s="640"/>
      <c r="BF103" s="640"/>
      <c r="BG103" s="640"/>
      <c r="BH103" s="317"/>
      <c r="BL103" s="760"/>
      <c r="BV103" s="764"/>
      <c r="BW103" s="764"/>
      <c r="BX103" s="764"/>
    </row>
    <row r="104" spans="2:81" s="28" customFormat="1" ht="17.100000000000001" hidden="1" customHeight="1" outlineLevel="1">
      <c r="B104" s="316"/>
      <c r="C104" s="363"/>
      <c r="D104" s="640"/>
      <c r="E104" s="640" t="s">
        <v>237</v>
      </c>
      <c r="F104" s="640"/>
      <c r="G104" s="640"/>
      <c r="H104" s="640"/>
      <c r="I104" s="640"/>
      <c r="J104" s="640"/>
      <c r="K104" s="640"/>
      <c r="L104" s="640"/>
      <c r="M104" s="640"/>
      <c r="N104" s="640"/>
      <c r="O104" s="640"/>
      <c r="P104" s="640"/>
      <c r="Q104" s="640"/>
      <c r="R104" s="640"/>
      <c r="S104" s="640"/>
      <c r="T104" s="640"/>
      <c r="U104" s="640"/>
      <c r="V104" s="640"/>
      <c r="W104" s="640"/>
      <c r="X104" s="640"/>
      <c r="Y104" s="640"/>
      <c r="Z104" s="1785">
        <f>IF(Z103&gt;-10000,-2,-3)</f>
        <v>-2</v>
      </c>
      <c r="AA104" s="1785"/>
      <c r="AB104" s="1785"/>
      <c r="AC104" s="1785"/>
      <c r="AD104" s="1785"/>
      <c r="AE104" s="1785"/>
      <c r="AF104" s="1785"/>
      <c r="AG104" s="1785"/>
      <c r="AH104" s="1785"/>
      <c r="AI104" s="1785"/>
      <c r="AJ104" s="1785"/>
      <c r="AK104" s="640"/>
      <c r="AL104" s="120"/>
      <c r="AM104" s="640"/>
      <c r="AN104" s="640"/>
      <c r="AO104" s="640"/>
      <c r="AP104" s="640"/>
      <c r="AQ104" s="640"/>
      <c r="AR104" s="1785">
        <f>IF(AR103&gt;-10000,-2,-3)</f>
        <v>-2</v>
      </c>
      <c r="AS104" s="1785"/>
      <c r="AT104" s="1785"/>
      <c r="AU104" s="1785"/>
      <c r="AV104" s="1785"/>
      <c r="AW104" s="1785"/>
      <c r="AX104" s="1785"/>
      <c r="AY104" s="1785"/>
      <c r="AZ104" s="1785"/>
      <c r="BA104" s="1785"/>
      <c r="BB104" s="1785"/>
      <c r="BC104" s="640"/>
      <c r="BD104" s="120"/>
      <c r="BE104" s="640"/>
      <c r="BF104" s="640"/>
      <c r="BG104" s="640"/>
      <c r="BH104" s="317"/>
      <c r="BL104" s="760"/>
    </row>
    <row r="105" spans="2:81" s="28" customFormat="1" ht="17.100000000000001" customHeight="1" collapsed="1">
      <c r="B105" s="316"/>
      <c r="C105" s="363"/>
      <c r="D105" s="687" t="str">
        <f>X!C385</f>
        <v>Einsparungen durch die Wärmenutzung</v>
      </c>
      <c r="E105" s="640"/>
      <c r="F105" s="640"/>
      <c r="G105" s="640"/>
      <c r="H105" s="640"/>
      <c r="I105" s="640"/>
      <c r="J105" s="640"/>
      <c r="K105" s="640"/>
      <c r="L105" s="640"/>
      <c r="M105" s="640"/>
      <c r="N105" s="640"/>
      <c r="O105" s="640"/>
      <c r="P105" s="640"/>
      <c r="Q105" s="640"/>
      <c r="R105" s="640" t="s">
        <v>48</v>
      </c>
      <c r="S105" s="640"/>
      <c r="T105" s="640"/>
      <c r="U105" s="640"/>
      <c r="V105" s="640"/>
      <c r="W105" s="640"/>
      <c r="X105" s="640"/>
      <c r="Y105" s="640"/>
      <c r="Z105" s="1782">
        <f>ROUND(Z103,Z104)</f>
        <v>0</v>
      </c>
      <c r="AA105" s="1782"/>
      <c r="AB105" s="1782"/>
      <c r="AC105" s="1782"/>
      <c r="AD105" s="1782"/>
      <c r="AE105" s="1782"/>
      <c r="AF105" s="1782"/>
      <c r="AG105" s="1782"/>
      <c r="AH105" s="1782"/>
      <c r="AI105" s="1782"/>
      <c r="AJ105" s="1782"/>
      <c r="AK105" s="640"/>
      <c r="AL105" s="120"/>
      <c r="AM105" s="640"/>
      <c r="AN105" s="640"/>
      <c r="AO105" s="640"/>
      <c r="AP105" s="640"/>
      <c r="AQ105" s="640"/>
      <c r="AR105" s="1782">
        <f>ROUND(AR103,AR104)</f>
        <v>0</v>
      </c>
      <c r="AS105" s="1782"/>
      <c r="AT105" s="1782"/>
      <c r="AU105" s="1782"/>
      <c r="AV105" s="1782"/>
      <c r="AW105" s="1782"/>
      <c r="AX105" s="1782"/>
      <c r="AY105" s="1782"/>
      <c r="AZ105" s="1782"/>
      <c r="BA105" s="1782"/>
      <c r="BB105" s="1782"/>
      <c r="BC105" s="640"/>
      <c r="BD105" s="120"/>
      <c r="BE105" s="640"/>
      <c r="BF105" s="640"/>
      <c r="BG105" s="640"/>
      <c r="BH105" s="317"/>
      <c r="BL105" s="760"/>
      <c r="BV105" s="764"/>
      <c r="BW105" s="764"/>
      <c r="BX105" s="764"/>
    </row>
    <row r="106" spans="2:81" s="28" customFormat="1" ht="8.1" customHeight="1">
      <c r="B106" s="316"/>
      <c r="C106" s="363"/>
      <c r="D106" s="687"/>
      <c r="E106" s="640"/>
      <c r="F106" s="640"/>
      <c r="G106" s="640"/>
      <c r="H106" s="640"/>
      <c r="I106" s="640"/>
      <c r="J106" s="640"/>
      <c r="K106" s="640"/>
      <c r="L106" s="640"/>
      <c r="M106" s="640"/>
      <c r="N106" s="640"/>
      <c r="O106" s="640"/>
      <c r="P106" s="640"/>
      <c r="Q106" s="640"/>
      <c r="R106" s="640"/>
      <c r="S106" s="640"/>
      <c r="T106" s="640"/>
      <c r="U106" s="640"/>
      <c r="V106" s="640"/>
      <c r="W106" s="640"/>
      <c r="X106" s="640"/>
      <c r="Y106" s="640"/>
      <c r="Z106" s="1237"/>
      <c r="AA106" s="1237"/>
      <c r="AB106" s="1237"/>
      <c r="AC106" s="1237"/>
      <c r="AD106" s="1237"/>
      <c r="AE106" s="1237"/>
      <c r="AF106" s="1237"/>
      <c r="AG106" s="1237"/>
      <c r="AH106" s="1237"/>
      <c r="AI106" s="1237"/>
      <c r="AJ106" s="1237"/>
      <c r="AK106" s="640"/>
      <c r="AL106" s="120"/>
      <c r="AM106" s="640"/>
      <c r="AN106" s="640"/>
      <c r="AO106" s="640"/>
      <c r="AP106" s="640"/>
      <c r="AQ106" s="640"/>
      <c r="AR106" s="1237"/>
      <c r="AS106" s="1237"/>
      <c r="AT106" s="1237"/>
      <c r="AU106" s="1237"/>
      <c r="AV106" s="1237"/>
      <c r="AW106" s="1237"/>
      <c r="AX106" s="1237"/>
      <c r="AY106" s="1237"/>
      <c r="AZ106" s="1237"/>
      <c r="BA106" s="1237"/>
      <c r="BB106" s="1237"/>
      <c r="BC106" s="640"/>
      <c r="BD106" s="120"/>
      <c r="BE106" s="640"/>
      <c r="BF106" s="640"/>
      <c r="BG106" s="640"/>
      <c r="BH106" s="317"/>
      <c r="BL106" s="760"/>
      <c r="BV106" s="1233"/>
      <c r="BW106" s="1233"/>
      <c r="BX106" s="1233"/>
    </row>
    <row r="107" spans="2:81" s="28" customFormat="1" ht="17.100000000000001" customHeight="1">
      <c r="B107" s="316"/>
      <c r="C107" s="363"/>
      <c r="D107" s="689" t="str">
        <f>X!$C$132</f>
        <v>Jahreskosten</v>
      </c>
      <c r="E107" s="156"/>
      <c r="F107" s="156"/>
      <c r="G107" s="156"/>
      <c r="H107" s="156"/>
      <c r="I107" s="156"/>
      <c r="J107" s="156"/>
      <c r="K107" s="156"/>
      <c r="L107" s="156"/>
      <c r="M107" s="156"/>
      <c r="N107" s="156"/>
      <c r="O107" s="156"/>
      <c r="P107" s="156"/>
      <c r="Q107" s="156"/>
      <c r="R107" s="688" t="s">
        <v>48</v>
      </c>
      <c r="S107" s="156"/>
      <c r="T107" s="156"/>
      <c r="U107" s="156"/>
      <c r="V107" s="156"/>
      <c r="W107" s="156"/>
      <c r="X107" s="156"/>
      <c r="Y107" s="156"/>
      <c r="Z107" s="1786">
        <f>IF(Z79*Z85*Z90=0,0,Z79+Z85+Z90+Z97+Z105)</f>
        <v>0</v>
      </c>
      <c r="AA107" s="1786"/>
      <c r="AB107" s="1786"/>
      <c r="AC107" s="1786"/>
      <c r="AD107" s="1786"/>
      <c r="AE107" s="1786"/>
      <c r="AF107" s="1786"/>
      <c r="AG107" s="1786"/>
      <c r="AH107" s="1786"/>
      <c r="AI107" s="1786"/>
      <c r="AJ107" s="1786"/>
      <c r="AK107" s="156"/>
      <c r="AL107" s="336"/>
      <c r="AM107" s="156"/>
      <c r="AN107" s="156"/>
      <c r="AO107" s="156"/>
      <c r="AP107" s="156"/>
      <c r="AQ107" s="156"/>
      <c r="AR107" s="1786">
        <f>IF(AR79*AR85*AR90=0,0,AR79+AR85+AR90+AR97+AR105)</f>
        <v>0</v>
      </c>
      <c r="AS107" s="1786"/>
      <c r="AT107" s="1786"/>
      <c r="AU107" s="1786"/>
      <c r="AV107" s="1786"/>
      <c r="AW107" s="1786"/>
      <c r="AX107" s="1786"/>
      <c r="AY107" s="1786"/>
      <c r="AZ107" s="1786"/>
      <c r="BA107" s="1786"/>
      <c r="BB107" s="1786"/>
      <c r="BC107" s="640"/>
      <c r="BD107" s="120"/>
      <c r="BE107" s="640"/>
      <c r="BF107" s="640"/>
      <c r="BG107" s="640"/>
      <c r="BH107" s="317"/>
      <c r="BL107" s="760"/>
    </row>
    <row r="108" spans="2:81" ht="9" customHeight="1">
      <c r="B108" s="311"/>
      <c r="C108" s="477"/>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92"/>
      <c r="AK108" s="52"/>
      <c r="AL108" s="93"/>
      <c r="AM108" s="52"/>
      <c r="AN108" s="52"/>
      <c r="AO108" s="52"/>
      <c r="AP108" s="52"/>
      <c r="AQ108" s="52"/>
      <c r="AR108" s="52"/>
      <c r="AS108" s="52"/>
      <c r="AT108" s="52"/>
      <c r="AU108" s="52"/>
      <c r="AV108" s="52"/>
      <c r="AW108" s="52"/>
      <c r="AX108" s="52"/>
      <c r="AY108" s="52"/>
      <c r="AZ108" s="52"/>
      <c r="BA108" s="52"/>
      <c r="BB108" s="395"/>
      <c r="BC108" s="52"/>
      <c r="BD108" s="93"/>
      <c r="BE108" s="52"/>
      <c r="BF108" s="52"/>
      <c r="BG108" s="52"/>
      <c r="BH108" s="312"/>
      <c r="BU108" s="28"/>
      <c r="BV108" s="531"/>
      <c r="BW108" s="531"/>
      <c r="BX108" s="531"/>
      <c r="BY108" s="28"/>
      <c r="BZ108" s="28"/>
      <c r="CA108" s="28"/>
      <c r="CB108" s="28"/>
      <c r="CC108" s="28"/>
    </row>
    <row r="109" spans="2:81" ht="17.100000000000001" hidden="1" customHeight="1" outlineLevel="1">
      <c r="B109" s="311"/>
      <c r="C109" s="495">
        <v>2.2000000000000002</v>
      </c>
      <c r="D109" s="544" t="str">
        <f>X!$C$136</f>
        <v>Jährliche Kosten für einen klimaneutralen Betrieb (ökonomisch + ökologisch)</v>
      </c>
      <c r="E109" s="52"/>
      <c r="F109" s="52"/>
      <c r="G109" s="52"/>
      <c r="H109" s="52"/>
      <c r="I109" s="52"/>
      <c r="J109" s="52"/>
      <c r="K109" s="52"/>
      <c r="L109" s="52"/>
      <c r="M109" s="52"/>
      <c r="N109" s="52"/>
      <c r="O109" s="52"/>
      <c r="P109" s="52"/>
      <c r="Q109" s="52"/>
      <c r="R109" s="52"/>
      <c r="S109" s="52"/>
      <c r="T109" s="52"/>
      <c r="U109" s="52"/>
      <c r="V109" s="52"/>
      <c r="W109" s="52"/>
      <c r="X109" s="52"/>
      <c r="Y109" s="52"/>
      <c r="AK109" s="52"/>
      <c r="AL109" s="93"/>
      <c r="AM109" s="52"/>
      <c r="AN109" s="52"/>
      <c r="AO109" s="52"/>
      <c r="AP109" s="52"/>
      <c r="AQ109" s="52"/>
      <c r="BC109" s="52"/>
      <c r="BD109" s="93"/>
      <c r="BE109" s="52"/>
      <c r="BF109" s="52"/>
      <c r="BG109" s="52"/>
      <c r="BH109" s="312"/>
    </row>
    <row r="110" spans="2:81" s="28" customFormat="1" ht="17.100000000000001" hidden="1" customHeight="1" outlineLevel="1">
      <c r="B110" s="316"/>
      <c r="C110" s="363"/>
      <c r="D110" s="640" t="str">
        <f>D79</f>
        <v>Investitionskosten</v>
      </c>
      <c r="E110" s="640"/>
      <c r="F110" s="640"/>
      <c r="G110" s="640"/>
      <c r="H110" s="640"/>
      <c r="I110" s="640"/>
      <c r="J110" s="640"/>
      <c r="K110" s="640"/>
      <c r="L110" s="640"/>
      <c r="M110" s="640"/>
      <c r="N110" s="640"/>
      <c r="O110" s="640"/>
      <c r="P110" s="640"/>
      <c r="Q110" s="640"/>
      <c r="R110" s="640" t="s">
        <v>48</v>
      </c>
      <c r="S110" s="640"/>
      <c r="T110" s="640"/>
      <c r="U110" s="640"/>
      <c r="V110" s="640"/>
      <c r="W110" s="640"/>
      <c r="X110" s="640"/>
      <c r="Y110" s="640"/>
      <c r="Z110" s="1782">
        <f>Z79</f>
        <v>0</v>
      </c>
      <c r="AA110" s="1782"/>
      <c r="AB110" s="1782"/>
      <c r="AC110" s="1782"/>
      <c r="AD110" s="1782"/>
      <c r="AE110" s="1782"/>
      <c r="AF110" s="1782"/>
      <c r="AG110" s="1782"/>
      <c r="AH110" s="1782"/>
      <c r="AI110" s="1782"/>
      <c r="AJ110" s="1782"/>
      <c r="AK110" s="640"/>
      <c r="AL110" s="120"/>
      <c r="AM110" s="640"/>
      <c r="AN110" s="640"/>
      <c r="AO110" s="640"/>
      <c r="AP110" s="640"/>
      <c r="AQ110" s="640"/>
      <c r="AR110" s="1782">
        <f>AR79</f>
        <v>0</v>
      </c>
      <c r="AS110" s="1782"/>
      <c r="AT110" s="1782"/>
      <c r="AU110" s="1782"/>
      <c r="AV110" s="1782"/>
      <c r="AW110" s="1782"/>
      <c r="AX110" s="1782"/>
      <c r="AY110" s="1782"/>
      <c r="AZ110" s="1782"/>
      <c r="BA110" s="1782"/>
      <c r="BB110" s="1782"/>
      <c r="BC110" s="640"/>
      <c r="BD110" s="120"/>
      <c r="BE110" s="640"/>
      <c r="BF110" s="640"/>
      <c r="BG110" s="640"/>
      <c r="BH110" s="317"/>
    </row>
    <row r="111" spans="2:81" s="28" customFormat="1" ht="17.100000000000001" hidden="1" customHeight="1" outlineLevel="1">
      <c r="B111" s="316"/>
      <c r="C111" s="363"/>
      <c r="D111" s="640" t="str">
        <f>D85</f>
        <v>Unterhaltskosten</v>
      </c>
      <c r="E111" s="640"/>
      <c r="F111" s="640"/>
      <c r="G111" s="640"/>
      <c r="H111" s="640"/>
      <c r="I111" s="640"/>
      <c r="J111" s="640"/>
      <c r="K111" s="640"/>
      <c r="L111" s="640"/>
      <c r="M111" s="640"/>
      <c r="N111" s="640"/>
      <c r="O111" s="640"/>
      <c r="P111" s="640"/>
      <c r="Q111" s="640"/>
      <c r="R111" s="640" t="s">
        <v>48</v>
      </c>
      <c r="S111" s="640"/>
      <c r="T111" s="640"/>
      <c r="U111" s="640"/>
      <c r="V111" s="640"/>
      <c r="W111" s="640"/>
      <c r="X111" s="640"/>
      <c r="Y111" s="640"/>
      <c r="Z111" s="1782">
        <f>Z85</f>
        <v>0</v>
      </c>
      <c r="AA111" s="1782"/>
      <c r="AB111" s="1782"/>
      <c r="AC111" s="1782"/>
      <c r="AD111" s="1782"/>
      <c r="AE111" s="1782"/>
      <c r="AF111" s="1782"/>
      <c r="AG111" s="1782"/>
      <c r="AH111" s="1782"/>
      <c r="AI111" s="1782"/>
      <c r="AJ111" s="1782"/>
      <c r="AK111" s="640"/>
      <c r="AL111" s="120"/>
      <c r="AM111" s="640"/>
      <c r="AN111" s="640"/>
      <c r="AO111" s="640"/>
      <c r="AP111" s="640"/>
      <c r="AQ111" s="640"/>
      <c r="AR111" s="1782">
        <f>AR85</f>
        <v>0</v>
      </c>
      <c r="AS111" s="1782"/>
      <c r="AT111" s="1782"/>
      <c r="AU111" s="1782"/>
      <c r="AV111" s="1782"/>
      <c r="AW111" s="1782"/>
      <c r="AX111" s="1782"/>
      <c r="AY111" s="1782"/>
      <c r="AZ111" s="1782"/>
      <c r="BA111" s="1782"/>
      <c r="BB111" s="1782"/>
      <c r="BC111" s="640"/>
      <c r="BD111" s="120"/>
      <c r="BE111" s="640"/>
      <c r="BF111" s="640"/>
      <c r="BG111" s="640"/>
      <c r="BH111" s="317"/>
    </row>
    <row r="112" spans="2:81" s="28" customFormat="1" ht="17.100000000000001" hidden="1" customHeight="1" outlineLevel="1">
      <c r="B112" s="316"/>
      <c r="C112" s="363"/>
      <c r="D112" s="640" t="str">
        <f>D90</f>
        <v>Energiekosten Kälteanlage</v>
      </c>
      <c r="E112" s="640"/>
      <c r="F112" s="640"/>
      <c r="G112" s="640"/>
      <c r="H112" s="640"/>
      <c r="I112" s="640"/>
      <c r="J112" s="640"/>
      <c r="K112" s="640"/>
      <c r="L112" s="640"/>
      <c r="M112" s="640"/>
      <c r="N112" s="640"/>
      <c r="O112" s="640"/>
      <c r="P112" s="640"/>
      <c r="Q112" s="640"/>
      <c r="R112" s="640" t="s">
        <v>48</v>
      </c>
      <c r="S112" s="640"/>
      <c r="T112" s="640"/>
      <c r="U112" s="640"/>
      <c r="V112" s="640"/>
      <c r="W112" s="640"/>
      <c r="X112" s="640"/>
      <c r="Y112" s="640"/>
      <c r="Z112" s="1782">
        <f>Z90</f>
        <v>0</v>
      </c>
      <c r="AA112" s="1782"/>
      <c r="AB112" s="1782"/>
      <c r="AC112" s="1782"/>
      <c r="AD112" s="1782"/>
      <c r="AE112" s="1782"/>
      <c r="AF112" s="1782"/>
      <c r="AG112" s="1782"/>
      <c r="AH112" s="1782"/>
      <c r="AI112" s="1782"/>
      <c r="AJ112" s="1782"/>
      <c r="AK112" s="640"/>
      <c r="AL112" s="120"/>
      <c r="AM112" s="640"/>
      <c r="AN112" s="640"/>
      <c r="AO112" s="640"/>
      <c r="AP112" s="640"/>
      <c r="AQ112" s="640"/>
      <c r="AR112" s="1782">
        <f>AR90</f>
        <v>0</v>
      </c>
      <c r="AS112" s="1782"/>
      <c r="AT112" s="1782"/>
      <c r="AU112" s="1782"/>
      <c r="AV112" s="1782"/>
      <c r="AW112" s="1782"/>
      <c r="AX112" s="1782"/>
      <c r="AY112" s="1782"/>
      <c r="AZ112" s="1782"/>
      <c r="BA112" s="1782"/>
      <c r="BB112" s="1782"/>
      <c r="BC112" s="640"/>
      <c r="BD112" s="120"/>
      <c r="BE112" s="640"/>
      <c r="BF112" s="640"/>
      <c r="BG112" s="640"/>
      <c r="BH112" s="317"/>
    </row>
    <row r="113" spans="2:81" s="28" customFormat="1" ht="17.100000000000001" hidden="1" customHeight="1" outlineLevel="1">
      <c r="B113" s="316"/>
      <c r="C113" s="363"/>
      <c r="D113" s="640" t="str">
        <f>D105</f>
        <v>Einsparungen durch die Wärmenutzung</v>
      </c>
      <c r="E113" s="640"/>
      <c r="F113" s="640"/>
      <c r="G113" s="640"/>
      <c r="H113" s="640"/>
      <c r="I113" s="640"/>
      <c r="J113" s="640"/>
      <c r="K113" s="640"/>
      <c r="L113" s="640"/>
      <c r="M113" s="640"/>
      <c r="N113" s="640"/>
      <c r="O113" s="640"/>
      <c r="P113" s="640"/>
      <c r="Q113" s="640"/>
      <c r="R113" s="640" t="s">
        <v>48</v>
      </c>
      <c r="S113" s="640"/>
      <c r="T113" s="640"/>
      <c r="U113" s="640"/>
      <c r="V113" s="640"/>
      <c r="W113" s="640"/>
      <c r="X113" s="640"/>
      <c r="Y113" s="640"/>
      <c r="Z113" s="1782">
        <f>Z105</f>
        <v>0</v>
      </c>
      <c r="AA113" s="1782"/>
      <c r="AB113" s="1782"/>
      <c r="AC113" s="1782"/>
      <c r="AD113" s="1782"/>
      <c r="AE113" s="1782"/>
      <c r="AF113" s="1782"/>
      <c r="AG113" s="1782"/>
      <c r="AH113" s="1782"/>
      <c r="AI113" s="1782"/>
      <c r="AJ113" s="1782"/>
      <c r="AK113" s="640"/>
      <c r="AL113" s="120"/>
      <c r="AM113" s="640"/>
      <c r="AN113" s="640"/>
      <c r="AO113" s="640"/>
      <c r="AP113" s="640"/>
      <c r="AQ113" s="640"/>
      <c r="AR113" s="1782">
        <f>AR105</f>
        <v>0</v>
      </c>
      <c r="AS113" s="1782"/>
      <c r="AT113" s="1782"/>
      <c r="AU113" s="1782"/>
      <c r="AV113" s="1782"/>
      <c r="AW113" s="1782"/>
      <c r="AX113" s="1782"/>
      <c r="AY113" s="1782"/>
      <c r="AZ113" s="1782"/>
      <c r="BA113" s="1782"/>
      <c r="BB113" s="1782"/>
      <c r="BC113" s="640"/>
      <c r="BD113" s="120"/>
      <c r="BE113" s="640"/>
      <c r="BF113" s="640"/>
      <c r="BG113" s="640"/>
      <c r="BH113" s="317"/>
      <c r="BL113" s="760"/>
    </row>
    <row r="114" spans="2:81" s="28" customFormat="1" ht="17.100000000000001" hidden="1" customHeight="1" outlineLevel="1">
      <c r="B114" s="316"/>
      <c r="C114" s="363"/>
      <c r="D114" s="640"/>
      <c r="E114" s="640"/>
      <c r="F114" s="640"/>
      <c r="G114" s="640"/>
      <c r="H114" s="640"/>
      <c r="I114" s="640"/>
      <c r="J114" s="640"/>
      <c r="K114" s="640"/>
      <c r="L114" s="640"/>
      <c r="M114" s="640"/>
      <c r="N114" s="640"/>
      <c r="O114" s="640"/>
      <c r="P114" s="640"/>
      <c r="Q114" s="640"/>
      <c r="R114" s="640"/>
      <c r="S114" s="640"/>
      <c r="T114" s="640"/>
      <c r="U114" s="640"/>
      <c r="V114" s="640"/>
      <c r="W114" s="640"/>
      <c r="X114" s="640"/>
      <c r="Y114" s="640"/>
      <c r="Z114" s="686"/>
      <c r="AA114" s="686"/>
      <c r="AB114" s="686"/>
      <c r="AC114" s="686"/>
      <c r="AD114" s="686"/>
      <c r="AE114" s="686"/>
      <c r="AF114" s="686"/>
      <c r="AG114" s="686"/>
      <c r="AH114" s="686"/>
      <c r="AI114" s="686"/>
      <c r="AJ114" s="686"/>
      <c r="AK114" s="640"/>
      <c r="AL114" s="120"/>
      <c r="AM114" s="640"/>
      <c r="AN114" s="640"/>
      <c r="AO114" s="640"/>
      <c r="AP114" s="640"/>
      <c r="AQ114" s="640"/>
      <c r="AR114" s="686"/>
      <c r="AS114" s="686"/>
      <c r="AT114" s="686"/>
      <c r="AU114" s="686"/>
      <c r="AV114" s="686"/>
      <c r="AW114" s="686"/>
      <c r="AX114" s="686"/>
      <c r="AY114" s="686"/>
      <c r="AZ114" s="686"/>
      <c r="BA114" s="686"/>
      <c r="BB114" s="686"/>
      <c r="BC114" s="640"/>
      <c r="BD114" s="120"/>
      <c r="BE114" s="640"/>
      <c r="BF114" s="640"/>
      <c r="BG114" s="640"/>
      <c r="BH114" s="317"/>
    </row>
    <row r="115" spans="2:81" s="28" customFormat="1" ht="17.100000000000001" hidden="1" customHeight="1" outlineLevel="1">
      <c r="B115" s="316"/>
      <c r="C115" s="363"/>
      <c r="E115" s="640" t="s">
        <v>236</v>
      </c>
      <c r="F115" s="640"/>
      <c r="G115" s="640"/>
      <c r="H115" s="640"/>
      <c r="I115" s="640"/>
      <c r="J115" s="640"/>
      <c r="K115" s="640"/>
      <c r="L115" s="640"/>
      <c r="M115" s="640"/>
      <c r="N115" s="640"/>
      <c r="O115" s="640"/>
      <c r="P115" s="640"/>
      <c r="Q115" s="640"/>
      <c r="R115" s="640" t="s">
        <v>48</v>
      </c>
      <c r="S115" s="640"/>
      <c r="T115" s="640"/>
      <c r="U115" s="640"/>
      <c r="V115" s="640"/>
      <c r="W115" s="640"/>
      <c r="X115" s="640"/>
      <c r="Y115" s="640"/>
      <c r="Z115" s="1789">
        <f>'3 TEWI'!Z154</f>
        <v>0</v>
      </c>
      <c r="AA115" s="1789"/>
      <c r="AB115" s="1789"/>
      <c r="AC115" s="1789"/>
      <c r="AD115" s="1789"/>
      <c r="AE115" s="1789"/>
      <c r="AF115" s="1789"/>
      <c r="AG115" s="1789"/>
      <c r="AH115" s="1789"/>
      <c r="AI115" s="1789"/>
      <c r="AJ115" s="1789"/>
      <c r="AK115" s="640"/>
      <c r="AL115" s="120"/>
      <c r="AM115" s="640"/>
      <c r="AN115" s="640"/>
      <c r="AO115" s="640"/>
      <c r="AP115" s="640"/>
      <c r="AQ115" s="640"/>
      <c r="AR115" s="1782">
        <f>'3 TEWI'!AS154</f>
        <v>0</v>
      </c>
      <c r="AS115" s="1782"/>
      <c r="AT115" s="1782"/>
      <c r="AU115" s="1782"/>
      <c r="AV115" s="1782"/>
      <c r="AW115" s="1782"/>
      <c r="AX115" s="1782"/>
      <c r="AY115" s="1782"/>
      <c r="AZ115" s="1782"/>
      <c r="BA115" s="1782"/>
      <c r="BB115" s="1782"/>
      <c r="BC115" s="640"/>
      <c r="BD115" s="120"/>
      <c r="BE115" s="640"/>
      <c r="BF115" s="640"/>
      <c r="BG115" s="640"/>
      <c r="BH115" s="317"/>
      <c r="BU115" s="116"/>
      <c r="BV115" s="116"/>
      <c r="BW115" s="116"/>
      <c r="BX115" s="116"/>
      <c r="BY115" s="116"/>
      <c r="BZ115" s="116"/>
      <c r="CA115" s="116"/>
      <c r="CB115" s="116"/>
      <c r="CC115" s="116"/>
    </row>
    <row r="116" spans="2:81" s="28" customFormat="1" ht="17.100000000000001" hidden="1" customHeight="1" outlineLevel="1">
      <c r="B116" s="316"/>
      <c r="C116" s="363"/>
      <c r="D116" s="640"/>
      <c r="E116" s="640" t="s">
        <v>237</v>
      </c>
      <c r="F116" s="640"/>
      <c r="G116" s="640"/>
      <c r="H116" s="640"/>
      <c r="I116" s="640"/>
      <c r="J116" s="640"/>
      <c r="K116" s="640"/>
      <c r="L116" s="640"/>
      <c r="M116" s="640"/>
      <c r="N116" s="640"/>
      <c r="O116" s="640"/>
      <c r="P116" s="640"/>
      <c r="Q116" s="640"/>
      <c r="R116" s="640"/>
      <c r="S116" s="640"/>
      <c r="T116" s="640"/>
      <c r="U116" s="640"/>
      <c r="V116" s="640"/>
      <c r="W116" s="640"/>
      <c r="X116" s="640"/>
      <c r="Y116" s="640"/>
      <c r="Z116" s="1785">
        <f>IF(Z115&lt;10000,-2,-3)</f>
        <v>-2</v>
      </c>
      <c r="AA116" s="1785"/>
      <c r="AB116" s="1785"/>
      <c r="AC116" s="1785"/>
      <c r="AD116" s="1785"/>
      <c r="AE116" s="1785"/>
      <c r="AF116" s="1785"/>
      <c r="AG116" s="1785"/>
      <c r="AH116" s="1785"/>
      <c r="AI116" s="1785"/>
      <c r="AJ116" s="1785"/>
      <c r="AK116" s="640"/>
      <c r="AL116" s="120"/>
      <c r="AM116" s="640"/>
      <c r="AN116" s="640"/>
      <c r="AO116" s="640"/>
      <c r="AP116" s="640"/>
      <c r="AQ116" s="640"/>
      <c r="AR116" s="1785">
        <f>IF(AR115&lt;10000,-2,-3)</f>
        <v>-2</v>
      </c>
      <c r="AS116" s="1785"/>
      <c r="AT116" s="1785"/>
      <c r="AU116" s="1785"/>
      <c r="AV116" s="1785"/>
      <c r="AW116" s="1785"/>
      <c r="AX116" s="1785"/>
      <c r="AY116" s="1785"/>
      <c r="AZ116" s="1785"/>
      <c r="BA116" s="1785"/>
      <c r="BB116" s="1785"/>
      <c r="BC116" s="640"/>
      <c r="BD116" s="120"/>
      <c r="BE116" s="640"/>
      <c r="BF116" s="640"/>
      <c r="BG116" s="640"/>
      <c r="BH116" s="317"/>
    </row>
    <row r="117" spans="2:81" s="28" customFormat="1" ht="17.100000000000001" customHeight="1" collapsed="1">
      <c r="B117" s="316"/>
      <c r="C117" s="363"/>
      <c r="D117" s="687" t="str">
        <f>X!$C$75</f>
        <v>CO2-Kompensationskosten</v>
      </c>
      <c r="E117" s="640"/>
      <c r="F117" s="640"/>
      <c r="G117" s="640"/>
      <c r="H117" s="640"/>
      <c r="I117" s="640"/>
      <c r="J117" s="640"/>
      <c r="K117" s="640"/>
      <c r="L117" s="640"/>
      <c r="M117" s="640"/>
      <c r="N117" s="640"/>
      <c r="O117" s="640"/>
      <c r="P117" s="640"/>
      <c r="Q117" s="640"/>
      <c r="R117" s="640" t="s">
        <v>48</v>
      </c>
      <c r="S117" s="640"/>
      <c r="T117" s="640"/>
      <c r="U117" s="640"/>
      <c r="V117" s="640"/>
      <c r="W117" s="640"/>
      <c r="X117" s="640"/>
      <c r="Y117" s="640"/>
      <c r="Z117" s="1784">
        <f>ROUND(Z115,Z116)</f>
        <v>0</v>
      </c>
      <c r="AA117" s="1782"/>
      <c r="AB117" s="1782"/>
      <c r="AC117" s="1782"/>
      <c r="AD117" s="1782"/>
      <c r="AE117" s="1782"/>
      <c r="AF117" s="1782"/>
      <c r="AG117" s="1782"/>
      <c r="AH117" s="1782"/>
      <c r="AI117" s="1782"/>
      <c r="AJ117" s="1782"/>
      <c r="AK117" s="640"/>
      <c r="AL117" s="120"/>
      <c r="AM117" s="640"/>
      <c r="AN117" s="640"/>
      <c r="AO117" s="640"/>
      <c r="AP117" s="640"/>
      <c r="AQ117" s="640"/>
      <c r="AR117" s="1784">
        <f>ROUND(AR115,AR116)</f>
        <v>0</v>
      </c>
      <c r="AS117" s="1782"/>
      <c r="AT117" s="1782"/>
      <c r="AU117" s="1782"/>
      <c r="AV117" s="1782"/>
      <c r="AW117" s="1782"/>
      <c r="AX117" s="1782"/>
      <c r="AY117" s="1782"/>
      <c r="AZ117" s="1782"/>
      <c r="BA117" s="1782"/>
      <c r="BB117" s="1782"/>
      <c r="BC117" s="640"/>
      <c r="BD117" s="120"/>
      <c r="BE117" s="640"/>
      <c r="BF117" s="640"/>
      <c r="BG117" s="640"/>
      <c r="BH117" s="317"/>
      <c r="BU117" s="139"/>
      <c r="BV117" s="139"/>
      <c r="BW117" s="139"/>
      <c r="BX117" s="139"/>
      <c r="BY117" s="139"/>
      <c r="BZ117" s="139"/>
      <c r="CA117" s="139"/>
      <c r="CB117" s="139"/>
      <c r="CC117" s="139"/>
    </row>
    <row r="118" spans="2:81" s="28" customFormat="1" ht="17.100000000000001" customHeight="1">
      <c r="B118" s="316"/>
      <c r="C118" s="363"/>
      <c r="D118" s="688" t="str">
        <f>X!C133</f>
        <v>Jahreskosten (CO2-neutraler Betrieb)</v>
      </c>
      <c r="E118" s="156"/>
      <c r="F118" s="156"/>
      <c r="G118" s="156"/>
      <c r="H118" s="156"/>
      <c r="I118" s="156"/>
      <c r="J118" s="156"/>
      <c r="K118" s="156"/>
      <c r="L118" s="156"/>
      <c r="M118" s="156"/>
      <c r="N118" s="156"/>
      <c r="O118" s="156"/>
      <c r="P118" s="156"/>
      <c r="Q118" s="156"/>
      <c r="R118" s="688" t="s">
        <v>48</v>
      </c>
      <c r="S118" s="156"/>
      <c r="T118" s="156"/>
      <c r="U118" s="156"/>
      <c r="V118" s="156"/>
      <c r="W118" s="156"/>
      <c r="X118" s="156"/>
      <c r="Y118" s="156"/>
      <c r="Z118" s="1786">
        <f>Z107+Z117</f>
        <v>0</v>
      </c>
      <c r="AA118" s="1786"/>
      <c r="AB118" s="1786"/>
      <c r="AC118" s="1786"/>
      <c r="AD118" s="1786"/>
      <c r="AE118" s="1786"/>
      <c r="AF118" s="1786"/>
      <c r="AG118" s="1786"/>
      <c r="AH118" s="1786"/>
      <c r="AI118" s="1786"/>
      <c r="AJ118" s="1786"/>
      <c r="AK118" s="156"/>
      <c r="AL118" s="336"/>
      <c r="AM118" s="156"/>
      <c r="AN118" s="156"/>
      <c r="AO118" s="156"/>
      <c r="AP118" s="156"/>
      <c r="AQ118" s="156"/>
      <c r="AR118" s="1786">
        <f>AR107+AR117</f>
        <v>0</v>
      </c>
      <c r="AS118" s="1786"/>
      <c r="AT118" s="1786"/>
      <c r="AU118" s="1786"/>
      <c r="AV118" s="1786"/>
      <c r="AW118" s="1786"/>
      <c r="AX118" s="1786"/>
      <c r="AY118" s="1786"/>
      <c r="AZ118" s="1786"/>
      <c r="BA118" s="1786"/>
      <c r="BB118" s="1786"/>
      <c r="BC118" s="156"/>
      <c r="BD118" s="120"/>
      <c r="BE118" s="640"/>
      <c r="BF118" s="640"/>
      <c r="BG118" s="640"/>
      <c r="BH118" s="317"/>
    </row>
    <row r="119" spans="2:81" ht="17.100000000000001" customHeight="1">
      <c r="B119" s="311"/>
      <c r="C119" s="477"/>
      <c r="D119" s="374"/>
      <c r="E119" s="224"/>
      <c r="F119" s="224"/>
      <c r="G119" s="224"/>
      <c r="H119" s="224"/>
      <c r="I119" s="224"/>
      <c r="J119" s="224"/>
      <c r="K119" s="224"/>
      <c r="L119" s="224"/>
      <c r="M119" s="224"/>
      <c r="N119" s="224"/>
      <c r="O119" s="224"/>
      <c r="P119" s="224"/>
      <c r="Q119" s="224"/>
      <c r="R119" s="374"/>
      <c r="S119" s="224"/>
      <c r="T119" s="224"/>
      <c r="U119" s="224"/>
      <c r="V119" s="224"/>
      <c r="W119" s="224"/>
      <c r="X119" s="224"/>
      <c r="Y119" s="224"/>
      <c r="Z119" s="391"/>
      <c r="AA119" s="391"/>
      <c r="AB119" s="391"/>
      <c r="AC119" s="391"/>
      <c r="AD119" s="391"/>
      <c r="AE119" s="391"/>
      <c r="AF119" s="391"/>
      <c r="AG119" s="391"/>
      <c r="AH119" s="391"/>
      <c r="AI119" s="391"/>
      <c r="AJ119" s="391"/>
      <c r="AK119" s="224"/>
      <c r="AL119" s="375"/>
      <c r="AM119" s="224"/>
      <c r="AN119" s="224"/>
      <c r="AO119" s="224"/>
      <c r="AP119" s="224"/>
      <c r="AQ119" s="224"/>
      <c r="AR119" s="391"/>
      <c r="AS119" s="391"/>
      <c r="AT119" s="391"/>
      <c r="AU119" s="391"/>
      <c r="AV119" s="391"/>
      <c r="AW119" s="391"/>
      <c r="AX119" s="391"/>
      <c r="AY119" s="391"/>
      <c r="AZ119" s="391"/>
      <c r="BA119" s="391"/>
      <c r="BB119" s="391"/>
      <c r="BC119" s="224"/>
      <c r="BD119" s="93"/>
      <c r="BE119" s="52"/>
      <c r="BF119" s="52"/>
      <c r="BG119" s="52"/>
      <c r="BH119" s="312"/>
      <c r="BU119" s="28"/>
      <c r="BV119" s="28"/>
      <c r="BW119" s="28"/>
      <c r="BX119" s="28"/>
      <c r="BY119" s="28"/>
      <c r="BZ119" s="28"/>
      <c r="CA119" s="28"/>
      <c r="CB119" s="28"/>
      <c r="CC119" s="28"/>
    </row>
    <row r="120" spans="2:81" s="28" customFormat="1" ht="17.100000000000001" customHeight="1">
      <c r="B120" s="316"/>
      <c r="C120" s="363"/>
      <c r="D120" s="55"/>
      <c r="E120" s="55"/>
      <c r="F120" s="55"/>
      <c r="G120" s="55"/>
      <c r="H120" s="55"/>
      <c r="I120" s="55"/>
      <c r="J120" s="55"/>
      <c r="K120" s="55"/>
      <c r="L120" s="55"/>
      <c r="M120" s="55"/>
      <c r="N120" s="55"/>
      <c r="O120" s="55"/>
      <c r="P120" s="55"/>
      <c r="Q120" s="55"/>
      <c r="R120" s="55"/>
      <c r="S120" s="55"/>
      <c r="T120" s="55"/>
      <c r="U120" s="55"/>
      <c r="V120" s="55"/>
      <c r="W120" s="55"/>
      <c r="X120" s="55"/>
      <c r="Y120" s="55"/>
      <c r="Z120" s="394"/>
      <c r="AA120" s="393"/>
      <c r="AB120" s="393"/>
      <c r="AC120" s="393"/>
      <c r="AD120" s="393"/>
      <c r="AE120" s="393"/>
      <c r="AF120" s="393"/>
      <c r="AG120" s="393"/>
      <c r="AH120" s="393"/>
      <c r="AI120" s="393"/>
      <c r="AJ120" s="393"/>
      <c r="AK120" s="55"/>
      <c r="AL120" s="120"/>
      <c r="AM120" s="55"/>
      <c r="AN120" s="55"/>
      <c r="AO120" s="55"/>
      <c r="AP120" s="55"/>
      <c r="AQ120" s="55"/>
      <c r="AR120" s="394"/>
      <c r="AS120" s="393"/>
      <c r="AT120" s="393"/>
      <c r="AU120" s="393"/>
      <c r="AV120" s="393"/>
      <c r="AW120" s="393"/>
      <c r="AX120" s="393"/>
      <c r="AY120" s="393"/>
      <c r="AZ120" s="393"/>
      <c r="BA120" s="393"/>
      <c r="BB120" s="393"/>
      <c r="BC120" s="55"/>
      <c r="BD120" s="120"/>
      <c r="BE120" s="55"/>
      <c r="BF120" s="55"/>
      <c r="BG120" s="55"/>
      <c r="BH120" s="317"/>
    </row>
    <row r="121" spans="2:81" s="28" customFormat="1" ht="17.100000000000001" customHeight="1">
      <c r="B121" s="316"/>
      <c r="C121" s="579" t="str">
        <f>X!$C$170</f>
        <v>Lebenszykluskosten (Life Cycle Cost LCC)</v>
      </c>
      <c r="D121" s="55"/>
      <c r="E121" s="55"/>
      <c r="F121" s="55"/>
      <c r="G121" s="55"/>
      <c r="H121" s="55"/>
      <c r="I121" s="55"/>
      <c r="J121" s="55"/>
      <c r="K121" s="55"/>
      <c r="L121" s="55"/>
      <c r="M121" s="55"/>
      <c r="N121" s="55"/>
      <c r="O121" s="55"/>
      <c r="P121" s="55"/>
      <c r="Q121" s="55"/>
      <c r="R121" s="55"/>
      <c r="S121" s="55"/>
      <c r="T121" s="55"/>
      <c r="U121" s="55"/>
      <c r="V121" s="55"/>
      <c r="W121" s="55"/>
      <c r="X121" s="55"/>
      <c r="Y121" s="55"/>
      <c r="Z121" s="394"/>
      <c r="AA121" s="393"/>
      <c r="AB121" s="393"/>
      <c r="AC121" s="393"/>
      <c r="AD121" s="393"/>
      <c r="AE121" s="393"/>
      <c r="AF121" s="393"/>
      <c r="AG121" s="393"/>
      <c r="AH121" s="393"/>
      <c r="AI121" s="393"/>
      <c r="AJ121" s="393"/>
      <c r="AK121" s="55"/>
      <c r="AL121" s="120"/>
      <c r="AM121" s="55"/>
      <c r="AN121" s="55"/>
      <c r="AO121" s="55"/>
      <c r="AP121" s="55"/>
      <c r="AQ121" s="55"/>
      <c r="AR121" s="394"/>
      <c r="AS121" s="393"/>
      <c r="AT121" s="393"/>
      <c r="AU121" s="393"/>
      <c r="AV121" s="393"/>
      <c r="AW121" s="393"/>
      <c r="AX121" s="393"/>
      <c r="AY121" s="393"/>
      <c r="AZ121" s="393"/>
      <c r="BA121" s="393"/>
      <c r="BB121" s="393"/>
      <c r="BC121" s="55"/>
      <c r="BD121" s="120"/>
      <c r="BE121" s="55"/>
      <c r="BF121" s="55"/>
      <c r="BG121" s="55"/>
      <c r="BH121" s="317"/>
    </row>
    <row r="122" spans="2:81" ht="9" customHeight="1">
      <c r="B122" s="311"/>
      <c r="C122" s="477"/>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395"/>
      <c r="AK122" s="52"/>
      <c r="AL122" s="93"/>
      <c r="AM122" s="52"/>
      <c r="AN122" s="52"/>
      <c r="AO122" s="52"/>
      <c r="AP122" s="52"/>
      <c r="AQ122" s="52"/>
      <c r="AR122" s="52"/>
      <c r="AS122" s="52"/>
      <c r="AT122" s="52"/>
      <c r="AU122" s="52"/>
      <c r="AV122" s="52"/>
      <c r="AW122" s="52"/>
      <c r="AX122" s="52"/>
      <c r="AY122" s="52"/>
      <c r="AZ122" s="52"/>
      <c r="BA122" s="52"/>
      <c r="BB122" s="395"/>
      <c r="BC122" s="52"/>
      <c r="BD122" s="93"/>
      <c r="BE122" s="52"/>
      <c r="BF122" s="52"/>
      <c r="BG122" s="52"/>
      <c r="BH122" s="312"/>
      <c r="BU122" s="28"/>
      <c r="BV122" s="28"/>
      <c r="BW122" s="28"/>
      <c r="BX122" s="28"/>
      <c r="BY122" s="28"/>
      <c r="BZ122" s="28"/>
      <c r="CA122" s="28"/>
      <c r="CB122" s="28"/>
      <c r="CC122" s="28"/>
    </row>
    <row r="123" spans="2:81" ht="17.100000000000001" customHeight="1">
      <c r="B123" s="311"/>
      <c r="C123" s="495">
        <v>2.2999999999999998</v>
      </c>
      <c r="D123" s="536" t="str">
        <f>X!$C$169</f>
        <v>Lebenszykluskosten</v>
      </c>
      <c r="E123" s="52"/>
      <c r="F123" s="52"/>
      <c r="G123" s="52"/>
      <c r="H123" s="52"/>
      <c r="I123" s="52"/>
      <c r="J123" s="52"/>
      <c r="K123" s="52"/>
      <c r="L123" s="52"/>
      <c r="M123" s="52"/>
      <c r="N123" s="52"/>
      <c r="O123" s="52"/>
      <c r="P123" s="52"/>
      <c r="Q123" s="52"/>
      <c r="R123" s="52"/>
      <c r="S123" s="52"/>
      <c r="T123" s="52"/>
      <c r="U123" s="52"/>
      <c r="V123" s="52"/>
      <c r="W123" s="52"/>
      <c r="X123" s="52"/>
      <c r="Y123" s="52"/>
      <c r="AK123" s="52"/>
      <c r="AL123" s="93"/>
      <c r="AM123" s="52"/>
      <c r="AN123" s="52"/>
      <c r="AO123" s="52"/>
      <c r="AP123" s="52"/>
      <c r="AQ123" s="52"/>
      <c r="BC123" s="52"/>
      <c r="BD123" s="93"/>
      <c r="BE123" s="52"/>
      <c r="BF123" s="52"/>
      <c r="BG123" s="52"/>
      <c r="BH123" s="312"/>
      <c r="BU123" s="28"/>
      <c r="BV123" s="28"/>
      <c r="BW123" s="28"/>
      <c r="BX123" s="28"/>
      <c r="BY123" s="28"/>
      <c r="BZ123" s="28"/>
      <c r="CA123" s="28"/>
      <c r="CB123" s="28"/>
      <c r="CC123" s="28"/>
    </row>
    <row r="124" spans="2:81" ht="17.100000000000001" hidden="1" customHeight="1" outlineLevel="1">
      <c r="B124" s="311"/>
      <c r="C124" s="477"/>
      <c r="E124" s="52" t="s">
        <v>231</v>
      </c>
      <c r="F124" s="52"/>
      <c r="G124" s="52"/>
      <c r="H124" s="52"/>
      <c r="I124" s="52"/>
      <c r="J124" s="52"/>
      <c r="K124" s="52"/>
      <c r="L124" s="52"/>
      <c r="M124" s="52"/>
      <c r="N124" s="52"/>
      <c r="O124" s="52"/>
      <c r="P124" s="52"/>
      <c r="Q124" s="52"/>
      <c r="R124" s="52" t="s">
        <v>232</v>
      </c>
      <c r="S124" s="52"/>
      <c r="T124" s="52"/>
      <c r="U124" s="52"/>
      <c r="V124" s="52"/>
      <c r="W124" s="52"/>
      <c r="X124" s="52"/>
      <c r="Y124" s="52"/>
      <c r="Z124" s="1728">
        <f>Z37</f>
        <v>0</v>
      </c>
      <c r="AA124" s="1728"/>
      <c r="AB124" s="1728"/>
      <c r="AC124" s="1728"/>
      <c r="AD124" s="1728"/>
      <c r="AE124" s="1728"/>
      <c r="AF124" s="1728"/>
      <c r="AG124" s="1728"/>
      <c r="AH124" s="1728"/>
      <c r="AI124" s="1728"/>
      <c r="AJ124" s="1728"/>
      <c r="AK124" s="52"/>
      <c r="AL124" s="93"/>
      <c r="AM124" s="52"/>
      <c r="AN124" s="52"/>
      <c r="AO124" s="52"/>
      <c r="AP124" s="52"/>
      <c r="AQ124" s="52"/>
      <c r="AR124" s="1728">
        <f>AR37</f>
        <v>0</v>
      </c>
      <c r="AS124" s="1728"/>
      <c r="AT124" s="1728"/>
      <c r="AU124" s="1728"/>
      <c r="AV124" s="1728"/>
      <c r="AW124" s="1728"/>
      <c r="AX124" s="1728"/>
      <c r="AY124" s="1728"/>
      <c r="AZ124" s="1728"/>
      <c r="BA124" s="1728"/>
      <c r="BB124" s="1728"/>
      <c r="BC124" s="52"/>
      <c r="BD124" s="93"/>
      <c r="BE124" s="52"/>
      <c r="BF124" s="52"/>
      <c r="BG124" s="52"/>
      <c r="BH124" s="312"/>
      <c r="BU124" s="28"/>
      <c r="BV124" s="28"/>
      <c r="BW124" s="28"/>
      <c r="BX124" s="28"/>
      <c r="BY124" s="28"/>
      <c r="BZ124" s="28"/>
      <c r="CA124" s="28"/>
      <c r="CB124" s="28"/>
      <c r="CC124" s="28"/>
    </row>
    <row r="125" spans="2:81" ht="17.100000000000001" hidden="1" customHeight="1" outlineLevel="1">
      <c r="B125" s="311"/>
      <c r="C125" s="477"/>
      <c r="D125" s="52"/>
      <c r="E125" s="52" t="s">
        <v>237</v>
      </c>
      <c r="F125" s="52"/>
      <c r="G125" s="52"/>
      <c r="H125" s="52"/>
      <c r="I125" s="52"/>
      <c r="J125" s="52"/>
      <c r="K125" s="52"/>
      <c r="L125" s="52"/>
      <c r="M125" s="52"/>
      <c r="N125" s="52"/>
      <c r="O125" s="52"/>
      <c r="P125" s="52"/>
      <c r="Q125" s="52"/>
      <c r="R125" s="52"/>
      <c r="S125" s="52"/>
      <c r="T125" s="52"/>
      <c r="U125" s="52"/>
      <c r="V125" s="52"/>
      <c r="W125" s="52"/>
      <c r="X125" s="52"/>
      <c r="Y125" s="52"/>
      <c r="Z125" s="1785">
        <f>IF(Z124&lt;10000,-2,-3)</f>
        <v>-2</v>
      </c>
      <c r="AA125" s="1785"/>
      <c r="AB125" s="1785"/>
      <c r="AC125" s="1785"/>
      <c r="AD125" s="1785"/>
      <c r="AE125" s="1785"/>
      <c r="AF125" s="1785"/>
      <c r="AG125" s="1785"/>
      <c r="AH125" s="1785"/>
      <c r="AI125" s="1785"/>
      <c r="AJ125" s="1785"/>
      <c r="AK125" s="52"/>
      <c r="AL125" s="93"/>
      <c r="AM125" s="52"/>
      <c r="AN125" s="52"/>
      <c r="AO125" s="52"/>
      <c r="AP125" s="52"/>
      <c r="AQ125" s="52"/>
      <c r="AR125" s="1785">
        <f>IF(AR124&lt;10000,-2,-3)</f>
        <v>-2</v>
      </c>
      <c r="AS125" s="1785"/>
      <c r="AT125" s="1785"/>
      <c r="AU125" s="1785"/>
      <c r="AV125" s="1785"/>
      <c r="AW125" s="1785"/>
      <c r="AX125" s="1785"/>
      <c r="AY125" s="1785"/>
      <c r="AZ125" s="1785"/>
      <c r="BA125" s="1785"/>
      <c r="BB125" s="1785"/>
      <c r="BC125" s="52"/>
      <c r="BD125" s="93"/>
      <c r="BE125" s="52"/>
      <c r="BF125" s="52"/>
      <c r="BG125" s="52"/>
      <c r="BH125" s="312"/>
    </row>
    <row r="126" spans="2:81" s="28" customFormat="1" ht="17.100000000000001" customHeight="1" collapsed="1">
      <c r="B126" s="316"/>
      <c r="C126" s="363"/>
      <c r="D126" s="640" t="str">
        <f>D110</f>
        <v>Investitionskosten</v>
      </c>
      <c r="E126" s="640"/>
      <c r="F126" s="640"/>
      <c r="G126" s="640"/>
      <c r="H126" s="640"/>
      <c r="I126" s="640"/>
      <c r="J126" s="640"/>
      <c r="K126" s="640"/>
      <c r="L126" s="640"/>
      <c r="M126" s="640"/>
      <c r="N126" s="640"/>
      <c r="O126" s="640"/>
      <c r="P126" s="640"/>
      <c r="Q126" s="640"/>
      <c r="R126" s="640" t="s">
        <v>232</v>
      </c>
      <c r="S126" s="640"/>
      <c r="T126" s="640"/>
      <c r="U126" s="640"/>
      <c r="V126" s="640"/>
      <c r="W126" s="640"/>
      <c r="X126" s="640"/>
      <c r="Y126" s="640"/>
      <c r="Z126" s="1782">
        <f>ROUND(Z124,Z125)</f>
        <v>0</v>
      </c>
      <c r="AA126" s="1782"/>
      <c r="AB126" s="1782"/>
      <c r="AC126" s="1782"/>
      <c r="AD126" s="1782"/>
      <c r="AE126" s="1782"/>
      <c r="AF126" s="1782"/>
      <c r="AG126" s="1782"/>
      <c r="AH126" s="1782"/>
      <c r="AI126" s="1782"/>
      <c r="AJ126" s="1782"/>
      <c r="AK126" s="640"/>
      <c r="AL126" s="120"/>
      <c r="AM126" s="640"/>
      <c r="AN126" s="640"/>
      <c r="AO126" s="640"/>
      <c r="AP126" s="640"/>
      <c r="AQ126" s="640"/>
      <c r="AR126" s="1782">
        <f>ROUND(AR124,AR125)</f>
        <v>0</v>
      </c>
      <c r="AS126" s="1782"/>
      <c r="AT126" s="1782"/>
      <c r="AU126" s="1782"/>
      <c r="AV126" s="1782"/>
      <c r="AW126" s="1782"/>
      <c r="AX126" s="1782"/>
      <c r="AY126" s="1782"/>
      <c r="AZ126" s="1782"/>
      <c r="BA126" s="1782"/>
      <c r="BB126" s="1782"/>
      <c r="BC126" s="640"/>
      <c r="BD126" s="120"/>
      <c r="BE126" s="640"/>
      <c r="BF126" s="640"/>
      <c r="BG126" s="640"/>
      <c r="BH126" s="317"/>
    </row>
    <row r="127" spans="2:81" s="28" customFormat="1" ht="17.100000000000001" hidden="1" customHeight="1" outlineLevel="1">
      <c r="B127" s="316"/>
      <c r="C127" s="363"/>
      <c r="D127" s="640"/>
      <c r="E127" s="640"/>
      <c r="F127" s="640"/>
      <c r="G127" s="640"/>
      <c r="H127" s="640"/>
      <c r="I127" s="640"/>
      <c r="J127" s="640"/>
      <c r="K127" s="640"/>
      <c r="L127" s="640"/>
      <c r="M127" s="640"/>
      <c r="N127" s="640"/>
      <c r="O127" s="640"/>
      <c r="P127" s="640"/>
      <c r="Q127" s="640"/>
      <c r="R127" s="640"/>
      <c r="S127" s="640"/>
      <c r="T127" s="640"/>
      <c r="U127" s="640"/>
      <c r="V127" s="640"/>
      <c r="W127" s="640"/>
      <c r="X127" s="640"/>
      <c r="Y127" s="640"/>
      <c r="Z127" s="686"/>
      <c r="AA127" s="686"/>
      <c r="AB127" s="686"/>
      <c r="AC127" s="686"/>
      <c r="AD127" s="686"/>
      <c r="AE127" s="686"/>
      <c r="AF127" s="686"/>
      <c r="AG127" s="686"/>
      <c r="AH127" s="686"/>
      <c r="AI127" s="686"/>
      <c r="AJ127" s="686"/>
      <c r="AK127" s="640"/>
      <c r="AL127" s="120"/>
      <c r="AM127" s="640"/>
      <c r="AN127" s="640"/>
      <c r="AO127" s="640"/>
      <c r="AP127" s="640"/>
      <c r="AQ127" s="640"/>
      <c r="AR127" s="686"/>
      <c r="AS127" s="686"/>
      <c r="AT127" s="686"/>
      <c r="AU127" s="686"/>
      <c r="AV127" s="686"/>
      <c r="AW127" s="686"/>
      <c r="AX127" s="686"/>
      <c r="AY127" s="686"/>
      <c r="AZ127" s="686"/>
      <c r="BA127" s="686"/>
      <c r="BB127" s="686"/>
      <c r="BC127" s="640"/>
      <c r="BD127" s="120"/>
      <c r="BE127" s="640"/>
      <c r="BF127" s="640"/>
      <c r="BG127" s="640"/>
      <c r="BH127" s="317"/>
    </row>
    <row r="128" spans="2:81" s="28" customFormat="1" ht="17.100000000000001" hidden="1" customHeight="1" outlineLevel="1">
      <c r="B128" s="316"/>
      <c r="C128" s="363"/>
      <c r="D128" s="640"/>
      <c r="E128" s="640" t="s">
        <v>750</v>
      </c>
      <c r="F128" s="640"/>
      <c r="G128" s="640"/>
      <c r="H128" s="640"/>
      <c r="I128" s="640"/>
      <c r="J128" s="640"/>
      <c r="K128" s="640"/>
      <c r="L128" s="640"/>
      <c r="M128" s="640"/>
      <c r="N128" s="640"/>
      <c r="O128" s="640"/>
      <c r="P128" s="640"/>
      <c r="Q128" s="640"/>
      <c r="R128" s="640" t="s">
        <v>232</v>
      </c>
      <c r="S128" s="640"/>
      <c r="T128" s="640"/>
      <c r="U128" s="640"/>
      <c r="V128" s="640"/>
      <c r="W128" s="640"/>
      <c r="X128" s="640"/>
      <c r="Y128" s="640"/>
      <c r="Z128" s="1782">
        <f>Z83*Z60</f>
        <v>0</v>
      </c>
      <c r="AA128" s="1782"/>
      <c r="AB128" s="1782"/>
      <c r="AC128" s="1782"/>
      <c r="AD128" s="1782"/>
      <c r="AE128" s="1782"/>
      <c r="AF128" s="1782"/>
      <c r="AG128" s="1782"/>
      <c r="AH128" s="1782"/>
      <c r="AI128" s="1782"/>
      <c r="AJ128" s="1782"/>
      <c r="AK128" s="640"/>
      <c r="AL128" s="120"/>
      <c r="AM128" s="640"/>
      <c r="AN128" s="640"/>
      <c r="AO128" s="640"/>
      <c r="AP128" s="640"/>
      <c r="AQ128" s="640"/>
      <c r="AR128" s="1782">
        <f>AR83*AR60</f>
        <v>0</v>
      </c>
      <c r="AS128" s="1782"/>
      <c r="AT128" s="1782"/>
      <c r="AU128" s="1782"/>
      <c r="AV128" s="1782"/>
      <c r="AW128" s="1782"/>
      <c r="AX128" s="1782"/>
      <c r="AY128" s="1782"/>
      <c r="AZ128" s="1782"/>
      <c r="BA128" s="1782"/>
      <c r="BB128" s="1782"/>
      <c r="BC128" s="640"/>
      <c r="BD128" s="120"/>
      <c r="BE128" s="640"/>
      <c r="BF128" s="640"/>
      <c r="BG128" s="640"/>
      <c r="BH128" s="317"/>
    </row>
    <row r="129" spans="2:81" s="28" customFormat="1" ht="17.100000000000001" hidden="1" customHeight="1" outlineLevel="1">
      <c r="B129" s="316"/>
      <c r="C129" s="363"/>
      <c r="D129" s="640"/>
      <c r="E129" s="640" t="s">
        <v>237</v>
      </c>
      <c r="F129" s="640"/>
      <c r="G129" s="640"/>
      <c r="H129" s="640"/>
      <c r="I129" s="640"/>
      <c r="J129" s="640"/>
      <c r="K129" s="640"/>
      <c r="L129" s="640"/>
      <c r="M129" s="640"/>
      <c r="N129" s="640"/>
      <c r="O129" s="640"/>
      <c r="P129" s="640"/>
      <c r="Q129" s="640"/>
      <c r="R129" s="640"/>
      <c r="S129" s="640"/>
      <c r="T129" s="640"/>
      <c r="U129" s="640"/>
      <c r="V129" s="640"/>
      <c r="W129" s="640"/>
      <c r="X129" s="640"/>
      <c r="Y129" s="640"/>
      <c r="Z129" s="1785">
        <f>IF(Z128&lt;10000,-2,-3)</f>
        <v>-2</v>
      </c>
      <c r="AA129" s="1785"/>
      <c r="AB129" s="1785"/>
      <c r="AC129" s="1785"/>
      <c r="AD129" s="1785"/>
      <c r="AE129" s="1785"/>
      <c r="AF129" s="1785"/>
      <c r="AG129" s="1785"/>
      <c r="AH129" s="1785"/>
      <c r="AI129" s="1785"/>
      <c r="AJ129" s="1785"/>
      <c r="AK129" s="640"/>
      <c r="AL129" s="120"/>
      <c r="AM129" s="640"/>
      <c r="AN129" s="640"/>
      <c r="AO129" s="640"/>
      <c r="AP129" s="640"/>
      <c r="AQ129" s="640"/>
      <c r="AR129" s="1785">
        <f>IF(AR128&lt;10000,-2,-3)</f>
        <v>-2</v>
      </c>
      <c r="AS129" s="1785"/>
      <c r="AT129" s="1785"/>
      <c r="AU129" s="1785"/>
      <c r="AV129" s="1785"/>
      <c r="AW129" s="1785"/>
      <c r="AX129" s="1785"/>
      <c r="AY129" s="1785"/>
      <c r="AZ129" s="1785"/>
      <c r="BA129" s="1785"/>
      <c r="BB129" s="1785"/>
      <c r="BC129" s="640"/>
      <c r="BD129" s="120"/>
      <c r="BE129" s="640"/>
      <c r="BF129" s="640"/>
      <c r="BG129" s="640"/>
      <c r="BH129" s="317"/>
    </row>
    <row r="130" spans="2:81" s="28" customFormat="1" ht="17.100000000000001" customHeight="1" collapsed="1">
      <c r="B130" s="316"/>
      <c r="C130" s="363"/>
      <c r="D130" s="640" t="str">
        <f>D111</f>
        <v>Unterhaltskosten</v>
      </c>
      <c r="E130" s="640"/>
      <c r="F130" s="640"/>
      <c r="G130" s="640"/>
      <c r="H130" s="640"/>
      <c r="I130" s="640"/>
      <c r="J130" s="640"/>
      <c r="K130" s="640"/>
      <c r="L130" s="640"/>
      <c r="M130" s="640"/>
      <c r="N130" s="640"/>
      <c r="O130" s="640"/>
      <c r="P130" s="640"/>
      <c r="Q130" s="640"/>
      <c r="R130" s="640" t="s">
        <v>232</v>
      </c>
      <c r="S130" s="640"/>
      <c r="T130" s="640"/>
      <c r="U130" s="640"/>
      <c r="V130" s="640"/>
      <c r="W130" s="640"/>
      <c r="X130" s="640"/>
      <c r="Y130" s="640"/>
      <c r="Z130" s="1782">
        <f>ROUND(Z128,Z129)</f>
        <v>0</v>
      </c>
      <c r="AA130" s="1782"/>
      <c r="AB130" s="1782"/>
      <c r="AC130" s="1782"/>
      <c r="AD130" s="1782"/>
      <c r="AE130" s="1782"/>
      <c r="AF130" s="1782"/>
      <c r="AG130" s="1782"/>
      <c r="AH130" s="1782"/>
      <c r="AI130" s="1782"/>
      <c r="AJ130" s="1782"/>
      <c r="AK130" s="640"/>
      <c r="AL130" s="120"/>
      <c r="AM130" s="640"/>
      <c r="AN130" s="640"/>
      <c r="AO130" s="640"/>
      <c r="AP130" s="640"/>
      <c r="AQ130" s="640"/>
      <c r="AR130" s="1782">
        <f>ROUND(AR128,AR129)</f>
        <v>0</v>
      </c>
      <c r="AS130" s="1782"/>
      <c r="AT130" s="1782"/>
      <c r="AU130" s="1782"/>
      <c r="AV130" s="1782"/>
      <c r="AW130" s="1782"/>
      <c r="AX130" s="1782"/>
      <c r="AY130" s="1782"/>
      <c r="AZ130" s="1782"/>
      <c r="BA130" s="1782"/>
      <c r="BB130" s="1782"/>
      <c r="BC130" s="640"/>
      <c r="BD130" s="120"/>
      <c r="BE130" s="640"/>
      <c r="BF130" s="640"/>
      <c r="BG130" s="640"/>
      <c r="BH130" s="317"/>
      <c r="BV130" s="685"/>
      <c r="BW130" s="685"/>
      <c r="BX130" s="685"/>
    </row>
    <row r="131" spans="2:81" s="28" customFormat="1" ht="17.100000000000001" hidden="1" customHeight="1" outlineLevel="1">
      <c r="B131" s="316"/>
      <c r="C131" s="363"/>
      <c r="D131" s="640"/>
      <c r="E131" s="640"/>
      <c r="F131" s="640"/>
      <c r="G131" s="640"/>
      <c r="H131" s="640"/>
      <c r="I131" s="640"/>
      <c r="J131" s="640"/>
      <c r="K131" s="640"/>
      <c r="L131" s="640"/>
      <c r="M131" s="640"/>
      <c r="N131" s="640"/>
      <c r="O131" s="640"/>
      <c r="P131" s="640"/>
      <c r="Q131" s="640"/>
      <c r="R131" s="640"/>
      <c r="S131" s="640"/>
      <c r="T131" s="640"/>
      <c r="U131" s="640"/>
      <c r="V131" s="640"/>
      <c r="W131" s="640"/>
      <c r="X131" s="640"/>
      <c r="Y131" s="640"/>
      <c r="Z131" s="686"/>
      <c r="AA131" s="686"/>
      <c r="AB131" s="686"/>
      <c r="AC131" s="686"/>
      <c r="AD131" s="686"/>
      <c r="AE131" s="686"/>
      <c r="AF131" s="686"/>
      <c r="AG131" s="686"/>
      <c r="AH131" s="686"/>
      <c r="AI131" s="686"/>
      <c r="AJ131" s="686"/>
      <c r="AK131" s="640"/>
      <c r="AL131" s="120"/>
      <c r="AM131" s="640"/>
      <c r="AN131" s="640"/>
      <c r="AO131" s="640"/>
      <c r="AP131" s="640"/>
      <c r="AQ131" s="640"/>
      <c r="AR131" s="686"/>
      <c r="AS131" s="686"/>
      <c r="AT131" s="686"/>
      <c r="AU131" s="686"/>
      <c r="AV131" s="686"/>
      <c r="AW131" s="686"/>
      <c r="AX131" s="686"/>
      <c r="AY131" s="686"/>
      <c r="AZ131" s="686"/>
      <c r="BA131" s="686"/>
      <c r="BB131" s="686"/>
      <c r="BC131" s="640"/>
      <c r="BD131" s="120"/>
      <c r="BE131" s="640"/>
      <c r="BF131" s="640"/>
      <c r="BG131" s="640"/>
      <c r="BH131" s="317"/>
    </row>
    <row r="132" spans="2:81" s="28" customFormat="1" ht="17.100000000000001" hidden="1" customHeight="1" outlineLevel="1">
      <c r="B132" s="316"/>
      <c r="C132" s="363"/>
      <c r="E132" s="640" t="s">
        <v>235</v>
      </c>
      <c r="F132" s="640"/>
      <c r="G132" s="640"/>
      <c r="H132" s="640"/>
      <c r="I132" s="640"/>
      <c r="J132" s="640"/>
      <c r="K132" s="640"/>
      <c r="L132" s="640"/>
      <c r="M132" s="640"/>
      <c r="N132" s="640"/>
      <c r="O132" s="640"/>
      <c r="P132" s="640"/>
      <c r="Q132" s="640"/>
      <c r="R132" s="640" t="s">
        <v>232</v>
      </c>
      <c r="S132" s="640"/>
      <c r="T132" s="640"/>
      <c r="U132" s="640"/>
      <c r="V132" s="640"/>
      <c r="W132" s="640"/>
      <c r="X132" s="640"/>
      <c r="Y132" s="640"/>
      <c r="Z132" s="1782">
        <f>Z88*Z60</f>
        <v>0</v>
      </c>
      <c r="AA132" s="1782"/>
      <c r="AB132" s="1782"/>
      <c r="AC132" s="1782"/>
      <c r="AD132" s="1782"/>
      <c r="AE132" s="1782"/>
      <c r="AF132" s="1782"/>
      <c r="AG132" s="1782"/>
      <c r="AH132" s="1782"/>
      <c r="AI132" s="1782"/>
      <c r="AJ132" s="1782"/>
      <c r="AK132" s="640"/>
      <c r="AL132" s="120"/>
      <c r="AM132" s="640"/>
      <c r="AN132" s="640"/>
      <c r="AO132" s="640"/>
      <c r="AP132" s="640"/>
      <c r="AQ132" s="640"/>
      <c r="AR132" s="1782">
        <f>AR88*AR60</f>
        <v>0</v>
      </c>
      <c r="AS132" s="1782"/>
      <c r="AT132" s="1782"/>
      <c r="AU132" s="1782"/>
      <c r="AV132" s="1782"/>
      <c r="AW132" s="1782"/>
      <c r="AX132" s="1782"/>
      <c r="AY132" s="1782"/>
      <c r="AZ132" s="1782"/>
      <c r="BA132" s="1782"/>
      <c r="BB132" s="1782"/>
      <c r="BC132" s="640"/>
      <c r="BD132" s="120"/>
      <c r="BE132" s="640"/>
      <c r="BF132" s="640"/>
      <c r="BG132" s="640"/>
      <c r="BH132" s="317"/>
      <c r="BV132" s="685"/>
      <c r="BW132" s="685"/>
      <c r="BX132" s="685"/>
    </row>
    <row r="133" spans="2:81" s="28" customFormat="1" ht="17.100000000000001" hidden="1" customHeight="1" outlineLevel="1">
      <c r="B133" s="316"/>
      <c r="C133" s="363"/>
      <c r="D133" s="640"/>
      <c r="E133" s="640" t="s">
        <v>237</v>
      </c>
      <c r="F133" s="640"/>
      <c r="G133" s="640"/>
      <c r="H133" s="640"/>
      <c r="I133" s="640"/>
      <c r="J133" s="640"/>
      <c r="K133" s="640"/>
      <c r="L133" s="640"/>
      <c r="M133" s="640"/>
      <c r="N133" s="640"/>
      <c r="O133" s="640"/>
      <c r="P133" s="640"/>
      <c r="Q133" s="640"/>
      <c r="R133" s="640"/>
      <c r="S133" s="640"/>
      <c r="T133" s="640"/>
      <c r="U133" s="640"/>
      <c r="V133" s="640"/>
      <c r="W133" s="640"/>
      <c r="X133" s="640"/>
      <c r="Y133" s="640"/>
      <c r="Z133" s="1785">
        <f>IF(Z132&lt;10000,-2,-3)</f>
        <v>-2</v>
      </c>
      <c r="AA133" s="1785"/>
      <c r="AB133" s="1785"/>
      <c r="AC133" s="1785"/>
      <c r="AD133" s="1785"/>
      <c r="AE133" s="1785"/>
      <c r="AF133" s="1785"/>
      <c r="AG133" s="1785"/>
      <c r="AH133" s="1785"/>
      <c r="AI133" s="1785"/>
      <c r="AJ133" s="1785"/>
      <c r="AK133" s="640"/>
      <c r="AL133" s="120"/>
      <c r="AM133" s="640"/>
      <c r="AN133" s="640"/>
      <c r="AO133" s="640"/>
      <c r="AP133" s="640"/>
      <c r="AQ133" s="640"/>
      <c r="AR133" s="1785">
        <f>IF(AR132&lt;10000,-2,-3)</f>
        <v>-2</v>
      </c>
      <c r="AS133" s="1785"/>
      <c r="AT133" s="1785"/>
      <c r="AU133" s="1785"/>
      <c r="AV133" s="1785"/>
      <c r="AW133" s="1785"/>
      <c r="AX133" s="1785"/>
      <c r="AY133" s="1785"/>
      <c r="AZ133" s="1785"/>
      <c r="BA133" s="1785"/>
      <c r="BB133" s="1785"/>
      <c r="BC133" s="640"/>
      <c r="BD133" s="120"/>
      <c r="BE133" s="640"/>
      <c r="BF133" s="640"/>
      <c r="BG133" s="640"/>
      <c r="BH133" s="317"/>
    </row>
    <row r="134" spans="2:81" s="28" customFormat="1" ht="17.100000000000001" customHeight="1" collapsed="1">
      <c r="B134" s="316"/>
      <c r="C134" s="363"/>
      <c r="D134" s="640" t="str">
        <f>D112</f>
        <v>Energiekosten Kälteanlage</v>
      </c>
      <c r="E134" s="640"/>
      <c r="F134" s="640"/>
      <c r="G134" s="640"/>
      <c r="H134" s="640"/>
      <c r="I134" s="640"/>
      <c r="J134" s="640"/>
      <c r="K134" s="640"/>
      <c r="L134" s="640"/>
      <c r="M134" s="640"/>
      <c r="N134" s="640"/>
      <c r="O134" s="640"/>
      <c r="P134" s="640"/>
      <c r="Q134" s="640"/>
      <c r="R134" s="640" t="s">
        <v>232</v>
      </c>
      <c r="S134" s="640"/>
      <c r="T134" s="640"/>
      <c r="U134" s="640"/>
      <c r="V134" s="640"/>
      <c r="W134" s="640"/>
      <c r="X134" s="640"/>
      <c r="Y134" s="640"/>
      <c r="Z134" s="1782">
        <f>ROUND(Z132,Z133)-Z138</f>
        <v>0</v>
      </c>
      <c r="AA134" s="1782"/>
      <c r="AB134" s="1782"/>
      <c r="AC134" s="1782"/>
      <c r="AD134" s="1782"/>
      <c r="AE134" s="1782"/>
      <c r="AF134" s="1782"/>
      <c r="AG134" s="1782"/>
      <c r="AH134" s="1782"/>
      <c r="AI134" s="1782"/>
      <c r="AJ134" s="1782"/>
      <c r="AK134" s="640"/>
      <c r="AL134" s="120"/>
      <c r="AM134" s="640"/>
      <c r="AN134" s="640"/>
      <c r="AO134" s="640"/>
      <c r="AP134" s="640"/>
      <c r="AQ134" s="640"/>
      <c r="AR134" s="1782">
        <f>ROUND(AR132,AR133)</f>
        <v>0</v>
      </c>
      <c r="AS134" s="1782"/>
      <c r="AT134" s="1782"/>
      <c r="AU134" s="1782"/>
      <c r="AV134" s="1782"/>
      <c r="AW134" s="1782"/>
      <c r="AX134" s="1782"/>
      <c r="AY134" s="1782"/>
      <c r="AZ134" s="1782"/>
      <c r="BA134" s="1782"/>
      <c r="BB134" s="1782"/>
      <c r="BC134" s="640"/>
      <c r="BD134" s="120"/>
      <c r="BE134" s="640"/>
      <c r="BF134" s="640"/>
      <c r="BG134" s="640"/>
      <c r="BH134" s="317"/>
    </row>
    <row r="135" spans="2:81" s="28" customFormat="1" ht="17.100000000000001" hidden="1" customHeight="1" outlineLevel="1">
      <c r="B135" s="316"/>
      <c r="C135" s="363"/>
      <c r="D135" s="640"/>
      <c r="E135" s="640"/>
      <c r="F135" s="640"/>
      <c r="G135" s="640"/>
      <c r="H135" s="640"/>
      <c r="I135" s="640"/>
      <c r="J135" s="640"/>
      <c r="K135" s="640"/>
      <c r="L135" s="640"/>
      <c r="M135" s="640"/>
      <c r="N135" s="640"/>
      <c r="O135" s="640"/>
      <c r="P135" s="640"/>
      <c r="Q135" s="640"/>
      <c r="R135" s="640"/>
      <c r="S135" s="640"/>
      <c r="T135" s="640"/>
      <c r="U135" s="640"/>
      <c r="V135" s="640"/>
      <c r="W135" s="640"/>
      <c r="X135" s="640"/>
      <c r="Y135" s="640"/>
      <c r="Z135" s="1237"/>
      <c r="AA135" s="1237"/>
      <c r="AB135" s="1237"/>
      <c r="AC135" s="1237"/>
      <c r="AD135" s="1237"/>
      <c r="AE135" s="1237"/>
      <c r="AF135" s="1237"/>
      <c r="AG135" s="1237"/>
      <c r="AH135" s="1237"/>
      <c r="AI135" s="1237"/>
      <c r="AJ135" s="1237"/>
      <c r="AK135" s="640"/>
      <c r="AL135" s="120"/>
      <c r="AM135" s="640"/>
      <c r="AN135" s="640"/>
      <c r="AO135" s="640"/>
      <c r="AP135" s="640"/>
      <c r="AQ135" s="640"/>
      <c r="AR135" s="1237"/>
      <c r="AS135" s="1237"/>
      <c r="AT135" s="1237"/>
      <c r="AU135" s="1237"/>
      <c r="AV135" s="1237"/>
      <c r="AW135" s="1237"/>
      <c r="AX135" s="1237"/>
      <c r="AY135" s="1237"/>
      <c r="AZ135" s="1237"/>
      <c r="BA135" s="1237"/>
      <c r="BB135" s="1237"/>
      <c r="BC135" s="640"/>
      <c r="BD135" s="120"/>
      <c r="BE135" s="640"/>
      <c r="BF135" s="640"/>
      <c r="BG135" s="640"/>
      <c r="BH135" s="317"/>
    </row>
    <row r="136" spans="2:81" s="28" customFormat="1" ht="17.100000000000001" hidden="1" customHeight="1" outlineLevel="1">
      <c r="B136" s="316"/>
      <c r="C136" s="363"/>
      <c r="E136" s="640" t="s">
        <v>1079</v>
      </c>
      <c r="F136" s="640"/>
      <c r="G136" s="640"/>
      <c r="H136" s="640"/>
      <c r="I136" s="640"/>
      <c r="J136" s="640"/>
      <c r="K136" s="640"/>
      <c r="L136" s="640"/>
      <c r="M136" s="640"/>
      <c r="N136" s="640"/>
      <c r="O136" s="640"/>
      <c r="P136" s="640"/>
      <c r="Q136" s="640"/>
      <c r="R136" s="640" t="s">
        <v>232</v>
      </c>
      <c r="S136" s="640"/>
      <c r="T136" s="640"/>
      <c r="U136" s="640"/>
      <c r="V136" s="640"/>
      <c r="W136" s="640"/>
      <c r="X136" s="640"/>
      <c r="Y136" s="640"/>
      <c r="Z136" s="1782">
        <f>Z95*Z60</f>
        <v>0</v>
      </c>
      <c r="AA136" s="1782"/>
      <c r="AB136" s="1782"/>
      <c r="AC136" s="1782"/>
      <c r="AD136" s="1782"/>
      <c r="AE136" s="1782"/>
      <c r="AF136" s="1782"/>
      <c r="AG136" s="1782"/>
      <c r="AH136" s="1782"/>
      <c r="AI136" s="1782"/>
      <c r="AJ136" s="1782"/>
      <c r="AK136" s="640"/>
      <c r="AL136" s="120"/>
      <c r="AM136" s="640"/>
      <c r="AN136" s="640"/>
      <c r="AO136" s="640"/>
      <c r="AP136" s="640"/>
      <c r="AQ136" s="640"/>
      <c r="AR136" s="1782">
        <f>AR95*AR60</f>
        <v>0</v>
      </c>
      <c r="AS136" s="1782"/>
      <c r="AT136" s="1782"/>
      <c r="AU136" s="1782"/>
      <c r="AV136" s="1782"/>
      <c r="AW136" s="1782"/>
      <c r="AX136" s="1782"/>
      <c r="AY136" s="1782"/>
      <c r="AZ136" s="1782"/>
      <c r="BA136" s="1782"/>
      <c r="BB136" s="1782"/>
      <c r="BC136" s="640"/>
      <c r="BD136" s="120"/>
      <c r="BE136" s="640"/>
      <c r="BF136" s="640"/>
      <c r="BG136" s="640"/>
      <c r="BH136" s="317"/>
      <c r="BV136" s="1233"/>
      <c r="BW136" s="1233"/>
      <c r="BX136" s="1233"/>
    </row>
    <row r="137" spans="2:81" s="28" customFormat="1" ht="17.100000000000001" hidden="1" customHeight="1" outlineLevel="1">
      <c r="B137" s="316"/>
      <c r="C137" s="363"/>
      <c r="D137" s="640"/>
      <c r="E137" s="640" t="s">
        <v>237</v>
      </c>
      <c r="F137" s="640"/>
      <c r="G137" s="640"/>
      <c r="H137" s="640"/>
      <c r="I137" s="640"/>
      <c r="J137" s="640"/>
      <c r="K137" s="640"/>
      <c r="L137" s="640"/>
      <c r="M137" s="640"/>
      <c r="N137" s="640"/>
      <c r="O137" s="640"/>
      <c r="P137" s="640"/>
      <c r="Q137" s="640"/>
      <c r="R137" s="640"/>
      <c r="S137" s="640"/>
      <c r="T137" s="640"/>
      <c r="U137" s="640"/>
      <c r="V137" s="640"/>
      <c r="W137" s="640"/>
      <c r="X137" s="640"/>
      <c r="Y137" s="640"/>
      <c r="Z137" s="1785">
        <f>IF(Z136&lt;10000,-2,-3)</f>
        <v>-2</v>
      </c>
      <c r="AA137" s="1785"/>
      <c r="AB137" s="1785"/>
      <c r="AC137" s="1785"/>
      <c r="AD137" s="1785"/>
      <c r="AE137" s="1785"/>
      <c r="AF137" s="1785"/>
      <c r="AG137" s="1785"/>
      <c r="AH137" s="1785"/>
      <c r="AI137" s="1785"/>
      <c r="AJ137" s="1785"/>
      <c r="AK137" s="640"/>
      <c r="AL137" s="120"/>
      <c r="AM137" s="640"/>
      <c r="AN137" s="640"/>
      <c r="AO137" s="640"/>
      <c r="AP137" s="640"/>
      <c r="AQ137" s="640"/>
      <c r="AR137" s="1785">
        <f>IF(AR136&lt;10000,-2,-3)</f>
        <v>-2</v>
      </c>
      <c r="AS137" s="1785"/>
      <c r="AT137" s="1785"/>
      <c r="AU137" s="1785"/>
      <c r="AV137" s="1785"/>
      <c r="AW137" s="1785"/>
      <c r="AX137" s="1785"/>
      <c r="AY137" s="1785"/>
      <c r="AZ137" s="1785"/>
      <c r="BA137" s="1785"/>
      <c r="BB137" s="1785"/>
      <c r="BC137" s="640"/>
      <c r="BD137" s="120"/>
      <c r="BE137" s="640"/>
      <c r="BF137" s="640"/>
      <c r="BG137" s="640"/>
      <c r="BH137" s="317"/>
    </row>
    <row r="138" spans="2:81" s="28" customFormat="1" ht="17.100000000000001" customHeight="1" collapsed="1">
      <c r="B138" s="316"/>
      <c r="C138" s="363"/>
      <c r="D138" s="640"/>
      <c r="E138" s="640" t="str">
        <f>E97</f>
        <v>Free-Cooling reduziert die Energiekosten um</v>
      </c>
      <c r="F138" s="640"/>
      <c r="G138" s="640"/>
      <c r="H138" s="640"/>
      <c r="I138" s="640"/>
      <c r="J138" s="640"/>
      <c r="K138" s="640"/>
      <c r="L138" s="640"/>
      <c r="M138" s="640"/>
      <c r="N138" s="640"/>
      <c r="O138" s="640"/>
      <c r="P138" s="640"/>
      <c r="Q138" s="640"/>
      <c r="R138" s="640" t="s">
        <v>232</v>
      </c>
      <c r="S138" s="640"/>
      <c r="T138" s="640"/>
      <c r="U138" s="640"/>
      <c r="V138" s="640"/>
      <c r="W138" s="640"/>
      <c r="X138" s="640"/>
      <c r="Y138" s="640"/>
      <c r="Z138" s="1782">
        <f>IF(Z136=0,0,ROUND(-Z136,Z137))</f>
        <v>0</v>
      </c>
      <c r="AA138" s="1782"/>
      <c r="AB138" s="1782"/>
      <c r="AC138" s="1782"/>
      <c r="AD138" s="1782"/>
      <c r="AE138" s="1782"/>
      <c r="AF138" s="1782"/>
      <c r="AG138" s="1782"/>
      <c r="AH138" s="1782"/>
      <c r="AI138" s="1782"/>
      <c r="AJ138" s="1782"/>
      <c r="AK138" s="1782"/>
      <c r="AL138" s="1782"/>
      <c r="AM138" s="1782"/>
      <c r="AN138" s="1782"/>
      <c r="AO138" s="1782"/>
      <c r="AP138" s="640"/>
      <c r="AQ138" s="640"/>
      <c r="AR138" s="1782" t="str">
        <f>IF(AR136=0,"--",ROUND(AR136,AR137))</f>
        <v>--</v>
      </c>
      <c r="AS138" s="1782"/>
      <c r="AT138" s="1782"/>
      <c r="AU138" s="1782"/>
      <c r="AV138" s="1782"/>
      <c r="AW138" s="1782"/>
      <c r="AX138" s="1782"/>
      <c r="AY138" s="1782"/>
      <c r="AZ138" s="1782"/>
      <c r="BA138" s="1782"/>
      <c r="BB138" s="1782"/>
      <c r="BC138" s="1782"/>
      <c r="BD138" s="1782"/>
      <c r="BE138" s="1782"/>
      <c r="BF138" s="1782"/>
      <c r="BG138" s="1782"/>
      <c r="BH138" s="317"/>
    </row>
    <row r="139" spans="2:81" s="28" customFormat="1" ht="17.100000000000001" hidden="1" customHeight="1" outlineLevel="1">
      <c r="B139" s="316"/>
      <c r="C139" s="363"/>
      <c r="D139" s="640"/>
      <c r="E139" s="640"/>
      <c r="F139" s="640"/>
      <c r="G139" s="640"/>
      <c r="H139" s="640"/>
      <c r="I139" s="640"/>
      <c r="J139" s="640"/>
      <c r="K139" s="640"/>
      <c r="L139" s="640"/>
      <c r="M139" s="640"/>
      <c r="N139" s="640"/>
      <c r="O139" s="640"/>
      <c r="P139" s="640"/>
      <c r="Q139" s="640"/>
      <c r="R139" s="640"/>
      <c r="S139" s="640"/>
      <c r="T139" s="640"/>
      <c r="U139" s="640"/>
      <c r="V139" s="640"/>
      <c r="W139" s="640"/>
      <c r="X139" s="640"/>
      <c r="Y139" s="640"/>
      <c r="Z139" s="768"/>
      <c r="AA139" s="768"/>
      <c r="AB139" s="768"/>
      <c r="AC139" s="768"/>
      <c r="AD139" s="768"/>
      <c r="AE139" s="768"/>
      <c r="AF139" s="768"/>
      <c r="AG139" s="768"/>
      <c r="AH139" s="768"/>
      <c r="AI139" s="768"/>
      <c r="AJ139" s="768"/>
      <c r="AK139" s="640"/>
      <c r="AL139" s="120"/>
      <c r="AM139" s="640"/>
      <c r="AN139" s="640"/>
      <c r="AO139" s="640"/>
      <c r="AP139" s="640"/>
      <c r="AQ139" s="640"/>
      <c r="AR139" s="768"/>
      <c r="AS139" s="768"/>
      <c r="AT139" s="768"/>
      <c r="AU139" s="768"/>
      <c r="AV139" s="768"/>
      <c r="AW139" s="768"/>
      <c r="AX139" s="768"/>
      <c r="AY139" s="768"/>
      <c r="AZ139" s="768"/>
      <c r="BA139" s="768"/>
      <c r="BB139" s="768"/>
      <c r="BC139" s="640"/>
      <c r="BD139" s="120"/>
      <c r="BE139" s="640"/>
      <c r="BF139" s="640"/>
      <c r="BG139" s="640"/>
      <c r="BH139" s="317"/>
    </row>
    <row r="140" spans="2:81" s="28" customFormat="1" ht="17.100000000000001" hidden="1" customHeight="1" outlineLevel="1">
      <c r="B140" s="316"/>
      <c r="C140" s="363"/>
      <c r="E140" s="640" t="str">
        <f>D113</f>
        <v>Einsparungen durch die Wärmenutzung</v>
      </c>
      <c r="F140" s="640"/>
      <c r="G140" s="640"/>
      <c r="H140" s="640"/>
      <c r="I140" s="640"/>
      <c r="J140" s="640"/>
      <c r="K140" s="640"/>
      <c r="L140" s="640"/>
      <c r="M140" s="640"/>
      <c r="N140" s="640"/>
      <c r="O140" s="640"/>
      <c r="P140" s="640"/>
      <c r="Q140" s="640"/>
      <c r="R140" s="640" t="s">
        <v>232</v>
      </c>
      <c r="S140" s="640"/>
      <c r="T140" s="640"/>
      <c r="U140" s="640"/>
      <c r="V140" s="640"/>
      <c r="W140" s="640"/>
      <c r="X140" s="640"/>
      <c r="Y140" s="640"/>
      <c r="Z140" s="1782">
        <f>Z103*Z60</f>
        <v>0</v>
      </c>
      <c r="AA140" s="1782"/>
      <c r="AB140" s="1782"/>
      <c r="AC140" s="1782"/>
      <c r="AD140" s="1782"/>
      <c r="AE140" s="1782"/>
      <c r="AF140" s="1782"/>
      <c r="AG140" s="1782"/>
      <c r="AH140" s="1782"/>
      <c r="AI140" s="1782"/>
      <c r="AJ140" s="1782"/>
      <c r="AK140" s="640"/>
      <c r="AL140" s="120"/>
      <c r="AM140" s="640"/>
      <c r="AN140" s="640"/>
      <c r="AO140" s="640"/>
      <c r="AP140" s="640"/>
      <c r="AQ140" s="640"/>
      <c r="AR140" s="1782">
        <f>AR103*AR60</f>
        <v>0</v>
      </c>
      <c r="AS140" s="1782"/>
      <c r="AT140" s="1782"/>
      <c r="AU140" s="1782"/>
      <c r="AV140" s="1782"/>
      <c r="AW140" s="1782"/>
      <c r="AX140" s="1782"/>
      <c r="AY140" s="1782"/>
      <c r="AZ140" s="1782"/>
      <c r="BA140" s="1782"/>
      <c r="BB140" s="1782"/>
      <c r="BC140" s="640"/>
      <c r="BD140" s="120"/>
      <c r="BE140" s="640"/>
      <c r="BF140" s="640"/>
      <c r="BG140" s="640"/>
      <c r="BH140" s="317"/>
      <c r="BV140" s="764"/>
      <c r="BW140" s="764"/>
      <c r="BX140" s="764"/>
    </row>
    <row r="141" spans="2:81" s="28" customFormat="1" ht="17.100000000000001" hidden="1" customHeight="1" outlineLevel="1">
      <c r="B141" s="316"/>
      <c r="C141" s="363"/>
      <c r="D141" s="640"/>
      <c r="E141" s="640" t="s">
        <v>237</v>
      </c>
      <c r="F141" s="640"/>
      <c r="G141" s="640"/>
      <c r="H141" s="640"/>
      <c r="I141" s="640"/>
      <c r="J141" s="640"/>
      <c r="K141" s="640"/>
      <c r="L141" s="640"/>
      <c r="M141" s="640"/>
      <c r="N141" s="640"/>
      <c r="O141" s="640"/>
      <c r="P141" s="640"/>
      <c r="Q141" s="640"/>
      <c r="R141" s="640"/>
      <c r="S141" s="640"/>
      <c r="T141" s="640"/>
      <c r="U141" s="640"/>
      <c r="V141" s="640"/>
      <c r="W141" s="640"/>
      <c r="X141" s="640"/>
      <c r="Y141" s="640"/>
      <c r="Z141" s="1785">
        <f>IF(Z140&gt;-10000,-2,-3)</f>
        <v>-2</v>
      </c>
      <c r="AA141" s="1785"/>
      <c r="AB141" s="1785"/>
      <c r="AC141" s="1785"/>
      <c r="AD141" s="1785"/>
      <c r="AE141" s="1785"/>
      <c r="AF141" s="1785"/>
      <c r="AG141" s="1785"/>
      <c r="AH141" s="1785"/>
      <c r="AI141" s="1785"/>
      <c r="AJ141" s="1785"/>
      <c r="AK141" s="640"/>
      <c r="AL141" s="120"/>
      <c r="AM141" s="640"/>
      <c r="AN141" s="640"/>
      <c r="AO141" s="640"/>
      <c r="AP141" s="640"/>
      <c r="AQ141" s="640"/>
      <c r="AR141" s="1785">
        <f>IF(AR140&gt;-10000,-2,-3)</f>
        <v>-2</v>
      </c>
      <c r="AS141" s="1785"/>
      <c r="AT141" s="1785"/>
      <c r="AU141" s="1785"/>
      <c r="AV141" s="1785"/>
      <c r="AW141" s="1785"/>
      <c r="AX141" s="1785"/>
      <c r="AY141" s="1785"/>
      <c r="AZ141" s="1785"/>
      <c r="BA141" s="1785"/>
      <c r="BB141" s="1785"/>
      <c r="BC141" s="640"/>
      <c r="BD141" s="120"/>
      <c r="BE141" s="640"/>
      <c r="BF141" s="640"/>
      <c r="BG141" s="640"/>
      <c r="BH141" s="317"/>
    </row>
    <row r="142" spans="2:81" s="28" customFormat="1" ht="17.100000000000001" customHeight="1" collapsed="1">
      <c r="B142" s="316"/>
      <c r="C142" s="363"/>
      <c r="D142" s="640" t="str">
        <f>D105</f>
        <v>Einsparungen durch die Wärmenutzung</v>
      </c>
      <c r="E142" s="640"/>
      <c r="F142" s="640"/>
      <c r="G142" s="640"/>
      <c r="H142" s="640"/>
      <c r="I142" s="640"/>
      <c r="J142" s="640"/>
      <c r="K142" s="640"/>
      <c r="L142" s="640"/>
      <c r="M142" s="640"/>
      <c r="N142" s="640"/>
      <c r="O142" s="640"/>
      <c r="P142" s="640"/>
      <c r="Q142" s="640"/>
      <c r="R142" s="640" t="s">
        <v>232</v>
      </c>
      <c r="S142" s="640"/>
      <c r="T142" s="640"/>
      <c r="U142" s="640"/>
      <c r="V142" s="640"/>
      <c r="W142" s="640"/>
      <c r="X142" s="640"/>
      <c r="Y142" s="640"/>
      <c r="Z142" s="1782">
        <f>ROUND(Z140,Z141)</f>
        <v>0</v>
      </c>
      <c r="AA142" s="1782"/>
      <c r="AB142" s="1782"/>
      <c r="AC142" s="1782"/>
      <c r="AD142" s="1782"/>
      <c r="AE142" s="1782"/>
      <c r="AF142" s="1782"/>
      <c r="AG142" s="1782"/>
      <c r="AH142" s="1782"/>
      <c r="AI142" s="1782"/>
      <c r="AJ142" s="1782"/>
      <c r="AK142" s="640"/>
      <c r="AL142" s="120"/>
      <c r="AM142" s="640"/>
      <c r="AN142" s="640"/>
      <c r="AO142" s="640"/>
      <c r="AP142" s="640"/>
      <c r="AQ142" s="640"/>
      <c r="AR142" s="1782">
        <f>ROUND(AR140,AR141)</f>
        <v>0</v>
      </c>
      <c r="AS142" s="1782"/>
      <c r="AT142" s="1782"/>
      <c r="AU142" s="1782"/>
      <c r="AV142" s="1782"/>
      <c r="AW142" s="1782"/>
      <c r="AX142" s="1782"/>
      <c r="AY142" s="1782"/>
      <c r="AZ142" s="1782"/>
      <c r="BA142" s="1782"/>
      <c r="BB142" s="1782"/>
      <c r="BC142" s="640"/>
      <c r="BD142" s="120"/>
      <c r="BE142" s="640"/>
      <c r="BF142" s="640"/>
      <c r="BG142" s="640"/>
      <c r="BH142" s="317"/>
      <c r="BL142" s="760"/>
    </row>
    <row r="143" spans="2:81" s="28" customFormat="1" ht="17.100000000000001" customHeight="1">
      <c r="B143" s="316"/>
      <c r="C143" s="363"/>
      <c r="D143" s="688" t="str">
        <f>X!$C$171</f>
        <v>Lebenszykluskosten (ökonomisch)</v>
      </c>
      <c r="E143" s="156"/>
      <c r="F143" s="156"/>
      <c r="G143" s="156"/>
      <c r="H143" s="156"/>
      <c r="I143" s="156"/>
      <c r="J143" s="156"/>
      <c r="K143" s="156"/>
      <c r="L143" s="156"/>
      <c r="M143" s="156"/>
      <c r="N143" s="156"/>
      <c r="O143" s="156"/>
      <c r="P143" s="156"/>
      <c r="Q143" s="156"/>
      <c r="R143" s="688" t="s">
        <v>232</v>
      </c>
      <c r="S143" s="156"/>
      <c r="T143" s="156"/>
      <c r="U143" s="156"/>
      <c r="V143" s="156"/>
      <c r="W143" s="156"/>
      <c r="X143" s="156"/>
      <c r="Y143" s="156"/>
      <c r="Z143" s="1786">
        <f>IF(Z126*Z130*Z134=0,0,Z126+Z130+Z142+Z138+Z134)</f>
        <v>0</v>
      </c>
      <c r="AA143" s="1786"/>
      <c r="AB143" s="1786"/>
      <c r="AC143" s="1786"/>
      <c r="AD143" s="1786"/>
      <c r="AE143" s="1786"/>
      <c r="AF143" s="1786"/>
      <c r="AG143" s="1786"/>
      <c r="AH143" s="1786"/>
      <c r="AI143" s="1786"/>
      <c r="AJ143" s="1786"/>
      <c r="AK143" s="156"/>
      <c r="AL143" s="1788">
        <f>IF(Z143=0,0,Z143/Z143)</f>
        <v>0</v>
      </c>
      <c r="AM143" s="1788"/>
      <c r="AN143" s="1788"/>
      <c r="AO143" s="156"/>
      <c r="AP143" s="156"/>
      <c r="AQ143" s="156"/>
      <c r="AR143" s="1786">
        <f>IF(AR126*AR130*AR134=0,0,AR126+AR130+AR134+AR142)</f>
        <v>0</v>
      </c>
      <c r="AS143" s="1786"/>
      <c r="AT143" s="1786"/>
      <c r="AU143" s="1786"/>
      <c r="AV143" s="1786"/>
      <c r="AW143" s="1786"/>
      <c r="AX143" s="1786"/>
      <c r="AY143" s="1786"/>
      <c r="AZ143" s="1786"/>
      <c r="BA143" s="1786"/>
      <c r="BB143" s="1786"/>
      <c r="BC143" s="640"/>
      <c r="BD143" s="1788">
        <f>IF(Z143=0,0,AR143/Z143)</f>
        <v>0</v>
      </c>
      <c r="BE143" s="1788"/>
      <c r="BF143" s="1788"/>
      <c r="BG143" s="640"/>
      <c r="BH143" s="317"/>
    </row>
    <row r="144" spans="2:81" ht="6.95" customHeight="1">
      <c r="B144" s="311"/>
      <c r="C144" s="477"/>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395"/>
      <c r="AK144" s="52"/>
      <c r="AL144" s="93"/>
      <c r="AM144" s="52"/>
      <c r="AN144" s="52"/>
      <c r="AO144" s="52"/>
      <c r="AP144" s="52"/>
      <c r="AQ144" s="52"/>
      <c r="AR144" s="52"/>
      <c r="AS144" s="52"/>
      <c r="AT144" s="52"/>
      <c r="AU144" s="52"/>
      <c r="AV144" s="52"/>
      <c r="AW144" s="52"/>
      <c r="AX144" s="52"/>
      <c r="AY144" s="52"/>
      <c r="AZ144" s="52"/>
      <c r="BA144" s="52"/>
      <c r="BB144" s="395"/>
      <c r="BC144" s="52"/>
      <c r="BD144" s="93"/>
      <c r="BE144" s="52"/>
      <c r="BF144" s="52"/>
      <c r="BG144" s="52"/>
      <c r="BH144" s="312"/>
      <c r="BU144" s="28"/>
      <c r="BV144" s="28"/>
      <c r="BW144" s="28"/>
      <c r="BX144" s="28"/>
      <c r="BY144" s="28"/>
      <c r="BZ144" s="28"/>
      <c r="CA144" s="28"/>
      <c r="CB144" s="28"/>
      <c r="CC144" s="28"/>
    </row>
    <row r="145" spans="2:81" ht="17.100000000000001" hidden="1" customHeight="1" outlineLevel="1">
      <c r="B145" s="311"/>
      <c r="C145" s="495">
        <v>2.4</v>
      </c>
      <c r="D145" s="536" t="str">
        <f>X!$C$172</f>
        <v>Lebenszykluskosten (CO2-neutraler Betrieb)</v>
      </c>
      <c r="E145" s="52"/>
      <c r="F145" s="52"/>
      <c r="G145" s="52"/>
      <c r="H145" s="52"/>
      <c r="I145" s="52"/>
      <c r="J145" s="52"/>
      <c r="K145" s="52"/>
      <c r="L145" s="52"/>
      <c r="M145" s="52"/>
      <c r="N145" s="52"/>
      <c r="O145" s="52"/>
      <c r="P145" s="52"/>
      <c r="Q145" s="52"/>
      <c r="R145" s="52"/>
      <c r="S145" s="52"/>
      <c r="T145" s="52"/>
      <c r="U145" s="52"/>
      <c r="V145" s="52"/>
      <c r="W145" s="52"/>
      <c r="X145" s="52"/>
      <c r="Y145" s="52"/>
      <c r="AK145" s="52"/>
      <c r="AL145" s="93"/>
      <c r="AM145" s="52"/>
      <c r="AN145" s="52"/>
      <c r="AO145" s="52"/>
      <c r="AP145" s="52"/>
      <c r="AQ145" s="52"/>
      <c r="BC145" s="52"/>
      <c r="BD145" s="93"/>
      <c r="BE145" s="52"/>
      <c r="BF145" s="52"/>
      <c r="BG145" s="52"/>
      <c r="BH145" s="312"/>
    </row>
    <row r="146" spans="2:81" s="28" customFormat="1" ht="17.100000000000001" hidden="1" customHeight="1" outlineLevel="1">
      <c r="B146" s="316"/>
      <c r="C146" s="363"/>
      <c r="D146" s="640" t="str">
        <f t="shared" ref="D146:D153" si="0">D110</f>
        <v>Investitionskosten</v>
      </c>
      <c r="E146" s="640"/>
      <c r="F146" s="640"/>
      <c r="G146" s="640"/>
      <c r="H146" s="640"/>
      <c r="I146" s="640"/>
      <c r="J146" s="640"/>
      <c r="K146" s="640"/>
      <c r="L146" s="640"/>
      <c r="M146" s="640"/>
      <c r="N146" s="640"/>
      <c r="O146" s="640"/>
      <c r="P146" s="640"/>
      <c r="Q146" s="640"/>
      <c r="R146" s="640" t="s">
        <v>232</v>
      </c>
      <c r="S146" s="640"/>
      <c r="T146" s="640"/>
      <c r="U146" s="640"/>
      <c r="V146" s="640"/>
      <c r="W146" s="640"/>
      <c r="X146" s="640"/>
      <c r="Y146" s="640"/>
      <c r="Z146" s="1782">
        <f>Z126</f>
        <v>0</v>
      </c>
      <c r="AA146" s="1782"/>
      <c r="AB146" s="1782"/>
      <c r="AC146" s="1782"/>
      <c r="AD146" s="1782"/>
      <c r="AE146" s="1782"/>
      <c r="AF146" s="1782"/>
      <c r="AG146" s="1782"/>
      <c r="AH146" s="1782"/>
      <c r="AI146" s="1782"/>
      <c r="AJ146" s="1782"/>
      <c r="AK146" s="640"/>
      <c r="AL146" s="120"/>
      <c r="AM146" s="640"/>
      <c r="AN146" s="640"/>
      <c r="AO146" s="640"/>
      <c r="AP146" s="640"/>
      <c r="AQ146" s="640"/>
      <c r="AR146" s="1782">
        <f>AR126</f>
        <v>0</v>
      </c>
      <c r="AS146" s="1782"/>
      <c r="AT146" s="1782"/>
      <c r="AU146" s="1782"/>
      <c r="AV146" s="1782"/>
      <c r="AW146" s="1782"/>
      <c r="AX146" s="1782"/>
      <c r="AY146" s="1782"/>
      <c r="AZ146" s="1782"/>
      <c r="BA146" s="1782"/>
      <c r="BB146" s="1782"/>
      <c r="BC146" s="640"/>
      <c r="BD146" s="120"/>
      <c r="BE146" s="640"/>
      <c r="BF146" s="640"/>
      <c r="BG146" s="640"/>
      <c r="BH146" s="317"/>
    </row>
    <row r="147" spans="2:81" s="28" customFormat="1" ht="17.100000000000001" hidden="1" customHeight="1" outlineLevel="1">
      <c r="B147" s="316"/>
      <c r="C147" s="363"/>
      <c r="D147" s="640" t="str">
        <f t="shared" si="0"/>
        <v>Unterhaltskosten</v>
      </c>
      <c r="E147" s="640"/>
      <c r="F147" s="640"/>
      <c r="G147" s="640"/>
      <c r="H147" s="640"/>
      <c r="I147" s="640"/>
      <c r="J147" s="640"/>
      <c r="K147" s="640"/>
      <c r="L147" s="640"/>
      <c r="M147" s="640"/>
      <c r="N147" s="640"/>
      <c r="O147" s="640"/>
      <c r="P147" s="640"/>
      <c r="Q147" s="640"/>
      <c r="R147" s="640" t="s">
        <v>232</v>
      </c>
      <c r="S147" s="640"/>
      <c r="T147" s="640"/>
      <c r="U147" s="640"/>
      <c r="V147" s="640"/>
      <c r="W147" s="640"/>
      <c r="X147" s="640"/>
      <c r="Y147" s="640"/>
      <c r="Z147" s="1782">
        <f>Z130</f>
        <v>0</v>
      </c>
      <c r="AA147" s="1782"/>
      <c r="AB147" s="1782"/>
      <c r="AC147" s="1782"/>
      <c r="AD147" s="1782"/>
      <c r="AE147" s="1782"/>
      <c r="AF147" s="1782"/>
      <c r="AG147" s="1782"/>
      <c r="AH147" s="1782"/>
      <c r="AI147" s="1782"/>
      <c r="AJ147" s="1782"/>
      <c r="AK147" s="640"/>
      <c r="AL147" s="120"/>
      <c r="AM147" s="640"/>
      <c r="AN147" s="640"/>
      <c r="AO147" s="640"/>
      <c r="AP147" s="640"/>
      <c r="AQ147" s="640"/>
      <c r="AR147" s="1782">
        <f>AR130</f>
        <v>0</v>
      </c>
      <c r="AS147" s="1782"/>
      <c r="AT147" s="1782"/>
      <c r="AU147" s="1782"/>
      <c r="AV147" s="1782"/>
      <c r="AW147" s="1782"/>
      <c r="AX147" s="1782"/>
      <c r="AY147" s="1782"/>
      <c r="AZ147" s="1782"/>
      <c r="BA147" s="1782"/>
      <c r="BB147" s="1782"/>
      <c r="BC147" s="640"/>
      <c r="BD147" s="120"/>
      <c r="BE147" s="640"/>
      <c r="BF147" s="640"/>
      <c r="BG147" s="640"/>
      <c r="BH147" s="317"/>
    </row>
    <row r="148" spans="2:81" s="28" customFormat="1" ht="17.100000000000001" hidden="1" customHeight="1" outlineLevel="1">
      <c r="B148" s="316"/>
      <c r="C148" s="363"/>
      <c r="D148" s="640" t="str">
        <f t="shared" si="0"/>
        <v>Energiekosten Kälteanlage</v>
      </c>
      <c r="E148" s="640"/>
      <c r="F148" s="640"/>
      <c r="G148" s="640"/>
      <c r="H148" s="640"/>
      <c r="I148" s="640"/>
      <c r="J148" s="640"/>
      <c r="K148" s="640"/>
      <c r="L148" s="640"/>
      <c r="M148" s="640"/>
      <c r="N148" s="640"/>
      <c r="O148" s="640"/>
      <c r="P148" s="640"/>
      <c r="Q148" s="640"/>
      <c r="R148" s="640" t="s">
        <v>232</v>
      </c>
      <c r="S148" s="640"/>
      <c r="T148" s="640"/>
      <c r="U148" s="640"/>
      <c r="V148" s="640"/>
      <c r="W148" s="640"/>
      <c r="X148" s="640"/>
      <c r="Y148" s="640"/>
      <c r="Z148" s="1782">
        <f>Z134</f>
        <v>0</v>
      </c>
      <c r="AA148" s="1782"/>
      <c r="AB148" s="1782"/>
      <c r="AC148" s="1782"/>
      <c r="AD148" s="1782"/>
      <c r="AE148" s="1782"/>
      <c r="AF148" s="1782"/>
      <c r="AG148" s="1782"/>
      <c r="AH148" s="1782"/>
      <c r="AI148" s="1782"/>
      <c r="AJ148" s="1782"/>
      <c r="AK148" s="640"/>
      <c r="AL148" s="120"/>
      <c r="AM148" s="640"/>
      <c r="AN148" s="640"/>
      <c r="AO148" s="640"/>
      <c r="AP148" s="640"/>
      <c r="AQ148" s="640"/>
      <c r="AR148" s="1782">
        <f>AR134</f>
        <v>0</v>
      </c>
      <c r="AS148" s="1782"/>
      <c r="AT148" s="1782"/>
      <c r="AU148" s="1782"/>
      <c r="AV148" s="1782"/>
      <c r="AW148" s="1782"/>
      <c r="AX148" s="1782"/>
      <c r="AY148" s="1782"/>
      <c r="AZ148" s="1782"/>
      <c r="BA148" s="1782"/>
      <c r="BB148" s="1782"/>
      <c r="BC148" s="640"/>
      <c r="BD148" s="120"/>
      <c r="BE148" s="640"/>
      <c r="BF148" s="640"/>
      <c r="BG148" s="640"/>
      <c r="BH148" s="317"/>
    </row>
    <row r="149" spans="2:81" s="28" customFormat="1" ht="17.100000000000001" hidden="1" customHeight="1" outlineLevel="1">
      <c r="B149" s="316"/>
      <c r="C149" s="363"/>
      <c r="D149" s="640" t="str">
        <f t="shared" si="0"/>
        <v>Einsparungen durch die Wärmenutzung</v>
      </c>
      <c r="E149" s="640"/>
      <c r="F149" s="640"/>
      <c r="G149" s="640"/>
      <c r="H149" s="640"/>
      <c r="I149" s="640"/>
      <c r="J149" s="640"/>
      <c r="K149" s="640"/>
      <c r="L149" s="640"/>
      <c r="M149" s="640"/>
      <c r="N149" s="640"/>
      <c r="O149" s="640"/>
      <c r="P149" s="640"/>
      <c r="Q149" s="640"/>
      <c r="R149" s="640" t="s">
        <v>232</v>
      </c>
      <c r="S149" s="640"/>
      <c r="T149" s="640"/>
      <c r="U149" s="640"/>
      <c r="V149" s="640"/>
      <c r="W149" s="640"/>
      <c r="X149" s="640"/>
      <c r="Y149" s="640"/>
      <c r="Z149" s="1782">
        <f>Z142</f>
        <v>0</v>
      </c>
      <c r="AA149" s="1782"/>
      <c r="AB149" s="1782"/>
      <c r="AC149" s="1782"/>
      <c r="AD149" s="1782"/>
      <c r="AE149" s="1782"/>
      <c r="AF149" s="1782"/>
      <c r="AG149" s="1782"/>
      <c r="AH149" s="1782"/>
      <c r="AI149" s="1782"/>
      <c r="AJ149" s="1782"/>
      <c r="AK149" s="640"/>
      <c r="AL149" s="120"/>
      <c r="AM149" s="640"/>
      <c r="AN149" s="640"/>
      <c r="AO149" s="640"/>
      <c r="AP149" s="640"/>
      <c r="AQ149" s="640"/>
      <c r="AR149" s="1782">
        <f>AR142</f>
        <v>0</v>
      </c>
      <c r="AS149" s="1782"/>
      <c r="AT149" s="1782"/>
      <c r="AU149" s="1782"/>
      <c r="AV149" s="1782"/>
      <c r="AW149" s="1782"/>
      <c r="AX149" s="1782"/>
      <c r="AY149" s="1782"/>
      <c r="AZ149" s="1782"/>
      <c r="BA149" s="1782"/>
      <c r="BB149" s="1782"/>
      <c r="BC149" s="640"/>
      <c r="BD149" s="120"/>
      <c r="BE149" s="640"/>
      <c r="BF149" s="640"/>
      <c r="BG149" s="640"/>
      <c r="BH149" s="317"/>
      <c r="BL149" s="760"/>
    </row>
    <row r="150" spans="2:81" s="28" customFormat="1" ht="17.100000000000001" hidden="1" customHeight="1" outlineLevel="1">
      <c r="B150" s="316"/>
      <c r="C150" s="363"/>
      <c r="D150" s="640">
        <f t="shared" si="0"/>
        <v>0</v>
      </c>
      <c r="E150" s="640"/>
      <c r="F150" s="640"/>
      <c r="G150" s="640"/>
      <c r="H150" s="640"/>
      <c r="I150" s="640"/>
      <c r="J150" s="640"/>
      <c r="K150" s="640"/>
      <c r="L150" s="640"/>
      <c r="M150" s="640"/>
      <c r="N150" s="640"/>
      <c r="O150" s="640"/>
      <c r="P150" s="640"/>
      <c r="Q150" s="640"/>
      <c r="R150" s="640"/>
      <c r="S150" s="640"/>
      <c r="T150" s="640"/>
      <c r="U150" s="640"/>
      <c r="V150" s="640"/>
      <c r="W150" s="640"/>
      <c r="X150" s="640"/>
      <c r="Y150" s="640"/>
      <c r="Z150" s="686"/>
      <c r="AA150" s="686"/>
      <c r="AB150" s="686"/>
      <c r="AC150" s="686"/>
      <c r="AD150" s="686"/>
      <c r="AE150" s="686"/>
      <c r="AF150" s="686"/>
      <c r="AG150" s="686"/>
      <c r="AH150" s="686"/>
      <c r="AI150" s="686"/>
      <c r="AJ150" s="686"/>
      <c r="AK150" s="640"/>
      <c r="AL150" s="120"/>
      <c r="AM150" s="640"/>
      <c r="AN150" s="640"/>
      <c r="AO150" s="640"/>
      <c r="AP150" s="640"/>
      <c r="AQ150" s="640"/>
      <c r="AR150" s="686"/>
      <c r="AS150" s="686"/>
      <c r="AT150" s="686"/>
      <c r="AU150" s="686"/>
      <c r="AV150" s="686"/>
      <c r="AW150" s="686"/>
      <c r="AX150" s="686"/>
      <c r="AY150" s="686"/>
      <c r="AZ150" s="686"/>
      <c r="BA150" s="686"/>
      <c r="BB150" s="686"/>
      <c r="BC150" s="640"/>
      <c r="BD150" s="120"/>
      <c r="BE150" s="640"/>
      <c r="BF150" s="640"/>
      <c r="BG150" s="640"/>
      <c r="BH150" s="317"/>
      <c r="BU150" s="116"/>
      <c r="BV150" s="116"/>
      <c r="BW150" s="116"/>
      <c r="BX150" s="116"/>
      <c r="BY150" s="116"/>
      <c r="BZ150" s="116"/>
      <c r="CA150" s="116"/>
      <c r="CB150" s="116"/>
      <c r="CC150" s="116"/>
    </row>
    <row r="151" spans="2:81" s="28" customFormat="1" ht="17.100000000000001" hidden="1" customHeight="1" outlineLevel="1">
      <c r="B151" s="316"/>
      <c r="C151" s="363"/>
      <c r="D151" s="28">
        <f t="shared" si="0"/>
        <v>0</v>
      </c>
      <c r="E151" s="640" t="s">
        <v>236</v>
      </c>
      <c r="F151" s="640"/>
      <c r="G151" s="640"/>
      <c r="H151" s="640"/>
      <c r="I151" s="640"/>
      <c r="J151" s="640"/>
      <c r="K151" s="640"/>
      <c r="L151" s="640"/>
      <c r="M151" s="640"/>
      <c r="N151" s="640"/>
      <c r="O151" s="640"/>
      <c r="P151" s="640"/>
      <c r="Q151" s="640"/>
      <c r="R151" s="640" t="s">
        <v>232</v>
      </c>
      <c r="S151" s="640"/>
      <c r="T151" s="640"/>
      <c r="U151" s="640"/>
      <c r="V151" s="640"/>
      <c r="W151" s="640"/>
      <c r="X151" s="640"/>
      <c r="Y151" s="640"/>
      <c r="Z151" s="1782">
        <f>Z115*Z60</f>
        <v>0</v>
      </c>
      <c r="AA151" s="1782"/>
      <c r="AB151" s="1782"/>
      <c r="AC151" s="1782"/>
      <c r="AD151" s="1782"/>
      <c r="AE151" s="1782"/>
      <c r="AF151" s="1782"/>
      <c r="AG151" s="1782"/>
      <c r="AH151" s="1782"/>
      <c r="AI151" s="1782"/>
      <c r="AJ151" s="1782"/>
      <c r="AK151" s="640"/>
      <c r="AL151" s="120"/>
      <c r="AM151" s="640"/>
      <c r="AN151" s="640"/>
      <c r="AO151" s="640"/>
      <c r="AP151" s="640"/>
      <c r="AQ151" s="640"/>
      <c r="AR151" s="1782">
        <f>AR115*AR60</f>
        <v>0</v>
      </c>
      <c r="AS151" s="1782"/>
      <c r="AT151" s="1782"/>
      <c r="AU151" s="1782"/>
      <c r="AV151" s="1782"/>
      <c r="AW151" s="1782"/>
      <c r="AX151" s="1782"/>
      <c r="AY151" s="1782"/>
      <c r="AZ151" s="1782"/>
      <c r="BA151" s="1782"/>
      <c r="BB151" s="1782"/>
      <c r="BC151" s="640"/>
      <c r="BD151" s="120"/>
      <c r="BE151" s="640"/>
      <c r="BF151" s="640"/>
      <c r="BG151" s="640"/>
      <c r="BH151" s="317"/>
    </row>
    <row r="152" spans="2:81" s="28" customFormat="1" ht="17.100000000000001" hidden="1" customHeight="1" outlineLevel="1">
      <c r="B152" s="316"/>
      <c r="C152" s="363"/>
      <c r="D152" s="640">
        <f t="shared" si="0"/>
        <v>0</v>
      </c>
      <c r="E152" s="640" t="s">
        <v>237</v>
      </c>
      <c r="F152" s="640"/>
      <c r="G152" s="640"/>
      <c r="H152" s="640"/>
      <c r="I152" s="640"/>
      <c r="J152" s="640"/>
      <c r="K152" s="640"/>
      <c r="L152" s="640"/>
      <c r="M152" s="640"/>
      <c r="N152" s="640"/>
      <c r="O152" s="640"/>
      <c r="P152" s="640"/>
      <c r="Q152" s="640"/>
      <c r="R152" s="640"/>
      <c r="S152" s="640"/>
      <c r="T152" s="640"/>
      <c r="U152" s="640"/>
      <c r="V152" s="640"/>
      <c r="W152" s="640"/>
      <c r="X152" s="640"/>
      <c r="Y152" s="640"/>
      <c r="Z152" s="1785">
        <f>IF(Z151&lt;10000,-2,-3)</f>
        <v>-2</v>
      </c>
      <c r="AA152" s="1785"/>
      <c r="AB152" s="1785"/>
      <c r="AC152" s="1785"/>
      <c r="AD152" s="1785"/>
      <c r="AE152" s="1785"/>
      <c r="AF152" s="1785"/>
      <c r="AG152" s="1785"/>
      <c r="AH152" s="1785"/>
      <c r="AI152" s="1785"/>
      <c r="AJ152" s="1785"/>
      <c r="AK152" s="640"/>
      <c r="AL152" s="120"/>
      <c r="AM152" s="640"/>
      <c r="AN152" s="640"/>
      <c r="AO152" s="640"/>
      <c r="AP152" s="640"/>
      <c r="AQ152" s="640"/>
      <c r="AR152" s="1785">
        <f>IF(AR151&lt;10000,-2,-3)</f>
        <v>-2</v>
      </c>
      <c r="AS152" s="1785"/>
      <c r="AT152" s="1785"/>
      <c r="AU152" s="1785"/>
      <c r="AV152" s="1785"/>
      <c r="AW152" s="1785"/>
      <c r="AX152" s="1785"/>
      <c r="AY152" s="1785"/>
      <c r="AZ152" s="1785"/>
      <c r="BA152" s="1785"/>
      <c r="BB152" s="1785"/>
      <c r="BC152" s="640"/>
      <c r="BD152" s="120"/>
      <c r="BE152" s="640"/>
      <c r="BF152" s="640"/>
      <c r="BG152" s="640"/>
      <c r="BH152" s="317"/>
      <c r="BU152" s="139"/>
      <c r="BV152" s="139"/>
      <c r="BW152" s="139"/>
      <c r="BX152" s="139"/>
      <c r="BY152" s="139"/>
      <c r="BZ152" s="139"/>
      <c r="CA152" s="139"/>
      <c r="CB152" s="139"/>
      <c r="CC152" s="139"/>
    </row>
    <row r="153" spans="2:81" s="28" customFormat="1" ht="17.100000000000001" customHeight="1" collapsed="1">
      <c r="B153" s="316"/>
      <c r="C153" s="363"/>
      <c r="D153" s="667" t="str">
        <f t="shared" si="0"/>
        <v>CO2-Kompensationskosten</v>
      </c>
      <c r="E153" s="640"/>
      <c r="F153" s="640"/>
      <c r="G153" s="640"/>
      <c r="H153" s="640"/>
      <c r="I153" s="640"/>
      <c r="J153" s="640"/>
      <c r="K153" s="640"/>
      <c r="L153" s="640"/>
      <c r="M153" s="640"/>
      <c r="N153" s="640"/>
      <c r="O153" s="640"/>
      <c r="P153" s="640"/>
      <c r="Q153" s="640"/>
      <c r="R153" s="640" t="s">
        <v>232</v>
      </c>
      <c r="S153" s="640"/>
      <c r="T153" s="640"/>
      <c r="U153" s="640"/>
      <c r="V153" s="640"/>
      <c r="W153" s="640"/>
      <c r="X153" s="640"/>
      <c r="Y153" s="640"/>
      <c r="Z153" s="1784">
        <f>ROUND(Z151,Z152)</f>
        <v>0</v>
      </c>
      <c r="AA153" s="1782"/>
      <c r="AB153" s="1782"/>
      <c r="AC153" s="1782"/>
      <c r="AD153" s="1782"/>
      <c r="AE153" s="1782"/>
      <c r="AF153" s="1782"/>
      <c r="AG153" s="1782"/>
      <c r="AH153" s="1782"/>
      <c r="AI153" s="1782"/>
      <c r="AJ153" s="1782"/>
      <c r="AK153" s="640"/>
      <c r="AL153" s="120"/>
      <c r="AM153" s="640"/>
      <c r="AN153" s="640"/>
      <c r="AO153" s="640"/>
      <c r="AP153" s="640"/>
      <c r="AQ153" s="640"/>
      <c r="AR153" s="1784">
        <f>ROUND(AR151,AR152)</f>
        <v>0</v>
      </c>
      <c r="AS153" s="1782"/>
      <c r="AT153" s="1782"/>
      <c r="AU153" s="1782"/>
      <c r="AV153" s="1782"/>
      <c r="AW153" s="1782"/>
      <c r="AX153" s="1782"/>
      <c r="AY153" s="1782"/>
      <c r="AZ153" s="1782"/>
      <c r="BA153" s="1782"/>
      <c r="BB153" s="1782"/>
      <c r="BC153" s="640"/>
      <c r="BD153" s="120"/>
      <c r="BE153" s="640"/>
      <c r="BF153" s="640"/>
      <c r="BG153" s="640"/>
      <c r="BH153" s="317"/>
    </row>
    <row r="154" spans="2:81" s="28" customFormat="1" ht="17.100000000000001" customHeight="1">
      <c r="B154" s="316"/>
      <c r="C154" s="363"/>
      <c r="D154" s="688" t="str">
        <f>X!$C$172</f>
        <v>Lebenszykluskosten (CO2-neutraler Betrieb)</v>
      </c>
      <c r="E154" s="156"/>
      <c r="F154" s="156"/>
      <c r="G154" s="156"/>
      <c r="H154" s="156"/>
      <c r="I154" s="156"/>
      <c r="J154" s="156"/>
      <c r="K154" s="156"/>
      <c r="L154" s="156"/>
      <c r="M154" s="156"/>
      <c r="N154" s="156"/>
      <c r="O154" s="156"/>
      <c r="P154" s="156"/>
      <c r="Q154" s="156"/>
      <c r="R154" s="688" t="s">
        <v>232</v>
      </c>
      <c r="S154" s="156"/>
      <c r="T154" s="156"/>
      <c r="U154" s="156"/>
      <c r="V154" s="156"/>
      <c r="W154" s="156"/>
      <c r="X154" s="156"/>
      <c r="Y154" s="156"/>
      <c r="Z154" s="1786">
        <f>Z143+Z153</f>
        <v>0</v>
      </c>
      <c r="AA154" s="1786"/>
      <c r="AB154" s="1786"/>
      <c r="AC154" s="1786"/>
      <c r="AD154" s="1786"/>
      <c r="AE154" s="1786"/>
      <c r="AF154" s="1786"/>
      <c r="AG154" s="1786"/>
      <c r="AH154" s="1786"/>
      <c r="AI154" s="1786"/>
      <c r="AJ154" s="1786"/>
      <c r="AK154" s="156"/>
      <c r="AL154" s="1788">
        <f>IF(Z154=0,0,Z154/Z154)</f>
        <v>0</v>
      </c>
      <c r="AM154" s="1788"/>
      <c r="AN154" s="1788"/>
      <c r="AO154" s="156"/>
      <c r="AP154" s="156"/>
      <c r="AQ154" s="156"/>
      <c r="AR154" s="1786">
        <f>AR143+AR153</f>
        <v>0</v>
      </c>
      <c r="AS154" s="1786"/>
      <c r="AT154" s="1786"/>
      <c r="AU154" s="1786"/>
      <c r="AV154" s="1786"/>
      <c r="AW154" s="1786"/>
      <c r="AX154" s="1786"/>
      <c r="AY154" s="1786"/>
      <c r="AZ154" s="1786"/>
      <c r="BA154" s="1786"/>
      <c r="BB154" s="1786"/>
      <c r="BC154" s="156"/>
      <c r="BD154" s="1788">
        <f>IF(AR154=0,0,AR154/Z154)</f>
        <v>0</v>
      </c>
      <c r="BE154" s="1788"/>
      <c r="BF154" s="1788"/>
      <c r="BG154" s="640"/>
      <c r="BH154" s="317"/>
    </row>
    <row r="155" spans="2:81" ht="17.100000000000001" customHeight="1">
      <c r="B155" s="324"/>
      <c r="C155" s="490"/>
      <c r="D155" s="325"/>
      <c r="E155" s="325"/>
      <c r="F155" s="325"/>
      <c r="G155" s="325"/>
      <c r="H155" s="325"/>
      <c r="I155" s="325"/>
      <c r="J155" s="325"/>
      <c r="K155" s="325"/>
      <c r="L155" s="325"/>
      <c r="M155" s="325"/>
      <c r="N155" s="325"/>
      <c r="O155" s="325"/>
      <c r="P155" s="325"/>
      <c r="Q155" s="325"/>
      <c r="R155" s="325"/>
      <c r="S155" s="325"/>
      <c r="T155" s="325"/>
      <c r="U155" s="325"/>
      <c r="V155" s="325"/>
      <c r="W155" s="325"/>
      <c r="X155" s="325"/>
      <c r="Y155" s="325"/>
      <c r="Z155" s="325"/>
      <c r="AA155" s="325"/>
      <c r="AB155" s="325"/>
      <c r="AC155" s="325"/>
      <c r="AD155" s="325"/>
      <c r="AE155" s="325"/>
      <c r="AF155" s="325"/>
      <c r="AG155" s="325"/>
      <c r="AH155" s="325"/>
      <c r="AI155" s="325"/>
      <c r="AJ155" s="326"/>
      <c r="AK155" s="325"/>
      <c r="AL155" s="327"/>
      <c r="AM155" s="325"/>
      <c r="AN155" s="325"/>
      <c r="AO155" s="325"/>
      <c r="AP155" s="325"/>
      <c r="AQ155" s="325"/>
      <c r="AR155" s="325"/>
      <c r="AS155" s="325"/>
      <c r="AT155" s="325"/>
      <c r="AU155" s="325"/>
      <c r="AV155" s="325"/>
      <c r="AW155" s="325"/>
      <c r="AX155" s="325"/>
      <c r="AY155" s="325"/>
      <c r="AZ155" s="325"/>
      <c r="BA155" s="325"/>
      <c r="BB155" s="326"/>
      <c r="BC155" s="325"/>
      <c r="BD155" s="327"/>
      <c r="BE155" s="325"/>
      <c r="BF155" s="325"/>
      <c r="BG155" s="325"/>
      <c r="BH155" s="328"/>
      <c r="BU155" s="28"/>
      <c r="BV155" s="28"/>
      <c r="BW155" s="28"/>
      <c r="BX155" s="28"/>
      <c r="BY155" s="28"/>
      <c r="BZ155" s="28"/>
      <c r="CA155" s="28"/>
      <c r="CB155" s="28"/>
      <c r="CC155" s="28"/>
    </row>
    <row r="157" spans="2:81">
      <c r="AV157" s="1439" t="str">
        <f>X!C291</f>
        <v>nach oben</v>
      </c>
      <c r="AW157" s="1439"/>
      <c r="AX157" s="1439"/>
      <c r="AY157" s="1439"/>
      <c r="AZ157" s="1439"/>
      <c r="BA157" s="1439"/>
      <c r="BB157" s="1439"/>
      <c r="BC157" s="1439"/>
      <c r="BD157" s="627" t="s">
        <v>670</v>
      </c>
      <c r="BU157" s="28"/>
      <c r="BV157" s="28"/>
      <c r="BW157" s="28"/>
      <c r="BX157" s="28"/>
      <c r="BY157" s="28"/>
      <c r="BZ157" s="28"/>
      <c r="CA157" s="28"/>
      <c r="CB157" s="28"/>
      <c r="CC157" s="28"/>
    </row>
    <row r="158" spans="2:81">
      <c r="BU158" s="28"/>
      <c r="BV158" s="28"/>
      <c r="BW158" s="28"/>
      <c r="BX158" s="28"/>
      <c r="BY158" s="28"/>
      <c r="BZ158" s="28"/>
      <c r="CA158" s="28"/>
      <c r="CB158" s="28"/>
      <c r="CC158" s="28"/>
    </row>
    <row r="159" spans="2:81" hidden="1" outlineLevel="1">
      <c r="D159" s="224" t="s">
        <v>315</v>
      </c>
      <c r="BU159" s="28"/>
      <c r="BV159" s="28"/>
      <c r="BW159" s="28"/>
      <c r="BX159" s="28"/>
      <c r="BY159" s="28"/>
      <c r="BZ159" s="28"/>
      <c r="CA159" s="28"/>
      <c r="CB159" s="28"/>
      <c r="CC159" s="28"/>
    </row>
    <row r="160" spans="2:81" ht="17.100000000000001" hidden="1" customHeight="1" outlineLevel="1">
      <c r="B160" s="311"/>
      <c r="C160" s="1240"/>
      <c r="D160" s="156"/>
      <c r="E160" s="1281" t="s">
        <v>95</v>
      </c>
      <c r="F160" s="52" t="s">
        <v>1100</v>
      </c>
      <c r="G160" s="52"/>
      <c r="H160" s="52"/>
      <c r="I160" s="52"/>
      <c r="J160" s="52"/>
      <c r="K160" s="52"/>
      <c r="L160" s="52"/>
      <c r="M160" s="52"/>
      <c r="N160" s="52"/>
      <c r="O160" s="52"/>
      <c r="P160" s="52"/>
      <c r="Q160" s="52"/>
      <c r="R160" s="86" t="s">
        <v>30</v>
      </c>
      <c r="S160" s="52"/>
      <c r="T160" s="52"/>
      <c r="U160" s="52"/>
      <c r="V160" s="52"/>
      <c r="W160" s="52"/>
      <c r="X160" s="52"/>
      <c r="Y160" s="52"/>
      <c r="Z160" s="1799">
        <v>0.03</v>
      </c>
      <c r="AA160" s="1799"/>
      <c r="AB160" s="1799"/>
      <c r="AC160" s="1799"/>
      <c r="AD160" s="1799"/>
      <c r="AE160" s="1799"/>
      <c r="AF160" s="1799"/>
      <c r="AG160" s="1799"/>
      <c r="AH160" s="1799"/>
      <c r="AI160" s="1799"/>
      <c r="AJ160" s="1799"/>
      <c r="AK160" s="52"/>
      <c r="AL160" s="93"/>
      <c r="AM160" s="52"/>
      <c r="AN160" s="52"/>
      <c r="AO160" s="52"/>
      <c r="AP160" s="52"/>
      <c r="AQ160" s="52"/>
      <c r="AR160" s="1799">
        <f>Z160</f>
        <v>0.03</v>
      </c>
      <c r="AS160" s="1799"/>
      <c r="AT160" s="1799"/>
      <c r="AU160" s="1799"/>
      <c r="AV160" s="1799"/>
      <c r="AW160" s="1799"/>
      <c r="AX160" s="1799"/>
      <c r="AY160" s="1799"/>
      <c r="AZ160" s="1799"/>
      <c r="BA160" s="1799"/>
      <c r="BB160" s="1799"/>
      <c r="BC160" s="52"/>
      <c r="BD160" s="93"/>
      <c r="BE160" s="52"/>
      <c r="BF160" s="52"/>
      <c r="BG160" s="52"/>
      <c r="BH160" s="312"/>
      <c r="BU160" s="28"/>
      <c r="BV160" s="28"/>
      <c r="BW160" s="28"/>
      <c r="BX160" s="28"/>
      <c r="BY160" s="28"/>
      <c r="BZ160" s="28"/>
      <c r="CA160" s="28"/>
      <c r="CB160" s="28"/>
      <c r="CC160" s="28"/>
    </row>
    <row r="161" spans="2:81" ht="17.100000000000001" hidden="1" customHeight="1" outlineLevel="1">
      <c r="B161" s="311"/>
      <c r="C161" s="1240"/>
      <c r="D161" s="156"/>
      <c r="E161" s="1281" t="s">
        <v>95</v>
      </c>
      <c r="F161" s="52" t="s">
        <v>1101</v>
      </c>
      <c r="G161" s="52"/>
      <c r="H161" s="52"/>
      <c r="I161" s="52"/>
      <c r="J161" s="52"/>
      <c r="K161" s="52"/>
      <c r="L161" s="52"/>
      <c r="M161" s="52"/>
      <c r="N161" s="52"/>
      <c r="O161" s="52"/>
      <c r="P161" s="52"/>
      <c r="Q161" s="52"/>
      <c r="R161" s="86" t="s">
        <v>30</v>
      </c>
      <c r="S161" s="52"/>
      <c r="T161" s="52"/>
      <c r="U161" s="52"/>
      <c r="V161" s="52"/>
      <c r="W161" s="52"/>
      <c r="X161" s="52"/>
      <c r="Y161" s="52"/>
      <c r="Z161" s="1799">
        <v>0.02</v>
      </c>
      <c r="AA161" s="1799"/>
      <c r="AB161" s="1799"/>
      <c r="AC161" s="1799"/>
      <c r="AD161" s="1799"/>
      <c r="AE161" s="1799"/>
      <c r="AF161" s="1799"/>
      <c r="AG161" s="1799"/>
      <c r="AH161" s="1799"/>
      <c r="AI161" s="1799"/>
      <c r="AJ161" s="1799"/>
      <c r="AK161" s="52"/>
      <c r="AL161" s="93"/>
      <c r="AM161" s="52"/>
      <c r="AN161" s="52"/>
      <c r="AO161" s="52"/>
      <c r="AP161" s="52"/>
      <c r="AQ161" s="52"/>
      <c r="AR161" s="1799">
        <f>Z161</f>
        <v>0.02</v>
      </c>
      <c r="AS161" s="1799"/>
      <c r="AT161" s="1799"/>
      <c r="AU161" s="1799"/>
      <c r="AV161" s="1799"/>
      <c r="AW161" s="1799"/>
      <c r="AX161" s="1799"/>
      <c r="AY161" s="1799"/>
      <c r="AZ161" s="1799"/>
      <c r="BA161" s="1799"/>
      <c r="BB161" s="1799"/>
      <c r="BC161" s="52"/>
      <c r="BD161" s="93"/>
      <c r="BE161" s="52"/>
      <c r="BF161" s="52"/>
      <c r="BG161" s="52"/>
      <c r="BH161" s="312"/>
      <c r="BU161" s="28"/>
      <c r="BV161" s="28"/>
      <c r="BW161" s="28"/>
      <c r="BX161" s="28"/>
      <c r="BY161" s="28"/>
      <c r="BZ161" s="28"/>
      <c r="CA161" s="28"/>
      <c r="CB161" s="28"/>
      <c r="CC161" s="28"/>
    </row>
    <row r="162" spans="2:81" ht="17.100000000000001" hidden="1" customHeight="1" outlineLevel="1">
      <c r="B162" s="311"/>
      <c r="C162" s="1240"/>
      <c r="D162" s="156"/>
      <c r="E162" s="1281" t="s">
        <v>95</v>
      </c>
      <c r="F162" s="52" t="s">
        <v>1074</v>
      </c>
      <c r="G162" s="52"/>
      <c r="H162" s="52"/>
      <c r="I162" s="52"/>
      <c r="J162" s="52"/>
      <c r="K162" s="52"/>
      <c r="L162" s="52"/>
      <c r="M162" s="52"/>
      <c r="N162" s="52"/>
      <c r="O162" s="52"/>
      <c r="P162" s="52"/>
      <c r="Q162" s="52"/>
      <c r="R162" s="86" t="s">
        <v>30</v>
      </c>
      <c r="S162" s="52"/>
      <c r="T162" s="52"/>
      <c r="U162" s="52"/>
      <c r="V162" s="52"/>
      <c r="W162" s="52"/>
      <c r="X162" s="52"/>
      <c r="Y162" s="52"/>
      <c r="Z162" s="1799">
        <f>IF(Z32=1,0.01,0)</f>
        <v>0</v>
      </c>
      <c r="AA162" s="1799"/>
      <c r="AB162" s="1799"/>
      <c r="AC162" s="1799"/>
      <c r="AD162" s="1799"/>
      <c r="AE162" s="1799"/>
      <c r="AF162" s="1799"/>
      <c r="AG162" s="1799"/>
      <c r="AH162" s="1799"/>
      <c r="AI162" s="1799"/>
      <c r="AJ162" s="1799"/>
      <c r="AK162" s="52"/>
      <c r="AL162" s="1805"/>
      <c r="AM162" s="1805"/>
      <c r="AN162" s="1805"/>
      <c r="AO162" s="52"/>
      <c r="AP162" s="52"/>
      <c r="AQ162" s="52"/>
      <c r="AR162" s="1799">
        <f>IF(AR32=1,0.01,0)</f>
        <v>0</v>
      </c>
      <c r="AS162" s="1799"/>
      <c r="AT162" s="1799"/>
      <c r="AU162" s="1799"/>
      <c r="AV162" s="1799"/>
      <c r="AW162" s="1799"/>
      <c r="AX162" s="1799"/>
      <c r="AY162" s="1799"/>
      <c r="AZ162" s="1799"/>
      <c r="BA162" s="1799"/>
      <c r="BB162" s="1799"/>
      <c r="BC162" s="52"/>
      <c r="BD162" s="1805"/>
      <c r="BE162" s="1805"/>
      <c r="BF162" s="1805"/>
      <c r="BG162" s="52"/>
      <c r="BH162" s="312"/>
      <c r="BU162" s="28"/>
      <c r="BV162" s="28"/>
      <c r="BW162" s="28"/>
      <c r="BX162" s="28"/>
      <c r="BY162" s="28"/>
      <c r="BZ162" s="28"/>
      <c r="CA162" s="28"/>
      <c r="CB162" s="28"/>
      <c r="CC162" s="28"/>
    </row>
    <row r="163" spans="2:81" ht="8.1" hidden="1" customHeight="1" outlineLevel="1">
      <c r="B163" s="311"/>
      <c r="C163" s="1240"/>
      <c r="D163" s="156"/>
      <c r="E163" s="52"/>
      <c r="F163" s="52"/>
      <c r="G163" s="52"/>
      <c r="H163" s="52"/>
      <c r="I163" s="52"/>
      <c r="J163" s="52"/>
      <c r="K163" s="52"/>
      <c r="L163" s="52"/>
      <c r="M163" s="52"/>
      <c r="N163" s="52"/>
      <c r="O163" s="52"/>
      <c r="P163" s="52"/>
      <c r="Q163" s="52"/>
      <c r="R163" s="86"/>
      <c r="S163" s="52"/>
      <c r="T163" s="52"/>
      <c r="U163" s="52"/>
      <c r="V163" s="52"/>
      <c r="W163" s="52"/>
      <c r="X163" s="52"/>
      <c r="Y163" s="52"/>
      <c r="Z163" s="1285"/>
      <c r="AA163" s="1285"/>
      <c r="AB163" s="1285"/>
      <c r="AC163" s="1285"/>
      <c r="AD163" s="1285"/>
      <c r="AE163" s="1285"/>
      <c r="AF163" s="1285"/>
      <c r="AG163" s="1285"/>
      <c r="AH163" s="1285"/>
      <c r="AI163" s="1285"/>
      <c r="AJ163" s="1285"/>
      <c r="AK163" s="52"/>
      <c r="AL163" s="1287"/>
      <c r="AM163" s="1287"/>
      <c r="AN163" s="1287"/>
      <c r="AO163" s="52"/>
      <c r="AP163" s="52"/>
      <c r="AQ163" s="52"/>
      <c r="AR163" s="1285"/>
      <c r="AS163" s="1285"/>
      <c r="AT163" s="1285"/>
      <c r="AU163" s="1285"/>
      <c r="AV163" s="1285"/>
      <c r="AW163" s="1285"/>
      <c r="AX163" s="1285"/>
      <c r="AY163" s="1285"/>
      <c r="AZ163" s="1285"/>
      <c r="BA163" s="1285"/>
      <c r="BB163" s="1285"/>
      <c r="BC163" s="52"/>
      <c r="BD163" s="1287"/>
      <c r="BE163" s="1287"/>
      <c r="BF163" s="1287"/>
      <c r="BG163" s="52"/>
      <c r="BH163" s="312"/>
      <c r="BU163" s="28"/>
      <c r="BV163" s="28"/>
      <c r="BW163" s="28"/>
      <c r="BX163" s="28"/>
      <c r="BY163" s="28"/>
      <c r="BZ163" s="28"/>
      <c r="CA163" s="28"/>
      <c r="CB163" s="28"/>
      <c r="CC163" s="28"/>
    </row>
    <row r="164" spans="2:81" ht="17.100000000000001" hidden="1" customHeight="1" outlineLevel="1">
      <c r="B164" s="311"/>
      <c r="C164" s="477"/>
      <c r="D164" s="156"/>
      <c r="E164" s="52" t="s">
        <v>1100</v>
      </c>
      <c r="F164" s="52"/>
      <c r="G164" s="52"/>
      <c r="H164" s="52"/>
      <c r="I164" s="52"/>
      <c r="J164" s="52"/>
      <c r="K164" s="52"/>
      <c r="L164" s="52"/>
      <c r="M164" s="52"/>
      <c r="N164" s="52"/>
      <c r="O164" s="52"/>
      <c r="P164" s="52"/>
      <c r="Q164" s="52"/>
      <c r="R164" s="86" t="s">
        <v>30</v>
      </c>
      <c r="S164" s="52"/>
      <c r="T164" s="52"/>
      <c r="U164" s="52"/>
      <c r="V164" s="52"/>
      <c r="W164" s="52"/>
      <c r="X164" s="52"/>
      <c r="Y164" s="52"/>
      <c r="Z164" s="1787">
        <f>Z160+Z162</f>
        <v>0.03</v>
      </c>
      <c r="AA164" s="1787"/>
      <c r="AB164" s="1787"/>
      <c r="AC164" s="1787"/>
      <c r="AD164" s="1787"/>
      <c r="AE164" s="1787"/>
      <c r="AF164" s="1787"/>
      <c r="AG164" s="1787"/>
      <c r="AH164" s="1787"/>
      <c r="AI164" s="1787"/>
      <c r="AJ164" s="1787"/>
      <c r="AK164" s="52"/>
      <c r="AL164" s="93"/>
      <c r="AM164" s="52"/>
      <c r="AN164" s="52"/>
      <c r="AO164" s="52"/>
      <c r="AP164" s="52"/>
      <c r="AQ164" s="52"/>
      <c r="AR164" s="1787">
        <f>AR160+AR162</f>
        <v>0.03</v>
      </c>
      <c r="AS164" s="1787"/>
      <c r="AT164" s="1787"/>
      <c r="AU164" s="1787"/>
      <c r="AV164" s="1787"/>
      <c r="AW164" s="1787"/>
      <c r="AX164" s="1787"/>
      <c r="AY164" s="1787"/>
      <c r="AZ164" s="1787"/>
      <c r="BA164" s="1787"/>
      <c r="BB164" s="1787"/>
      <c r="BC164" s="52"/>
      <c r="BD164" s="93"/>
      <c r="BE164" s="52"/>
      <c r="BF164" s="52"/>
      <c r="BG164" s="52"/>
      <c r="BH164" s="312"/>
      <c r="BU164" s="28"/>
      <c r="BV164" s="28"/>
      <c r="BW164" s="28"/>
      <c r="BX164" s="28"/>
      <c r="BY164" s="28"/>
      <c r="BZ164" s="28"/>
      <c r="CA164" s="28"/>
      <c r="CB164" s="28"/>
      <c r="CC164" s="28"/>
    </row>
    <row r="165" spans="2:81" ht="17.100000000000001" hidden="1" customHeight="1" outlineLevel="1">
      <c r="B165" s="311"/>
      <c r="C165" s="477"/>
      <c r="D165" s="156"/>
      <c r="E165" s="52" t="s">
        <v>1101</v>
      </c>
      <c r="F165" s="52"/>
      <c r="G165" s="52"/>
      <c r="H165" s="52"/>
      <c r="I165" s="52"/>
      <c r="J165" s="52"/>
      <c r="K165" s="52"/>
      <c r="L165" s="52"/>
      <c r="M165" s="52"/>
      <c r="N165" s="52"/>
      <c r="O165" s="52"/>
      <c r="P165" s="52"/>
      <c r="Q165" s="52"/>
      <c r="R165" s="86" t="s">
        <v>30</v>
      </c>
      <c r="S165" s="52"/>
      <c r="T165" s="52"/>
      <c r="U165" s="52"/>
      <c r="V165" s="52"/>
      <c r="W165" s="52"/>
      <c r="X165" s="52"/>
      <c r="Y165" s="52"/>
      <c r="Z165" s="1787">
        <f>Z161+Z162</f>
        <v>0.02</v>
      </c>
      <c r="AA165" s="1787"/>
      <c r="AB165" s="1787"/>
      <c r="AC165" s="1787"/>
      <c r="AD165" s="1787"/>
      <c r="AE165" s="1787"/>
      <c r="AF165" s="1787"/>
      <c r="AG165" s="1787"/>
      <c r="AH165" s="1787"/>
      <c r="AI165" s="1787"/>
      <c r="AJ165" s="1787"/>
      <c r="AK165" s="52"/>
      <c r="AL165" s="93"/>
      <c r="AM165" s="52"/>
      <c r="AN165" s="52"/>
      <c r="AO165" s="52"/>
      <c r="AP165" s="52"/>
      <c r="AQ165" s="52"/>
      <c r="AR165" s="1787">
        <f>AR161+AR162</f>
        <v>0.02</v>
      </c>
      <c r="AS165" s="1787"/>
      <c r="AT165" s="1787"/>
      <c r="AU165" s="1787"/>
      <c r="AV165" s="1787"/>
      <c r="AW165" s="1787"/>
      <c r="AX165" s="1787"/>
      <c r="AY165" s="1787"/>
      <c r="AZ165" s="1787"/>
      <c r="BA165" s="1787"/>
      <c r="BB165" s="1787"/>
      <c r="BC165" s="52"/>
      <c r="BD165" s="93"/>
      <c r="BE165" s="52"/>
      <c r="BF165" s="52"/>
      <c r="BG165" s="52"/>
      <c r="BH165" s="312"/>
      <c r="BU165" s="28"/>
      <c r="BV165" s="28"/>
      <c r="BW165" s="28"/>
      <c r="BX165" s="28"/>
      <c r="BY165" s="28"/>
      <c r="BZ165" s="28"/>
      <c r="CA165" s="28"/>
      <c r="CB165" s="28"/>
      <c r="CC165" s="28"/>
    </row>
    <row r="166" spans="2:81" ht="17.100000000000001" hidden="1" customHeight="1" outlineLevel="1">
      <c r="B166" s="311"/>
      <c r="C166" s="477"/>
      <c r="D166" s="360"/>
      <c r="E166" s="52" t="s">
        <v>1102</v>
      </c>
      <c r="F166" s="52"/>
      <c r="G166" s="52"/>
      <c r="H166" s="52"/>
      <c r="I166" s="52"/>
      <c r="J166" s="52"/>
      <c r="K166" s="52"/>
      <c r="L166" s="52"/>
      <c r="M166" s="52"/>
      <c r="N166" s="52"/>
      <c r="O166" s="52"/>
      <c r="P166" s="52"/>
      <c r="Q166" s="52"/>
      <c r="R166" s="52" t="s">
        <v>48</v>
      </c>
      <c r="S166" s="52"/>
      <c r="T166" s="52"/>
      <c r="U166" s="52"/>
      <c r="V166" s="52"/>
      <c r="W166" s="52"/>
      <c r="X166" s="52"/>
      <c r="Y166" s="52"/>
      <c r="Z166" s="1782">
        <v>1000</v>
      </c>
      <c r="AA166" s="1782"/>
      <c r="AB166" s="1782"/>
      <c r="AC166" s="1782"/>
      <c r="AD166" s="1782"/>
      <c r="AE166" s="1782"/>
      <c r="AF166" s="1782"/>
      <c r="AG166" s="1782"/>
      <c r="AH166" s="1782"/>
      <c r="AI166" s="1782"/>
      <c r="AJ166" s="1782"/>
      <c r="AK166" s="52"/>
      <c r="AL166" s="93"/>
      <c r="AM166" s="52"/>
      <c r="AN166" s="52"/>
      <c r="AO166" s="52"/>
      <c r="AP166" s="52"/>
      <c r="AQ166" s="52"/>
      <c r="AR166" s="1782">
        <f>Z166</f>
        <v>1000</v>
      </c>
      <c r="AS166" s="1782"/>
      <c r="AT166" s="1782"/>
      <c r="AU166" s="1782"/>
      <c r="AV166" s="1782"/>
      <c r="AW166" s="1782"/>
      <c r="AX166" s="1782"/>
      <c r="AY166" s="1782"/>
      <c r="AZ166" s="1782"/>
      <c r="BA166" s="1782"/>
      <c r="BB166" s="1782"/>
      <c r="BC166" s="52"/>
      <c r="BD166" s="93"/>
      <c r="BE166" s="52"/>
      <c r="BF166" s="52"/>
      <c r="BG166" s="52"/>
      <c r="BH166" s="312"/>
      <c r="BU166" s="28"/>
      <c r="BV166" s="28"/>
      <c r="BW166" s="28"/>
      <c r="BX166" s="28"/>
      <c r="BY166" s="28"/>
      <c r="BZ166" s="28"/>
      <c r="CA166" s="28"/>
      <c r="CB166" s="28"/>
      <c r="CC166" s="28"/>
    </row>
    <row r="167" spans="2:81" ht="17.100000000000001" hidden="1" customHeight="1" outlineLevel="1">
      <c r="B167" s="311"/>
      <c r="C167" s="477"/>
      <c r="D167" s="360"/>
      <c r="E167" s="52" t="s">
        <v>1103</v>
      </c>
      <c r="F167" s="52"/>
      <c r="G167" s="52"/>
      <c r="H167" s="52"/>
      <c r="I167" s="52"/>
      <c r="J167" s="52"/>
      <c r="K167" s="52"/>
      <c r="L167" s="52"/>
      <c r="M167" s="52"/>
      <c r="N167" s="52"/>
      <c r="O167" s="52"/>
      <c r="P167" s="52"/>
      <c r="Q167" s="52"/>
      <c r="R167" s="52" t="s">
        <v>232</v>
      </c>
      <c r="S167" s="52"/>
      <c r="T167" s="52"/>
      <c r="U167" s="52"/>
      <c r="V167" s="52"/>
      <c r="W167" s="52"/>
      <c r="X167" s="52"/>
      <c r="Y167" s="52"/>
      <c r="Z167" s="1782">
        <v>200000</v>
      </c>
      <c r="AA167" s="1782"/>
      <c r="AB167" s="1782"/>
      <c r="AC167" s="1782"/>
      <c r="AD167" s="1782"/>
      <c r="AE167" s="1782"/>
      <c r="AF167" s="1782"/>
      <c r="AG167" s="1782"/>
      <c r="AH167" s="1782"/>
      <c r="AI167" s="1782"/>
      <c r="AJ167" s="1782"/>
      <c r="AK167" s="52"/>
      <c r="AL167" s="93"/>
      <c r="AM167" s="52"/>
      <c r="AN167" s="52"/>
      <c r="AO167" s="52"/>
      <c r="AP167" s="52"/>
      <c r="AQ167" s="52"/>
      <c r="AR167" s="1782">
        <f>Z167</f>
        <v>200000</v>
      </c>
      <c r="AS167" s="1782"/>
      <c r="AT167" s="1782"/>
      <c r="AU167" s="1782"/>
      <c r="AV167" s="1782"/>
      <c r="AW167" s="1782"/>
      <c r="AX167" s="1782"/>
      <c r="AY167" s="1782"/>
      <c r="AZ167" s="1782"/>
      <c r="BA167" s="1782"/>
      <c r="BB167" s="1782"/>
      <c r="BC167" s="52"/>
      <c r="BD167" s="93"/>
      <c r="BE167" s="52"/>
      <c r="BF167" s="52"/>
      <c r="BG167" s="52"/>
      <c r="BH167" s="312"/>
      <c r="BU167" s="28"/>
      <c r="BV167" s="28"/>
      <c r="BW167" s="28"/>
      <c r="BX167" s="28"/>
      <c r="BY167" s="28"/>
      <c r="BZ167" s="28"/>
      <c r="CA167" s="28"/>
      <c r="CB167" s="28"/>
      <c r="CC167" s="28"/>
    </row>
    <row r="168" spans="2:81" ht="17.100000000000001" hidden="1" customHeight="1" outlineLevel="1">
      <c r="B168" s="311"/>
      <c r="C168" s="477"/>
      <c r="D168" s="360"/>
      <c r="E168" s="224" t="s">
        <v>315</v>
      </c>
      <c r="F168" s="224"/>
      <c r="G168" s="224"/>
      <c r="H168" s="224"/>
      <c r="I168" s="224"/>
      <c r="J168" s="224"/>
      <c r="K168" s="224"/>
      <c r="L168" s="224"/>
      <c r="M168" s="224"/>
      <c r="N168" s="224"/>
      <c r="O168" s="224"/>
      <c r="P168" s="224"/>
      <c r="Q168" s="224"/>
      <c r="R168" s="224" t="s">
        <v>48</v>
      </c>
      <c r="S168" s="224"/>
      <c r="T168" s="224"/>
      <c r="U168" s="224"/>
      <c r="V168" s="224"/>
      <c r="W168" s="224"/>
      <c r="X168" s="224"/>
      <c r="Y168" s="224"/>
      <c r="Z168" s="1786">
        <f>IF(Z37=0,0,IF(Z37&lt;Z167,Z166+Z37*Z164,Z166+Z167*Z164+(Z37-Z167)*Z165))</f>
        <v>0</v>
      </c>
      <c r="AA168" s="1786"/>
      <c r="AB168" s="1786"/>
      <c r="AC168" s="1786"/>
      <c r="AD168" s="1786"/>
      <c r="AE168" s="1786"/>
      <c r="AF168" s="1786"/>
      <c r="AG168" s="1786"/>
      <c r="AH168" s="1786"/>
      <c r="AI168" s="1786"/>
      <c r="AJ168" s="1786"/>
      <c r="AK168" s="224"/>
      <c r="AL168" s="375"/>
      <c r="AM168" s="224"/>
      <c r="AN168" s="224"/>
      <c r="AO168" s="224"/>
      <c r="AP168" s="224"/>
      <c r="AQ168" s="224"/>
      <c r="AR168" s="1786">
        <f>IF(AR37=0,0,IF(AR37&lt;AR167,AR166+AR37*AR164,AR166+AR167*AR164+(AR37-AR167)*AR165))</f>
        <v>0</v>
      </c>
      <c r="AS168" s="1786"/>
      <c r="AT168" s="1786"/>
      <c r="AU168" s="1786"/>
      <c r="AV168" s="1786"/>
      <c r="AW168" s="1786"/>
      <c r="AX168" s="1786"/>
      <c r="AY168" s="1786"/>
      <c r="AZ168" s="1786"/>
      <c r="BA168" s="1786"/>
      <c r="BB168" s="1786"/>
      <c r="BC168" s="52"/>
      <c r="BD168" s="93"/>
      <c r="BE168" s="52"/>
      <c r="BF168" s="52"/>
      <c r="BG168" s="52"/>
      <c r="BH168" s="312"/>
      <c r="BU168" s="28"/>
      <c r="BV168" s="28"/>
      <c r="BW168" s="28"/>
      <c r="BX168" s="28"/>
      <c r="BY168" s="28"/>
      <c r="BZ168" s="28"/>
      <c r="CA168" s="28"/>
      <c r="CB168" s="28"/>
      <c r="CC168" s="28"/>
    </row>
    <row r="169" spans="2:81" ht="6.95" hidden="1" customHeight="1" outlineLevel="1">
      <c r="B169" s="311"/>
      <c r="C169" s="477"/>
      <c r="D169" s="360"/>
      <c r="E169" s="52"/>
      <c r="F169" s="52"/>
      <c r="G169" s="52"/>
      <c r="H169" s="52"/>
      <c r="I169" s="52"/>
      <c r="J169" s="52"/>
      <c r="K169" s="52"/>
      <c r="L169" s="52"/>
      <c r="M169" s="52"/>
      <c r="N169" s="52"/>
      <c r="O169" s="52"/>
      <c r="P169" s="52"/>
      <c r="Q169" s="52"/>
      <c r="R169" s="52"/>
      <c r="S169" s="52"/>
      <c r="T169" s="52"/>
      <c r="U169" s="52"/>
      <c r="V169" s="52"/>
      <c r="W169" s="52"/>
      <c r="X169" s="52"/>
      <c r="Y169" s="52"/>
      <c r="Z169" s="392"/>
      <c r="AA169" s="392"/>
      <c r="AB169" s="392"/>
      <c r="AC169" s="392"/>
      <c r="AD169" s="392"/>
      <c r="AE169" s="392"/>
      <c r="AF169" s="392"/>
      <c r="AG169" s="392"/>
      <c r="AH169" s="392"/>
      <c r="AI169" s="392"/>
      <c r="AJ169" s="392"/>
      <c r="AK169" s="52"/>
      <c r="AL169" s="93"/>
      <c r="AM169" s="52"/>
      <c r="AN169" s="52"/>
      <c r="AO169" s="52"/>
      <c r="AP169" s="52"/>
      <c r="AQ169" s="52"/>
      <c r="AR169" s="392"/>
      <c r="AS169" s="392"/>
      <c r="AT169" s="392"/>
      <c r="AU169" s="392"/>
      <c r="AV169" s="392"/>
      <c r="AW169" s="392"/>
      <c r="AX169" s="392"/>
      <c r="AY169" s="392"/>
      <c r="AZ169" s="392"/>
      <c r="BA169" s="392"/>
      <c r="BB169" s="392"/>
      <c r="BC169" s="52"/>
      <c r="BD169" s="93"/>
      <c r="BE169" s="52"/>
      <c r="BF169" s="52"/>
      <c r="BG169" s="52"/>
      <c r="BH169" s="312"/>
      <c r="BU169" s="28"/>
      <c r="BV169" s="28"/>
      <c r="BW169" s="28"/>
      <c r="BX169" s="28"/>
      <c r="BY169" s="28"/>
      <c r="BZ169" s="28"/>
      <c r="CA169" s="28"/>
      <c r="CB169" s="28"/>
      <c r="CC169" s="28"/>
    </row>
    <row r="170" spans="2:81" ht="17.100000000000001" hidden="1" customHeight="1" outlineLevel="1">
      <c r="B170" s="311"/>
      <c r="C170" s="477"/>
      <c r="D170" s="224" t="s">
        <v>316</v>
      </c>
      <c r="E170" s="52"/>
      <c r="F170" s="52"/>
      <c r="G170" s="52"/>
      <c r="H170" s="52"/>
      <c r="I170" s="52"/>
      <c r="J170" s="52"/>
      <c r="K170" s="52"/>
      <c r="L170" s="52"/>
      <c r="M170" s="52"/>
      <c r="N170" s="52"/>
      <c r="O170" s="52"/>
      <c r="P170" s="52"/>
      <c r="Q170" s="52"/>
      <c r="R170" s="52"/>
      <c r="S170" s="52"/>
      <c r="T170" s="52"/>
      <c r="U170" s="52"/>
      <c r="V170" s="52"/>
      <c r="W170" s="52"/>
      <c r="X170" s="52"/>
      <c r="Y170" s="52"/>
      <c r="Z170" s="447"/>
      <c r="AA170" s="447"/>
      <c r="AB170" s="447"/>
      <c r="AC170" s="447"/>
      <c r="AD170" s="447"/>
      <c r="AE170" s="447"/>
      <c r="AF170" s="447"/>
      <c r="AG170" s="447"/>
      <c r="AH170" s="447"/>
      <c r="AI170" s="447"/>
      <c r="AJ170" s="447"/>
      <c r="AK170" s="52"/>
      <c r="AL170" s="93"/>
      <c r="AM170" s="52"/>
      <c r="AN170" s="52"/>
      <c r="AO170" s="52"/>
      <c r="AP170" s="52"/>
      <c r="AQ170" s="52"/>
      <c r="AR170" s="447"/>
      <c r="AS170" s="447"/>
      <c r="AT170" s="447"/>
      <c r="AU170" s="447"/>
      <c r="AV170" s="447"/>
      <c r="AW170" s="447"/>
      <c r="AX170" s="447"/>
      <c r="AY170" s="447"/>
      <c r="AZ170" s="447"/>
      <c r="BA170" s="447"/>
      <c r="BB170" s="447"/>
      <c r="BC170" s="52"/>
      <c r="BD170" s="93"/>
      <c r="BE170" s="52"/>
      <c r="BF170" s="52"/>
      <c r="BG170" s="52"/>
      <c r="BH170" s="312"/>
      <c r="BU170" s="28"/>
      <c r="BV170" s="28"/>
      <c r="BW170" s="28"/>
      <c r="BX170" s="28"/>
      <c r="BY170" s="28"/>
      <c r="BZ170" s="28"/>
      <c r="CA170" s="28"/>
      <c r="CB170" s="28"/>
      <c r="CC170" s="28"/>
    </row>
    <row r="171" spans="2:81" ht="17.100000000000001" hidden="1" customHeight="1" outlineLevel="1">
      <c r="B171" s="311"/>
      <c r="C171" s="477"/>
      <c r="D171" s="360"/>
      <c r="E171" s="224" t="s">
        <v>317</v>
      </c>
      <c r="F171" s="224"/>
      <c r="G171" s="224"/>
      <c r="H171" s="224"/>
      <c r="I171" s="224"/>
      <c r="J171" s="224"/>
      <c r="K171" s="224"/>
      <c r="L171" s="224"/>
      <c r="M171" s="224"/>
      <c r="N171" s="224"/>
      <c r="O171" s="224"/>
      <c r="P171" s="224"/>
      <c r="Q171" s="224"/>
      <c r="R171" s="224" t="s">
        <v>48</v>
      </c>
      <c r="S171" s="224"/>
      <c r="T171" s="224"/>
      <c r="U171" s="224"/>
      <c r="V171" s="224"/>
      <c r="W171" s="224"/>
      <c r="X171" s="224"/>
      <c r="Y171" s="224"/>
      <c r="Z171" s="1786">
        <f>Z45</f>
        <v>0</v>
      </c>
      <c r="AA171" s="1786"/>
      <c r="AB171" s="1786"/>
      <c r="AC171" s="1786"/>
      <c r="AD171" s="1786"/>
      <c r="AE171" s="1786"/>
      <c r="AF171" s="1786"/>
      <c r="AG171" s="1786"/>
      <c r="AH171" s="1786"/>
      <c r="AI171" s="1786"/>
      <c r="AJ171" s="1786"/>
      <c r="AK171" s="224"/>
      <c r="AL171" s="375"/>
      <c r="AM171" s="224"/>
      <c r="AN171" s="224"/>
      <c r="AO171" s="224"/>
      <c r="AP171" s="224"/>
      <c r="AQ171" s="224"/>
      <c r="AR171" s="1786">
        <f>AR45</f>
        <v>0</v>
      </c>
      <c r="AS171" s="1786"/>
      <c r="AT171" s="1786"/>
      <c r="AU171" s="1786"/>
      <c r="AV171" s="1786"/>
      <c r="AW171" s="1786"/>
      <c r="AX171" s="1786"/>
      <c r="AY171" s="1786"/>
      <c r="AZ171" s="1786"/>
      <c r="BA171" s="1786"/>
      <c r="BB171" s="1786"/>
      <c r="BC171" s="52"/>
      <c r="BD171" s="93"/>
      <c r="BE171" s="52"/>
      <c r="BF171" s="52"/>
      <c r="BG171" s="52"/>
      <c r="BH171" s="312"/>
      <c r="BU171" s="28"/>
      <c r="BV171" s="28"/>
      <c r="BW171" s="28"/>
      <c r="BX171" s="28"/>
      <c r="BY171" s="28"/>
      <c r="BZ171" s="28"/>
      <c r="CA171" s="28"/>
      <c r="CB171" s="28"/>
      <c r="CC171" s="28"/>
    </row>
    <row r="172" spans="2:81" ht="6.95" hidden="1" customHeight="1" outlineLevel="1">
      <c r="B172" s="311"/>
      <c r="C172" s="477"/>
      <c r="D172" s="360"/>
      <c r="E172" s="52"/>
      <c r="F172" s="52"/>
      <c r="G172" s="52"/>
      <c r="H172" s="52"/>
      <c r="I172" s="52"/>
      <c r="J172" s="52"/>
      <c r="K172" s="52"/>
      <c r="L172" s="52"/>
      <c r="M172" s="52"/>
      <c r="N172" s="52"/>
      <c r="O172" s="52"/>
      <c r="P172" s="52"/>
      <c r="Q172" s="52"/>
      <c r="R172" s="52"/>
      <c r="S172" s="52"/>
      <c r="T172" s="52"/>
      <c r="U172" s="52"/>
      <c r="V172" s="52"/>
      <c r="W172" s="52"/>
      <c r="X172" s="52"/>
      <c r="Y172" s="52"/>
      <c r="Z172" s="447"/>
      <c r="AA172" s="447"/>
      <c r="AB172" s="447"/>
      <c r="AC172" s="447"/>
      <c r="AD172" s="447"/>
      <c r="AE172" s="447"/>
      <c r="AF172" s="447"/>
      <c r="AG172" s="447"/>
      <c r="AH172" s="447"/>
      <c r="AI172" s="447"/>
      <c r="AJ172" s="447"/>
      <c r="AK172" s="52"/>
      <c r="AL172" s="93"/>
      <c r="AM172" s="52"/>
      <c r="AN172" s="52"/>
      <c r="AO172" s="52"/>
      <c r="AP172" s="52"/>
      <c r="AQ172" s="52"/>
      <c r="AR172" s="447"/>
      <c r="AS172" s="447"/>
      <c r="AT172" s="447"/>
      <c r="AU172" s="447"/>
      <c r="AV172" s="447"/>
      <c r="AW172" s="447"/>
      <c r="AX172" s="447"/>
      <c r="AY172" s="447"/>
      <c r="AZ172" s="447"/>
      <c r="BA172" s="447"/>
      <c r="BB172" s="447"/>
      <c r="BC172" s="52"/>
      <c r="BD172" s="93"/>
      <c r="BE172" s="52"/>
      <c r="BF172" s="52"/>
      <c r="BG172" s="52"/>
      <c r="BH172" s="312"/>
      <c r="BU172" s="28"/>
      <c r="BV172" s="28"/>
      <c r="BW172" s="28"/>
      <c r="BX172" s="28"/>
      <c r="BY172" s="28"/>
      <c r="BZ172" s="28"/>
      <c r="CA172" s="28"/>
      <c r="CB172" s="28"/>
      <c r="CC172" s="28"/>
    </row>
    <row r="173" spans="2:81" ht="15" hidden="1" customHeight="1" outlineLevel="1">
      <c r="B173" s="311"/>
      <c r="C173" s="477"/>
      <c r="D173" s="224" t="s">
        <v>323</v>
      </c>
      <c r="E173" s="52"/>
      <c r="F173" s="52"/>
      <c r="G173" s="52"/>
      <c r="H173" s="52"/>
      <c r="I173" s="52"/>
      <c r="J173" s="52"/>
      <c r="K173" s="52"/>
      <c r="L173" s="52"/>
      <c r="M173" s="52"/>
      <c r="N173" s="52"/>
      <c r="O173" s="52"/>
      <c r="P173" s="52"/>
      <c r="Q173" s="52"/>
      <c r="R173" s="52"/>
      <c r="S173" s="52"/>
      <c r="T173" s="52"/>
      <c r="U173" s="52"/>
      <c r="V173" s="52"/>
      <c r="W173" s="52"/>
      <c r="X173" s="52"/>
      <c r="Y173" s="52"/>
      <c r="Z173" s="447"/>
      <c r="AA173" s="447"/>
      <c r="AB173" s="447"/>
      <c r="AC173" s="447"/>
      <c r="AD173" s="447"/>
      <c r="AE173" s="447"/>
      <c r="AF173" s="447"/>
      <c r="AG173" s="447"/>
      <c r="AH173" s="447"/>
      <c r="AI173" s="447"/>
      <c r="AJ173" s="447"/>
      <c r="AK173" s="52"/>
      <c r="AL173" s="93"/>
      <c r="AM173" s="52"/>
      <c r="AN173" s="52"/>
      <c r="AO173" s="52"/>
      <c r="AP173" s="52"/>
      <c r="AQ173" s="52"/>
      <c r="AR173" s="447"/>
      <c r="AS173" s="447"/>
      <c r="AT173" s="447"/>
      <c r="AU173" s="447"/>
      <c r="AV173" s="447"/>
      <c r="AW173" s="447"/>
      <c r="AX173" s="447"/>
      <c r="AY173" s="447"/>
      <c r="AZ173" s="447"/>
      <c r="BA173" s="447"/>
      <c r="BB173" s="447"/>
      <c r="BC173" s="52"/>
      <c r="BD173" s="93"/>
      <c r="BE173" s="52"/>
      <c r="BF173" s="52"/>
      <c r="BG173" s="52"/>
      <c r="BH173" s="312"/>
      <c r="BU173" s="28"/>
      <c r="BV173" s="28"/>
      <c r="BW173" s="28"/>
      <c r="BX173" s="28"/>
      <c r="BY173" s="28"/>
      <c r="BZ173" s="28"/>
      <c r="CA173" s="28"/>
      <c r="CB173" s="28"/>
      <c r="CC173" s="28"/>
    </row>
    <row r="174" spans="2:81" ht="17.100000000000001" hidden="1" customHeight="1" outlineLevel="1">
      <c r="B174" s="311"/>
      <c r="C174" s="477"/>
      <c r="D174" s="360"/>
      <c r="E174" s="52" t="s">
        <v>1104</v>
      </c>
      <c r="F174" s="52"/>
      <c r="G174" s="52"/>
      <c r="H174" s="52"/>
      <c r="I174" s="52"/>
      <c r="J174" s="52"/>
      <c r="K174" s="52"/>
      <c r="L174" s="52"/>
      <c r="M174" s="52"/>
      <c r="N174" s="52"/>
      <c r="O174" s="52"/>
      <c r="P174" s="52"/>
      <c r="Q174" s="52"/>
      <c r="R174" s="52" t="s">
        <v>48</v>
      </c>
      <c r="S174" s="52"/>
      <c r="T174" s="52"/>
      <c r="U174" s="52"/>
      <c r="V174" s="52"/>
      <c r="W174" s="52"/>
      <c r="X174" s="52"/>
      <c r="Y174" s="52"/>
      <c r="Z174" s="1782">
        <f>Z43</f>
        <v>0</v>
      </c>
      <c r="AA174" s="1782"/>
      <c r="AB174" s="1782"/>
      <c r="AC174" s="1782"/>
      <c r="AD174" s="1782"/>
      <c r="AE174" s="1782"/>
      <c r="AF174" s="1782"/>
      <c r="AG174" s="1782"/>
      <c r="AH174" s="1782"/>
      <c r="AI174" s="1782"/>
      <c r="AJ174" s="1782"/>
      <c r="AK174" s="52"/>
      <c r="AL174" s="93"/>
      <c r="AM174" s="52"/>
      <c r="AN174" s="52"/>
      <c r="AO174" s="52"/>
      <c r="AP174" s="52"/>
      <c r="AQ174" s="52"/>
      <c r="AR174" s="1782">
        <f>AR43</f>
        <v>0</v>
      </c>
      <c r="AS174" s="1782"/>
      <c r="AT174" s="1782"/>
      <c r="AU174" s="1782"/>
      <c r="AV174" s="1782"/>
      <c r="AW174" s="1782"/>
      <c r="AX174" s="1782"/>
      <c r="AY174" s="1782"/>
      <c r="AZ174" s="1782"/>
      <c r="BA174" s="1782"/>
      <c r="BB174" s="1782"/>
      <c r="BC174" s="52"/>
      <c r="BD174" s="93"/>
      <c r="BE174" s="52"/>
      <c r="BF174" s="52"/>
      <c r="BG174" s="52"/>
      <c r="BH174" s="312"/>
      <c r="BU174" s="28"/>
      <c r="BV174" s="28"/>
      <c r="BW174" s="28"/>
      <c r="BX174" s="28"/>
      <c r="BY174" s="28"/>
      <c r="BZ174" s="28"/>
      <c r="CA174" s="28"/>
      <c r="CB174" s="28"/>
      <c r="CC174" s="28"/>
    </row>
    <row r="175" spans="2:81" ht="17.100000000000001" hidden="1" customHeight="1" outlineLevel="1">
      <c r="B175" s="311"/>
      <c r="C175" s="477"/>
      <c r="D175" s="360"/>
      <c r="E175" s="52" t="s">
        <v>1105</v>
      </c>
      <c r="F175" s="52"/>
      <c r="G175" s="52"/>
      <c r="H175" s="52"/>
      <c r="I175" s="52"/>
      <c r="J175" s="52"/>
      <c r="K175" s="52"/>
      <c r="L175" s="52"/>
      <c r="M175" s="52"/>
      <c r="N175" s="52"/>
      <c r="O175" s="52"/>
      <c r="P175" s="52"/>
      <c r="Q175" s="52"/>
      <c r="R175" s="52" t="s">
        <v>30</v>
      </c>
      <c r="S175" s="52"/>
      <c r="T175" s="52"/>
      <c r="U175" s="52"/>
      <c r="V175" s="52"/>
      <c r="W175" s="52"/>
      <c r="X175" s="52"/>
      <c r="Y175" s="52"/>
      <c r="Z175" s="1799">
        <v>0.5</v>
      </c>
      <c r="AA175" s="1799"/>
      <c r="AB175" s="1799"/>
      <c r="AC175" s="1799"/>
      <c r="AD175" s="1799"/>
      <c r="AE175" s="1799"/>
      <c r="AF175" s="1799"/>
      <c r="AG175" s="1799"/>
      <c r="AH175" s="1799"/>
      <c r="AI175" s="1799"/>
      <c r="AJ175" s="1799"/>
      <c r="AK175" s="52"/>
      <c r="AL175" s="93"/>
      <c r="AM175" s="52"/>
      <c r="AN175" s="52"/>
      <c r="AO175" s="52"/>
      <c r="AP175" s="52"/>
      <c r="AQ175" s="52"/>
      <c r="AR175" s="1799">
        <v>0.5</v>
      </c>
      <c r="AS175" s="1799"/>
      <c r="AT175" s="1799"/>
      <c r="AU175" s="1799"/>
      <c r="AV175" s="1799"/>
      <c r="AW175" s="1799"/>
      <c r="AX175" s="1799"/>
      <c r="AY175" s="1799"/>
      <c r="AZ175" s="1799"/>
      <c r="BA175" s="1799"/>
      <c r="BB175" s="1799"/>
      <c r="BC175" s="52"/>
      <c r="BD175" s="93"/>
      <c r="BE175" s="52"/>
      <c r="BF175" s="52"/>
      <c r="BG175" s="52"/>
      <c r="BH175" s="312"/>
    </row>
    <row r="176" spans="2:81" ht="17.100000000000001" hidden="1" customHeight="1" outlineLevel="1">
      <c r="B176" s="311"/>
      <c r="C176" s="477"/>
      <c r="D176" s="360"/>
      <c r="E176" s="52" t="s">
        <v>1105</v>
      </c>
      <c r="F176" s="52"/>
      <c r="G176" s="52"/>
      <c r="H176" s="52"/>
      <c r="I176" s="52"/>
      <c r="J176" s="52"/>
      <c r="K176" s="52"/>
      <c r="L176" s="52"/>
      <c r="M176" s="52"/>
      <c r="N176" s="52"/>
      <c r="O176" s="52"/>
      <c r="P176" s="52"/>
      <c r="Q176" s="52"/>
      <c r="R176" s="52" t="s">
        <v>48</v>
      </c>
      <c r="S176" s="52"/>
      <c r="T176" s="52"/>
      <c r="U176" s="52"/>
      <c r="V176" s="52"/>
      <c r="W176" s="52"/>
      <c r="X176" s="52"/>
      <c r="Y176" s="52"/>
      <c r="Z176" s="1782">
        <f>Z168*Z175</f>
        <v>0</v>
      </c>
      <c r="AA176" s="1782"/>
      <c r="AB176" s="1782"/>
      <c r="AC176" s="1782"/>
      <c r="AD176" s="1782"/>
      <c r="AE176" s="1782"/>
      <c r="AF176" s="1782"/>
      <c r="AG176" s="1782"/>
      <c r="AH176" s="1782"/>
      <c r="AI176" s="1782"/>
      <c r="AJ176" s="1782"/>
      <c r="AK176" s="52"/>
      <c r="AL176" s="93"/>
      <c r="AM176" s="52"/>
      <c r="AN176" s="52"/>
      <c r="AO176" s="52"/>
      <c r="AP176" s="52"/>
      <c r="AQ176" s="52"/>
      <c r="AR176" s="1782">
        <f>AR168*AR175</f>
        <v>0</v>
      </c>
      <c r="AS176" s="1782"/>
      <c r="AT176" s="1782"/>
      <c r="AU176" s="1782"/>
      <c r="AV176" s="1782"/>
      <c r="AW176" s="1782"/>
      <c r="AX176" s="1782"/>
      <c r="AY176" s="1782"/>
      <c r="AZ176" s="1782"/>
      <c r="BA176" s="1782"/>
      <c r="BB176" s="1782"/>
      <c r="BC176" s="52"/>
      <c r="BD176" s="93"/>
      <c r="BE176" s="52"/>
      <c r="BF176" s="52"/>
      <c r="BG176" s="52"/>
      <c r="BH176" s="312"/>
    </row>
    <row r="177" spans="2:81" s="360" customFormat="1" ht="17.100000000000001" hidden="1" customHeight="1" outlineLevel="1">
      <c r="B177" s="479"/>
      <c r="C177" s="501"/>
      <c r="E177" s="224" t="s">
        <v>323</v>
      </c>
      <c r="F177" s="224"/>
      <c r="G177" s="224"/>
      <c r="H177" s="224"/>
      <c r="I177" s="224"/>
      <c r="J177" s="224"/>
      <c r="K177" s="224"/>
      <c r="L177" s="224"/>
      <c r="M177" s="224"/>
      <c r="N177" s="224"/>
      <c r="O177" s="224"/>
      <c r="P177" s="224"/>
      <c r="Q177" s="224"/>
      <c r="R177" s="224" t="s">
        <v>48</v>
      </c>
      <c r="S177" s="224"/>
      <c r="T177" s="224"/>
      <c r="U177" s="224"/>
      <c r="V177" s="224"/>
      <c r="W177" s="224"/>
      <c r="X177" s="224"/>
      <c r="Y177" s="224"/>
      <c r="Z177" s="1786">
        <f>Z174+Z176</f>
        <v>0</v>
      </c>
      <c r="AA177" s="1786"/>
      <c r="AB177" s="1786"/>
      <c r="AC177" s="1786"/>
      <c r="AD177" s="1786"/>
      <c r="AE177" s="1786"/>
      <c r="AF177" s="1786"/>
      <c r="AG177" s="1786"/>
      <c r="AH177" s="1786"/>
      <c r="AI177" s="1786"/>
      <c r="AJ177" s="1786"/>
      <c r="AK177" s="224"/>
      <c r="AL177" s="375"/>
      <c r="AM177" s="224"/>
      <c r="AN177" s="224"/>
      <c r="AO177" s="224"/>
      <c r="AP177" s="224"/>
      <c r="AQ177" s="224"/>
      <c r="AR177" s="1786">
        <f>AR174+AR176</f>
        <v>0</v>
      </c>
      <c r="AS177" s="1786"/>
      <c r="AT177" s="1786"/>
      <c r="AU177" s="1786"/>
      <c r="AV177" s="1786"/>
      <c r="AW177" s="1786"/>
      <c r="AX177" s="1786"/>
      <c r="AY177" s="1786"/>
      <c r="AZ177" s="1786"/>
      <c r="BA177" s="1786"/>
      <c r="BB177" s="1786"/>
      <c r="BC177" s="224"/>
      <c r="BD177" s="375"/>
      <c r="BE177" s="224"/>
      <c r="BF177" s="224"/>
      <c r="BG177" s="224"/>
      <c r="BH177" s="480"/>
      <c r="BU177" s="28"/>
      <c r="BV177" s="28"/>
      <c r="BW177" s="28"/>
      <c r="BX177" s="28"/>
      <c r="BY177" s="28"/>
      <c r="BZ177" s="28"/>
      <c r="CA177" s="28"/>
      <c r="CB177" s="28"/>
      <c r="CC177" s="28"/>
    </row>
    <row r="178" spans="2:81" hidden="1" outlineLevel="1">
      <c r="D178" s="360"/>
    </row>
    <row r="179" spans="2:81" ht="17.100000000000001" hidden="1" customHeight="1" outlineLevel="1">
      <c r="B179" s="311"/>
      <c r="C179" s="477"/>
      <c r="D179" s="360"/>
      <c r="E179" s="86" t="s">
        <v>1106</v>
      </c>
      <c r="F179" s="52"/>
      <c r="G179" s="52"/>
      <c r="H179" s="52"/>
      <c r="I179" s="52"/>
      <c r="J179" s="52"/>
      <c r="K179" s="52"/>
      <c r="L179" s="52"/>
      <c r="M179" s="52"/>
      <c r="N179" s="52"/>
      <c r="O179" s="52"/>
      <c r="P179" s="52"/>
      <c r="Q179" s="52"/>
      <c r="R179" s="52" t="s">
        <v>48</v>
      </c>
      <c r="S179" s="52"/>
      <c r="T179" s="52"/>
      <c r="U179" s="52"/>
      <c r="V179" s="52"/>
      <c r="W179" s="52"/>
      <c r="X179" s="52"/>
      <c r="Y179" s="52"/>
      <c r="Z179" s="1782">
        <f>MAX(Z168,Z171,Z177)</f>
        <v>0</v>
      </c>
      <c r="AA179" s="1782"/>
      <c r="AB179" s="1782"/>
      <c r="AC179" s="1782"/>
      <c r="AD179" s="1782"/>
      <c r="AE179" s="1782"/>
      <c r="AF179" s="1782"/>
      <c r="AG179" s="1782"/>
      <c r="AH179" s="1782"/>
      <c r="AI179" s="1782"/>
      <c r="AJ179" s="1782"/>
      <c r="AK179" s="52"/>
      <c r="AL179" s="93"/>
      <c r="AM179" s="52"/>
      <c r="AN179" s="52"/>
      <c r="AO179" s="52"/>
      <c r="AP179" s="52"/>
      <c r="AQ179" s="52"/>
      <c r="AR179" s="1782">
        <f>MAX(AR168,AR171,AR177)</f>
        <v>0</v>
      </c>
      <c r="AS179" s="1782"/>
      <c r="AT179" s="1782"/>
      <c r="AU179" s="1782"/>
      <c r="AV179" s="1782"/>
      <c r="AW179" s="1782"/>
      <c r="AX179" s="1782"/>
      <c r="AY179" s="1782"/>
      <c r="AZ179" s="1782"/>
      <c r="BA179" s="1782"/>
      <c r="BB179" s="1782"/>
      <c r="BC179" s="52"/>
      <c r="BD179" s="93"/>
      <c r="BE179" s="52"/>
      <c r="BF179" s="52"/>
      <c r="BG179" s="52"/>
      <c r="BH179" s="312"/>
      <c r="BU179" s="28"/>
      <c r="BV179" s="28"/>
      <c r="BW179" s="28"/>
      <c r="BX179" s="28"/>
      <c r="BY179" s="28"/>
      <c r="BZ179" s="28"/>
      <c r="CA179" s="28"/>
      <c r="CB179" s="28"/>
      <c r="CC179" s="28"/>
    </row>
    <row r="180" spans="2:81" ht="17.100000000000001" hidden="1" customHeight="1" outlineLevel="1">
      <c r="B180" s="52"/>
      <c r="C180" s="477"/>
      <c r="D180" s="360"/>
      <c r="E180" s="86"/>
      <c r="F180" s="52"/>
      <c r="G180" s="52"/>
      <c r="H180" s="52"/>
      <c r="I180" s="52"/>
      <c r="J180" s="52"/>
      <c r="K180" s="52"/>
      <c r="L180" s="52"/>
      <c r="M180" s="52"/>
      <c r="N180" s="52"/>
      <c r="O180" s="52"/>
      <c r="P180" s="52"/>
      <c r="Q180" s="52"/>
      <c r="R180" s="52"/>
      <c r="S180" s="52"/>
      <c r="T180" s="52"/>
      <c r="U180" s="52"/>
      <c r="V180" s="52"/>
      <c r="W180" s="52"/>
      <c r="X180" s="52"/>
      <c r="Y180" s="52"/>
      <c r="Z180" s="447"/>
      <c r="AA180" s="447"/>
      <c r="AB180" s="447"/>
      <c r="AC180" s="447"/>
      <c r="AD180" s="447"/>
      <c r="AE180" s="447"/>
      <c r="AF180" s="447"/>
      <c r="AG180" s="447"/>
      <c r="AH180" s="447"/>
      <c r="AI180" s="447"/>
      <c r="AJ180" s="447"/>
      <c r="AK180" s="52"/>
      <c r="AL180" s="93"/>
      <c r="AM180" s="52"/>
      <c r="AN180" s="52"/>
      <c r="AO180" s="52"/>
      <c r="AP180" s="52"/>
      <c r="AQ180" s="52"/>
      <c r="AR180" s="447"/>
      <c r="AS180" s="447"/>
      <c r="AT180" s="447"/>
      <c r="AU180" s="447"/>
      <c r="AV180" s="447"/>
      <c r="AW180" s="447"/>
      <c r="AX180" s="447"/>
      <c r="AY180" s="447"/>
      <c r="AZ180" s="447"/>
      <c r="BA180" s="447"/>
      <c r="BB180" s="447"/>
      <c r="BC180" s="52"/>
      <c r="BD180" s="93"/>
      <c r="BE180" s="52"/>
      <c r="BF180" s="52"/>
      <c r="BG180" s="52"/>
      <c r="BH180" s="52"/>
    </row>
    <row r="181" spans="2:81" hidden="1" outlineLevel="1">
      <c r="D181" s="360"/>
      <c r="BU181" s="28"/>
      <c r="BV181" s="28"/>
      <c r="BW181" s="28"/>
      <c r="BX181" s="28"/>
      <c r="BY181" s="28"/>
      <c r="BZ181" s="28"/>
      <c r="CA181" s="28"/>
      <c r="CB181" s="28"/>
      <c r="CC181" s="28"/>
    </row>
    <row r="182" spans="2:81" hidden="1" outlineLevel="1">
      <c r="C182" s="477" t="s">
        <v>310</v>
      </c>
      <c r="D182" s="360"/>
      <c r="BU182" s="28"/>
      <c r="BV182" s="28"/>
      <c r="BW182" s="28"/>
      <c r="BX182" s="28"/>
      <c r="BY182" s="28"/>
      <c r="BZ182" s="28"/>
      <c r="CA182" s="28"/>
      <c r="CB182" s="28"/>
      <c r="CC182" s="28"/>
    </row>
    <row r="183" spans="2:81" ht="17.100000000000001" hidden="1" customHeight="1" outlineLevel="1">
      <c r="B183" s="311"/>
      <c r="C183" s="477"/>
      <c r="D183" s="185" t="str">
        <f>X!C215</f>
        <v>Standard-Werte</v>
      </c>
      <c r="E183" s="52"/>
      <c r="F183" s="52"/>
      <c r="G183" s="52"/>
      <c r="H183" s="52"/>
      <c r="I183" s="52"/>
      <c r="J183" s="52"/>
      <c r="K183" s="52"/>
      <c r="L183" s="52"/>
      <c r="M183" s="52"/>
      <c r="N183" s="52"/>
      <c r="O183" s="52"/>
      <c r="P183" s="52"/>
      <c r="Q183" s="52"/>
      <c r="R183" s="52"/>
      <c r="S183" s="52"/>
      <c r="T183" s="52"/>
      <c r="U183" s="52"/>
      <c r="V183" s="52"/>
      <c r="W183" s="52"/>
      <c r="X183" s="52"/>
      <c r="Y183" s="52"/>
      <c r="Z183" s="1782"/>
      <c r="AA183" s="1782"/>
      <c r="AB183" s="1782"/>
      <c r="AC183" s="1782"/>
      <c r="AD183" s="1782"/>
      <c r="AE183" s="1782"/>
      <c r="AF183" s="1782"/>
      <c r="AG183" s="1782"/>
      <c r="AH183" s="1782"/>
      <c r="AI183" s="1782"/>
      <c r="AJ183" s="1782"/>
      <c r="AK183" s="52"/>
      <c r="AL183" s="93"/>
      <c r="AM183" s="52"/>
      <c r="AN183" s="52"/>
      <c r="AO183" s="52"/>
      <c r="AP183" s="52"/>
      <c r="AQ183" s="52"/>
      <c r="AR183" s="1782"/>
      <c r="AS183" s="1782"/>
      <c r="AT183" s="1782"/>
      <c r="AU183" s="1782"/>
      <c r="AV183" s="1782"/>
      <c r="AW183" s="1782"/>
      <c r="AX183" s="1782"/>
      <c r="AY183" s="1782"/>
      <c r="AZ183" s="1782"/>
      <c r="BA183" s="1782"/>
      <c r="BB183" s="1782"/>
      <c r="BC183" s="52"/>
      <c r="BD183" s="93"/>
      <c r="BE183" s="52"/>
      <c r="BF183" s="52"/>
      <c r="BG183" s="52"/>
      <c r="BH183" s="312"/>
      <c r="BU183" s="28"/>
      <c r="BV183" s="28"/>
      <c r="BW183" s="28"/>
      <c r="BX183" s="28"/>
      <c r="BY183" s="28"/>
      <c r="BZ183" s="28"/>
      <c r="CA183" s="28"/>
      <c r="CB183" s="28"/>
      <c r="CC183" s="28"/>
    </row>
    <row r="184" spans="2:81" ht="17.100000000000001" hidden="1" customHeight="1" outlineLevel="1">
      <c r="B184" s="311"/>
      <c r="C184" s="477"/>
      <c r="D184" s="185" t="str">
        <f>X!C262</f>
        <v>Vollservice (inkl. Material)</v>
      </c>
      <c r="E184" s="52"/>
      <c r="F184" s="52"/>
      <c r="G184" s="52"/>
      <c r="H184" s="52"/>
      <c r="I184" s="52"/>
      <c r="J184" s="52"/>
      <c r="K184" s="52"/>
      <c r="L184" s="52"/>
      <c r="M184" s="52"/>
      <c r="N184" s="52"/>
      <c r="O184" s="52"/>
      <c r="P184" s="52"/>
      <c r="Q184" s="52"/>
      <c r="R184" s="52"/>
      <c r="S184" s="52"/>
      <c r="T184" s="52"/>
      <c r="U184" s="52"/>
      <c r="V184" s="52"/>
      <c r="W184" s="52"/>
      <c r="X184" s="52"/>
      <c r="Y184" s="52"/>
      <c r="Z184" s="1800"/>
      <c r="AA184" s="1800"/>
      <c r="AB184" s="1800"/>
      <c r="AC184" s="1800"/>
      <c r="AD184" s="1800"/>
      <c r="AE184" s="1800"/>
      <c r="AF184" s="1800"/>
      <c r="AG184" s="1800"/>
      <c r="AH184" s="1800"/>
      <c r="AI184" s="1800"/>
      <c r="AJ184" s="1800"/>
      <c r="AK184" s="52"/>
      <c r="AL184" s="93"/>
      <c r="AM184" s="52"/>
      <c r="AN184" s="52"/>
      <c r="AO184" s="52"/>
      <c r="AP184" s="52"/>
      <c r="AQ184" s="52"/>
      <c r="AR184" s="1800"/>
      <c r="AS184" s="1800"/>
      <c r="AT184" s="1800"/>
      <c r="AU184" s="1800"/>
      <c r="AV184" s="1800"/>
      <c r="AW184" s="1800"/>
      <c r="AX184" s="1800"/>
      <c r="AY184" s="1800"/>
      <c r="AZ184" s="1800"/>
      <c r="BA184" s="1800"/>
      <c r="BB184" s="1800"/>
      <c r="BC184" s="52"/>
      <c r="BD184" s="93"/>
      <c r="BE184" s="52"/>
      <c r="BF184" s="52"/>
      <c r="BG184" s="52"/>
      <c r="BH184" s="312"/>
      <c r="BU184" s="28"/>
      <c r="BV184" s="28"/>
      <c r="BW184" s="28"/>
      <c r="BX184" s="28"/>
      <c r="BY184" s="28"/>
      <c r="BZ184" s="28"/>
      <c r="CA184" s="28"/>
      <c r="CB184" s="28"/>
      <c r="CC184" s="28"/>
    </row>
    <row r="185" spans="2:81" ht="17.100000000000001" hidden="1" customHeight="1" outlineLevel="1">
      <c r="B185" s="311"/>
      <c r="C185" s="477"/>
      <c r="D185" s="185" t="str">
        <f>X!C193</f>
        <v>Präventiv-Wartung &amp; Material</v>
      </c>
      <c r="E185" s="52"/>
      <c r="F185" s="52"/>
      <c r="G185" s="52"/>
      <c r="H185" s="52"/>
      <c r="I185" s="52"/>
      <c r="J185" s="52"/>
      <c r="K185" s="52"/>
      <c r="L185" s="52"/>
      <c r="M185" s="52"/>
      <c r="N185" s="52"/>
      <c r="O185" s="52"/>
      <c r="P185" s="52"/>
      <c r="Q185" s="52"/>
      <c r="R185" s="52"/>
      <c r="S185" s="52"/>
      <c r="T185" s="52"/>
      <c r="U185" s="52"/>
      <c r="V185" s="52"/>
      <c r="W185" s="52"/>
      <c r="X185" s="52"/>
      <c r="Y185" s="52"/>
      <c r="Z185" s="1782"/>
      <c r="AA185" s="1782"/>
      <c r="AB185" s="1782"/>
      <c r="AC185" s="1782"/>
      <c r="AD185" s="1782"/>
      <c r="AE185" s="1782"/>
      <c r="AF185" s="1782"/>
      <c r="AG185" s="1782"/>
      <c r="AH185" s="1782"/>
      <c r="AI185" s="1782"/>
      <c r="AJ185" s="1782"/>
      <c r="AK185" s="52"/>
      <c r="AL185" s="93"/>
      <c r="AM185" s="52"/>
      <c r="AN185" s="52"/>
      <c r="AO185" s="52"/>
      <c r="AP185" s="52"/>
      <c r="AQ185" s="52"/>
      <c r="AR185" s="1782"/>
      <c r="AS185" s="1782"/>
      <c r="AT185" s="1782"/>
      <c r="AU185" s="1782"/>
      <c r="AV185" s="1782"/>
      <c r="AW185" s="1782"/>
      <c r="AX185" s="1782"/>
      <c r="AY185" s="1782"/>
      <c r="AZ185" s="1782"/>
      <c r="BA185" s="1782"/>
      <c r="BB185" s="1782"/>
      <c r="BC185" s="52"/>
      <c r="BD185" s="93"/>
      <c r="BE185" s="52"/>
      <c r="BF185" s="52"/>
      <c r="BG185" s="52"/>
      <c r="BH185" s="312"/>
      <c r="BU185" s="28"/>
      <c r="BV185" s="28"/>
      <c r="BW185" s="28"/>
      <c r="BX185" s="28"/>
      <c r="BY185" s="28"/>
      <c r="BZ185" s="28"/>
      <c r="CA185" s="28"/>
      <c r="CB185" s="28"/>
      <c r="CC185" s="28"/>
    </row>
    <row r="186" spans="2:81" ht="6.95" hidden="1" customHeight="1" outlineLevel="1">
      <c r="B186" s="311"/>
      <c r="C186" s="477"/>
      <c r="D186" s="360"/>
      <c r="E186" s="52"/>
      <c r="F186" s="52"/>
      <c r="G186" s="52"/>
      <c r="H186" s="52"/>
      <c r="I186" s="52"/>
      <c r="J186" s="52"/>
      <c r="K186" s="52"/>
      <c r="L186" s="52"/>
      <c r="M186" s="52"/>
      <c r="N186" s="52"/>
      <c r="O186" s="52"/>
      <c r="P186" s="52"/>
      <c r="Q186" s="52"/>
      <c r="R186" s="52"/>
      <c r="S186" s="52"/>
      <c r="T186" s="52"/>
      <c r="U186" s="52"/>
      <c r="V186" s="52"/>
      <c r="W186" s="52"/>
      <c r="X186" s="52"/>
      <c r="Y186" s="52"/>
      <c r="Z186" s="447"/>
      <c r="AA186" s="447"/>
      <c r="AB186" s="447"/>
      <c r="AC186" s="447"/>
      <c r="AD186" s="447"/>
      <c r="AE186" s="447"/>
      <c r="AF186" s="447"/>
      <c r="AG186" s="447"/>
      <c r="AH186" s="447"/>
      <c r="AI186" s="447"/>
      <c r="AJ186" s="447"/>
      <c r="AK186" s="52"/>
      <c r="AL186" s="93"/>
      <c r="AM186" s="52"/>
      <c r="AN186" s="52"/>
      <c r="AO186" s="52"/>
      <c r="AP186" s="52"/>
      <c r="AQ186" s="52"/>
      <c r="AR186" s="447"/>
      <c r="AS186" s="447"/>
      <c r="AT186" s="447"/>
      <c r="AU186" s="447"/>
      <c r="AV186" s="447"/>
      <c r="AW186" s="447"/>
      <c r="AX186" s="447"/>
      <c r="AY186" s="447"/>
      <c r="AZ186" s="447"/>
      <c r="BA186" s="447"/>
      <c r="BB186" s="447"/>
      <c r="BC186" s="52"/>
      <c r="BD186" s="93"/>
      <c r="BE186" s="52"/>
      <c r="BF186" s="52"/>
      <c r="BG186" s="52"/>
      <c r="BH186" s="312"/>
      <c r="BU186" s="28"/>
      <c r="BV186" s="28"/>
      <c r="BW186" s="28"/>
      <c r="BX186" s="28"/>
      <c r="BY186" s="28"/>
      <c r="BZ186" s="28"/>
      <c r="CA186" s="28"/>
      <c r="CB186" s="28"/>
      <c r="CC186" s="28"/>
    </row>
    <row r="187" spans="2:81" ht="17.100000000000001" hidden="1" customHeight="1" outlineLevel="1">
      <c r="B187" s="311"/>
      <c r="C187" s="477" t="s">
        <v>321</v>
      </c>
      <c r="D187" s="52"/>
      <c r="E187" s="52"/>
      <c r="F187" s="52"/>
      <c r="G187" s="52"/>
      <c r="H187" s="52"/>
      <c r="I187" s="52"/>
      <c r="J187" s="52"/>
      <c r="K187" s="52"/>
      <c r="L187" s="52"/>
      <c r="M187" s="52"/>
      <c r="N187" s="52"/>
      <c r="O187" s="52"/>
      <c r="P187" s="52"/>
      <c r="Q187" s="52"/>
      <c r="R187" s="52"/>
      <c r="S187" s="52"/>
      <c r="T187" s="52"/>
      <c r="U187" s="52"/>
      <c r="V187" s="52"/>
      <c r="W187" s="52"/>
      <c r="X187" s="52"/>
      <c r="Y187" s="52"/>
      <c r="Z187" s="1782" t="str">
        <f>IF(Z179=0,"--",IF(Z179=Z171,$D184,IF(Z179=Z177,$D185,IF(Z179=Z168,$D183,""))))</f>
        <v>--</v>
      </c>
      <c r="AA187" s="1782"/>
      <c r="AB187" s="1782"/>
      <c r="AC187" s="1782"/>
      <c r="AD187" s="1782"/>
      <c r="AE187" s="1782"/>
      <c r="AF187" s="1782"/>
      <c r="AG187" s="1782"/>
      <c r="AH187" s="1782"/>
      <c r="AI187" s="1782"/>
      <c r="AJ187" s="1782"/>
      <c r="AK187" s="52"/>
      <c r="AL187" s="93"/>
      <c r="AM187" s="52"/>
      <c r="AN187" s="52"/>
      <c r="AO187" s="52"/>
      <c r="AP187" s="52"/>
      <c r="AQ187" s="52"/>
      <c r="AR187" s="1782" t="str">
        <f>IF(AR179=0,"--",IF(AR179=AR171,$D184,IF(AR179=AR177,$D185,IF(AR179=AR168,$D183,""))))</f>
        <v>--</v>
      </c>
      <c r="AS187" s="1782"/>
      <c r="AT187" s="1782"/>
      <c r="AU187" s="1782"/>
      <c r="AV187" s="1782"/>
      <c r="AW187" s="1782"/>
      <c r="AX187" s="1782"/>
      <c r="AY187" s="1782"/>
      <c r="AZ187" s="1782"/>
      <c r="BA187" s="1782"/>
      <c r="BB187" s="1782"/>
      <c r="BC187" s="52"/>
      <c r="BD187" s="93"/>
      <c r="BE187" s="52"/>
      <c r="BF187" s="52"/>
      <c r="BG187" s="52"/>
      <c r="BH187" s="312"/>
      <c r="BU187" s="28"/>
      <c r="BV187" s="28"/>
      <c r="BW187" s="28"/>
      <c r="BX187" s="28"/>
      <c r="BY187" s="28"/>
      <c r="BZ187" s="28"/>
      <c r="CA187" s="28"/>
      <c r="CB187" s="28"/>
      <c r="CC187" s="28"/>
    </row>
    <row r="188" spans="2:81" ht="17.100000000000001" hidden="1" customHeight="1" outlineLevel="1">
      <c r="B188" s="311"/>
      <c r="C188" s="477" t="s">
        <v>322</v>
      </c>
      <c r="D188" s="52"/>
      <c r="E188" s="52"/>
      <c r="F188" s="52"/>
      <c r="G188" s="52"/>
      <c r="H188" s="52"/>
      <c r="I188" s="52"/>
      <c r="J188" s="52"/>
      <c r="K188" s="52"/>
      <c r="L188" s="52"/>
      <c r="M188" s="52"/>
      <c r="N188" s="52"/>
      <c r="O188" s="52"/>
      <c r="P188" s="52"/>
      <c r="Q188" s="52"/>
      <c r="R188" s="1798">
        <f>IF(Z188+AR188&gt;0,1,0)</f>
        <v>0</v>
      </c>
      <c r="S188" s="1798"/>
      <c r="T188" s="52"/>
      <c r="U188" s="52"/>
      <c r="V188" s="52"/>
      <c r="W188" s="52"/>
      <c r="X188" s="52"/>
      <c r="Y188" s="52"/>
      <c r="Z188" s="1801">
        <f>IF(Z187=D185,1,0)</f>
        <v>0</v>
      </c>
      <c r="AA188" s="1802"/>
      <c r="AB188" s="1802"/>
      <c r="AC188" s="1802"/>
      <c r="AD188" s="1802"/>
      <c r="AE188" s="1802"/>
      <c r="AF188" s="1802"/>
      <c r="AG188" s="1802"/>
      <c r="AH188" s="1802"/>
      <c r="AI188" s="1802"/>
      <c r="AJ188" s="1802"/>
      <c r="AK188" s="52"/>
      <c r="AL188" s="93"/>
      <c r="AM188" s="52"/>
      <c r="AN188" s="52"/>
      <c r="AO188" s="52"/>
      <c r="AP188" s="52"/>
      <c r="AQ188" s="52"/>
      <c r="AR188" s="1801">
        <f>IF(AR187=D185,1,0)</f>
        <v>0</v>
      </c>
      <c r="AS188" s="1802"/>
      <c r="AT188" s="1802"/>
      <c r="AU188" s="1802"/>
      <c r="AV188" s="1802"/>
      <c r="AW188" s="1802"/>
      <c r="AX188" s="1802"/>
      <c r="AY188" s="1802"/>
      <c r="AZ188" s="1802"/>
      <c r="BA188" s="1802"/>
      <c r="BB188" s="1802"/>
      <c r="BC188" s="52"/>
      <c r="BD188" s="93"/>
      <c r="BE188" s="52"/>
      <c r="BF188" s="52"/>
      <c r="BG188" s="52"/>
      <c r="BH188" s="312"/>
      <c r="BU188" s="28"/>
      <c r="BV188" s="28"/>
      <c r="BW188" s="28"/>
      <c r="BX188" s="28"/>
      <c r="BY188" s="28"/>
      <c r="BZ188" s="28"/>
      <c r="CA188" s="28"/>
      <c r="CB188" s="28"/>
      <c r="CC188" s="28"/>
    </row>
    <row r="189" spans="2:81" ht="17.100000000000001" hidden="1" customHeight="1" outlineLevel="1">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U189" s="28"/>
      <c r="BV189" s="28"/>
      <c r="BW189" s="28"/>
      <c r="BX189" s="28"/>
      <c r="BY189" s="28"/>
      <c r="BZ189" s="28"/>
      <c r="CA189" s="28"/>
      <c r="CB189" s="28"/>
      <c r="CC189" s="28"/>
    </row>
    <row r="190" spans="2:81" ht="17.100000000000001" hidden="1" customHeight="1" outlineLevel="1">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U190" s="28"/>
      <c r="BV190" s="28"/>
      <c r="BW190" s="28"/>
      <c r="BX190" s="28"/>
      <c r="BY190" s="28"/>
      <c r="BZ190" s="28"/>
      <c r="CA190" s="28"/>
      <c r="CB190" s="28"/>
      <c r="CC190" s="28"/>
    </row>
    <row r="191" spans="2:81" ht="17.100000000000001" hidden="1" customHeight="1" outlineLevel="1">
      <c r="B191" s="52"/>
      <c r="C191" s="52"/>
      <c r="D191" s="52"/>
      <c r="E191" s="52"/>
      <c r="F191" s="52"/>
      <c r="G191" s="52"/>
      <c r="H191" s="52"/>
      <c r="I191" s="52"/>
      <c r="J191" s="52"/>
      <c r="K191" s="52"/>
      <c r="L191" s="52"/>
      <c r="M191" s="52"/>
      <c r="N191" s="52"/>
      <c r="O191" s="52"/>
      <c r="P191" s="52"/>
      <c r="Q191" s="52"/>
      <c r="R191" s="52"/>
      <c r="S191" s="52"/>
      <c r="T191" s="52"/>
      <c r="U191" s="52"/>
      <c r="V191" s="52"/>
      <c r="W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U191" s="28"/>
      <c r="BV191" s="28"/>
      <c r="BW191" s="28"/>
      <c r="BX191" s="28"/>
      <c r="BY191" s="28"/>
      <c r="BZ191" s="28"/>
      <c r="CA191" s="28"/>
      <c r="CB191" s="28"/>
      <c r="CC191" s="28"/>
    </row>
    <row r="192" spans="2:81" ht="17.100000000000001" hidden="1" customHeight="1" outlineLevel="1">
      <c r="C192" s="499" t="s">
        <v>875</v>
      </c>
      <c r="D192" s="74"/>
      <c r="E192" s="74"/>
      <c r="F192" s="74"/>
      <c r="G192" s="74"/>
      <c r="H192" s="74"/>
      <c r="I192" s="74"/>
      <c r="J192" s="74"/>
      <c r="K192" s="74"/>
      <c r="L192" s="74"/>
      <c r="M192" s="74"/>
      <c r="N192" s="74" t="s">
        <v>876</v>
      </c>
      <c r="P192" s="74"/>
      <c r="Q192" s="52"/>
      <c r="R192" s="74" t="s">
        <v>888</v>
      </c>
      <c r="S192" s="74"/>
      <c r="T192" s="74"/>
      <c r="U192" s="74"/>
      <c r="V192" s="74"/>
      <c r="X192" s="1025" t="str">
        <f>AA192</f>
        <v/>
      </c>
      <c r="Y192" s="74"/>
      <c r="Z192" s="52"/>
      <c r="AA192" s="1777" t="str">
        <f>N48</f>
        <v/>
      </c>
      <c r="AB192" s="1778"/>
      <c r="AC192" s="1778"/>
      <c r="AD192" s="1778"/>
      <c r="AE192" s="1778" t="s">
        <v>24</v>
      </c>
      <c r="AG192" s="1777" t="str">
        <f>AM192</f>
        <v/>
      </c>
      <c r="AH192" s="1778"/>
      <c r="AI192" s="1778"/>
      <c r="AJ192" s="1778"/>
      <c r="AK192" s="1778" t="s">
        <v>24</v>
      </c>
      <c r="AL192" s="52"/>
      <c r="AM192" s="1779" t="str">
        <f>AA192</f>
        <v/>
      </c>
      <c r="AN192" s="1780"/>
      <c r="AO192" s="1780"/>
      <c r="AP192" s="1780"/>
      <c r="AQ192" s="1780" t="s">
        <v>24</v>
      </c>
      <c r="AR192" s="52"/>
      <c r="AS192" s="1779" t="str">
        <f>AG192</f>
        <v/>
      </c>
      <c r="AT192" s="1780"/>
      <c r="AU192" s="1780"/>
      <c r="AV192" s="1780"/>
      <c r="AW192" s="1780" t="s">
        <v>24</v>
      </c>
      <c r="AX192" s="52"/>
      <c r="AY192" s="1779" t="str">
        <f>AM192</f>
        <v/>
      </c>
      <c r="AZ192" s="1780"/>
      <c r="BA192" s="1780"/>
      <c r="BB192" s="1780"/>
      <c r="BC192" s="1780" t="s">
        <v>24</v>
      </c>
      <c r="BD192" s="52"/>
      <c r="BE192" s="52"/>
      <c r="BF192" s="1235" t="s">
        <v>1083</v>
      </c>
      <c r="BG192" s="1236"/>
      <c r="BH192" s="1236"/>
      <c r="BI192" s="1236"/>
      <c r="BJ192" s="1236"/>
      <c r="BL192" s="52"/>
    </row>
    <row r="193" spans="2:81" ht="6.95" hidden="1" customHeight="1" outlineLevel="1">
      <c r="B193" s="311"/>
      <c r="C193" s="790"/>
      <c r="D193" s="360"/>
      <c r="E193" s="52"/>
      <c r="F193" s="52"/>
      <c r="G193" s="52"/>
      <c r="H193" s="52"/>
      <c r="I193" s="52"/>
      <c r="J193" s="52"/>
      <c r="K193" s="52"/>
      <c r="L193" s="52"/>
      <c r="M193" s="52"/>
      <c r="N193" s="52"/>
      <c r="P193" s="52"/>
      <c r="Q193" s="52"/>
      <c r="R193" s="52"/>
      <c r="S193" s="52"/>
      <c r="T193" s="52"/>
      <c r="U193" s="52"/>
      <c r="V193" s="52"/>
      <c r="X193" s="52"/>
      <c r="Y193" s="52"/>
      <c r="Z193" s="52"/>
      <c r="AA193" s="805"/>
      <c r="AB193" s="805"/>
      <c r="AC193" s="805"/>
      <c r="AD193" s="805"/>
      <c r="AE193" s="805"/>
      <c r="AG193" s="805"/>
      <c r="AH193" s="805"/>
      <c r="AI193" s="805"/>
      <c r="AJ193" s="805"/>
      <c r="AK193" s="805"/>
      <c r="AL193" s="52"/>
      <c r="AM193" s="806"/>
      <c r="AN193" s="806"/>
      <c r="AO193" s="806"/>
      <c r="AP193" s="806"/>
      <c r="AQ193" s="790"/>
      <c r="AR193" s="52"/>
      <c r="AS193" s="806"/>
      <c r="AT193" s="806"/>
      <c r="AU193" s="806"/>
      <c r="AV193" s="806"/>
      <c r="AW193" s="790"/>
      <c r="AX193" s="52"/>
      <c r="AY193" s="806"/>
      <c r="AZ193" s="806"/>
      <c r="BA193" s="806"/>
      <c r="BB193" s="806"/>
      <c r="BC193" s="790"/>
      <c r="BD193" s="52"/>
      <c r="BE193" s="52"/>
      <c r="BF193" s="52"/>
      <c r="BG193" s="52"/>
      <c r="BH193" s="52"/>
      <c r="BI193" s="52"/>
      <c r="BJ193" s="52"/>
      <c r="BL193" s="52"/>
      <c r="BU193" s="28"/>
      <c r="BV193" s="28"/>
      <c r="BW193" s="28"/>
      <c r="BX193" s="28"/>
      <c r="BY193" s="28"/>
      <c r="BZ193" s="28"/>
      <c r="CA193" s="28"/>
      <c r="CB193" s="28"/>
      <c r="CC193" s="28"/>
    </row>
    <row r="194" spans="2:81" ht="17.100000000000001" hidden="1" customHeight="1" outlineLevel="1">
      <c r="C194" s="499"/>
      <c r="D194" s="74"/>
      <c r="E194" s="74"/>
      <c r="F194" s="74"/>
      <c r="G194" s="74"/>
      <c r="H194" s="74"/>
      <c r="I194" s="74"/>
      <c r="J194" s="74"/>
      <c r="K194" s="74"/>
      <c r="L194" s="74"/>
      <c r="M194" s="74"/>
      <c r="N194" s="74"/>
      <c r="O194" s="74"/>
      <c r="P194" s="74"/>
      <c r="Q194" s="52"/>
      <c r="R194" s="74" t="s">
        <v>889</v>
      </c>
      <c r="S194" s="74"/>
      <c r="T194" s="1245" t="s">
        <v>1081</v>
      </c>
      <c r="U194" s="1817" t="s">
        <v>890</v>
      </c>
      <c r="V194" s="1817"/>
      <c r="X194" s="74" t="s">
        <v>888</v>
      </c>
      <c r="Y194" s="74"/>
      <c r="Z194" s="52"/>
      <c r="AA194" s="807" t="s">
        <v>876</v>
      </c>
      <c r="AB194" s="808"/>
      <c r="AC194" s="808"/>
      <c r="AD194" s="808"/>
      <c r="AE194" s="808"/>
      <c r="AG194" s="807" t="s">
        <v>888</v>
      </c>
      <c r="AH194" s="808"/>
      <c r="AI194" s="808"/>
      <c r="AJ194" s="808"/>
      <c r="AK194" s="808"/>
      <c r="AL194" s="52"/>
      <c r="AM194" s="774" t="s">
        <v>990</v>
      </c>
      <c r="AN194" s="809"/>
      <c r="AO194" s="809"/>
      <c r="AP194" s="809"/>
      <c r="AQ194" s="809"/>
      <c r="AR194" s="52"/>
      <c r="AS194" s="774" t="s">
        <v>891</v>
      </c>
      <c r="AT194" s="809"/>
      <c r="AU194" s="809"/>
      <c r="AV194" s="809"/>
      <c r="AW194" s="809"/>
      <c r="AX194" s="52"/>
      <c r="AY194" s="774" t="s">
        <v>892</v>
      </c>
      <c r="AZ194" s="809"/>
      <c r="BA194" s="809"/>
      <c r="BB194" s="809"/>
      <c r="BC194" s="809"/>
      <c r="BD194" s="52"/>
      <c r="BE194" s="52"/>
      <c r="BF194" s="52"/>
      <c r="BG194" s="52"/>
      <c r="BH194" s="52"/>
      <c r="BI194" s="52"/>
      <c r="BJ194" s="52"/>
      <c r="BL194" s="52"/>
    </row>
    <row r="195" spans="2:81" ht="6.95" hidden="1" customHeight="1" outlineLevel="1">
      <c r="B195" s="311"/>
      <c r="C195" s="790"/>
      <c r="D195" s="360"/>
      <c r="E195" s="52"/>
      <c r="F195" s="52"/>
      <c r="G195" s="52"/>
      <c r="H195" s="52"/>
      <c r="I195" s="52"/>
      <c r="J195" s="52"/>
      <c r="K195" s="52"/>
      <c r="L195" s="52"/>
      <c r="M195" s="52"/>
      <c r="N195" s="52"/>
      <c r="P195" s="52"/>
      <c r="Q195" s="52"/>
      <c r="R195" s="52"/>
      <c r="S195" s="52"/>
      <c r="T195" s="52"/>
      <c r="U195" s="52"/>
      <c r="V195" s="52"/>
      <c r="X195" s="52"/>
      <c r="Y195" s="52"/>
      <c r="Z195" s="52"/>
      <c r="AA195" s="804"/>
      <c r="AB195" s="804"/>
      <c r="AC195" s="804"/>
      <c r="AD195" s="804"/>
      <c r="AE195" s="804"/>
      <c r="AG195" s="804"/>
      <c r="AH195" s="804"/>
      <c r="AI195" s="804"/>
      <c r="AJ195" s="804"/>
      <c r="AK195" s="804"/>
      <c r="AL195" s="52"/>
      <c r="AM195" s="804"/>
      <c r="AN195" s="804"/>
      <c r="AO195" s="804"/>
      <c r="AP195" s="804"/>
      <c r="AQ195" s="52"/>
      <c r="AR195" s="52"/>
      <c r="AS195" s="804"/>
      <c r="AT195" s="804"/>
      <c r="AU195" s="804"/>
      <c r="AV195" s="804"/>
      <c r="AW195" s="52"/>
      <c r="AX195" s="52"/>
      <c r="AY195" s="804"/>
      <c r="AZ195" s="804"/>
      <c r="BA195" s="804"/>
      <c r="BB195" s="804"/>
      <c r="BC195" s="52"/>
      <c r="BD195" s="52"/>
      <c r="BE195" s="52"/>
      <c r="BF195" s="52"/>
      <c r="BG195" s="52"/>
      <c r="BH195" s="52"/>
      <c r="BI195" s="52"/>
      <c r="BJ195" s="52"/>
      <c r="BL195" s="52"/>
      <c r="BU195" s="28"/>
      <c r="BV195" s="28"/>
      <c r="BW195" s="28"/>
      <c r="BX195" s="28"/>
      <c r="BY195" s="28"/>
      <c r="BZ195" s="28"/>
      <c r="CA195" s="28"/>
      <c r="CB195" s="28"/>
      <c r="CC195" s="28"/>
    </row>
    <row r="196" spans="2:81" ht="17.100000000000001" hidden="1" customHeight="1" outlineLevel="1">
      <c r="C196" s="1066" t="str">
        <f>X!C367</f>
        <v>Ölheizung (Heizöl EL)</v>
      </c>
      <c r="D196" s="36"/>
      <c r="E196" s="36"/>
      <c r="F196" s="36"/>
      <c r="G196" s="36"/>
      <c r="H196" s="36"/>
      <c r="I196" s="36" t="str">
        <f>X!C375</f>
        <v>Heizölpreis</v>
      </c>
      <c r="J196" s="36"/>
      <c r="L196" s="36"/>
      <c r="M196" s="36"/>
      <c r="N196" s="823" t="str">
        <f>X!C382</f>
        <v>Fr./100 Liter</v>
      </c>
      <c r="O196" s="1024"/>
      <c r="P196" s="823"/>
      <c r="Q196" s="52"/>
      <c r="R196" s="1735">
        <v>60</v>
      </c>
      <c r="S196" s="1735"/>
      <c r="T196" s="1243">
        <f>(R196+U196)/2</f>
        <v>130</v>
      </c>
      <c r="U196" s="1735">
        <v>200</v>
      </c>
      <c r="V196" s="1735"/>
      <c r="W196" s="965"/>
      <c r="X196" s="1735">
        <f t="shared" ref="X196:X202" si="1">IF(C196=AA$192,IF(N$50="",T196,N$50),0)</f>
        <v>0</v>
      </c>
      <c r="Y196" s="1735"/>
      <c r="Z196" s="52"/>
      <c r="AA196" s="1735" t="str">
        <f t="shared" ref="AA196:AA201" si="2">IF(C196=AA$192,N196,"")</f>
        <v/>
      </c>
      <c r="AB196" s="1735"/>
      <c r="AC196" s="1735"/>
      <c r="AD196" s="1735"/>
      <c r="AE196" s="1735">
        <v>0</v>
      </c>
      <c r="AG196" s="1735" t="str">
        <f>IF(C196=AG$192,I196,"")</f>
        <v/>
      </c>
      <c r="AH196" s="1735"/>
      <c r="AI196" s="1735"/>
      <c r="AJ196" s="1735"/>
      <c r="AK196" s="1735">
        <v>0</v>
      </c>
      <c r="AL196" s="52"/>
      <c r="AM196" s="1803" t="str">
        <f>IF(C196=AM$192,X196*100/100/BF196,"")</f>
        <v/>
      </c>
      <c r="AN196" s="1803"/>
      <c r="AO196" s="1803"/>
      <c r="AP196" s="1803"/>
      <c r="AQ196" s="1803">
        <v>0</v>
      </c>
      <c r="AR196" s="52"/>
      <c r="AS196" s="1804" t="str">
        <f>IF(C196=AS$192,R196,"")</f>
        <v/>
      </c>
      <c r="AT196" s="1804"/>
      <c r="AU196" s="1804"/>
      <c r="AV196" s="1804"/>
      <c r="AW196" s="1804">
        <v>0</v>
      </c>
      <c r="AX196" s="810"/>
      <c r="AY196" s="1804" t="str">
        <f>IF(C196=AY$192,U196,"")</f>
        <v/>
      </c>
      <c r="AZ196" s="1804"/>
      <c r="BA196" s="1804"/>
      <c r="BB196" s="1804"/>
      <c r="BC196" s="1804">
        <v>0</v>
      </c>
      <c r="BD196" s="52"/>
      <c r="BE196" s="52"/>
      <c r="BF196" s="1814">
        <v>10</v>
      </c>
      <c r="BG196" s="1814"/>
      <c r="BH196" s="1814"/>
      <c r="BI196" s="31" t="s">
        <v>991</v>
      </c>
      <c r="BJ196" s="52"/>
      <c r="BL196" s="52"/>
    </row>
    <row r="197" spans="2:81" ht="17.100000000000001" hidden="1" customHeight="1" outlineLevel="1">
      <c r="C197" s="1066" t="str">
        <f>X!C368</f>
        <v>Erdgas-Heizung</v>
      </c>
      <c r="D197" s="82"/>
      <c r="E197" s="82"/>
      <c r="F197" s="82"/>
      <c r="G197" s="82"/>
      <c r="H197" s="82"/>
      <c r="I197" s="36" t="str">
        <f>X!C376</f>
        <v>Erdgaspreis</v>
      </c>
      <c r="J197" s="82"/>
      <c r="L197" s="82"/>
      <c r="M197" s="82"/>
      <c r="N197" s="36" t="str">
        <f>X!C294</f>
        <v>Rp./kWh</v>
      </c>
      <c r="P197" s="82"/>
      <c r="Q197" s="52"/>
      <c r="R197" s="1734">
        <v>3</v>
      </c>
      <c r="S197" s="1734"/>
      <c r="T197" s="1243">
        <f t="shared" ref="T197:T202" si="3">(R197+U197)/2</f>
        <v>7.5</v>
      </c>
      <c r="U197" s="1734">
        <v>12</v>
      </c>
      <c r="V197" s="1734"/>
      <c r="W197" s="965"/>
      <c r="X197" s="1735">
        <f t="shared" si="1"/>
        <v>0</v>
      </c>
      <c r="Y197" s="1735"/>
      <c r="Z197" s="52"/>
      <c r="AA197" s="1735" t="str">
        <f t="shared" si="2"/>
        <v/>
      </c>
      <c r="AB197" s="1735"/>
      <c r="AC197" s="1735"/>
      <c r="AD197" s="1735"/>
      <c r="AE197" s="1735">
        <v>0</v>
      </c>
      <c r="AG197" s="1735" t="str">
        <f t="shared" ref="AG197:AG202" si="4">IF(C197=AG$192,I197,"")</f>
        <v/>
      </c>
      <c r="AH197" s="1735"/>
      <c r="AI197" s="1735"/>
      <c r="AJ197" s="1735"/>
      <c r="AK197" s="1735">
        <v>0</v>
      </c>
      <c r="AL197" s="52"/>
      <c r="AM197" s="1806" t="str">
        <f>IF(C197=AM$192,X197,"")</f>
        <v/>
      </c>
      <c r="AN197" s="1806"/>
      <c r="AO197" s="1806"/>
      <c r="AP197" s="1806"/>
      <c r="AQ197" s="1806">
        <v>0</v>
      </c>
      <c r="AR197" s="52"/>
      <c r="AS197" s="1804" t="str">
        <f t="shared" ref="AS197:AS202" si="5">IF(C197=AS$192,R197,"")</f>
        <v/>
      </c>
      <c r="AT197" s="1804"/>
      <c r="AU197" s="1804"/>
      <c r="AV197" s="1804"/>
      <c r="AW197" s="1804">
        <v>0</v>
      </c>
      <c r="AX197" s="52"/>
      <c r="AY197" s="1804" t="str">
        <f t="shared" ref="AY197:AY202" si="6">IF(C197=AY$192,U197,"")</f>
        <v/>
      </c>
      <c r="AZ197" s="1804"/>
      <c r="BA197" s="1804"/>
      <c r="BB197" s="1804"/>
      <c r="BC197" s="1804">
        <v>0</v>
      </c>
      <c r="BD197" s="52"/>
      <c r="BE197" s="52"/>
      <c r="BF197" s="52"/>
      <c r="BG197" s="52"/>
      <c r="BH197" s="52"/>
      <c r="BI197" s="52"/>
      <c r="BJ197" s="52"/>
      <c r="BL197" s="52"/>
    </row>
    <row r="198" spans="2:81" ht="17.100000000000001" hidden="1" customHeight="1" outlineLevel="1">
      <c r="C198" s="1066" t="str">
        <f>X!C369</f>
        <v>Erdgas-Heizung mit 15% Biogasanteil</v>
      </c>
      <c r="D198" s="36"/>
      <c r="E198" s="36"/>
      <c r="F198" s="36"/>
      <c r="G198" s="36"/>
      <c r="H198" s="36"/>
      <c r="I198" s="36" t="str">
        <f>X!C377</f>
        <v>Erdgaspreis</v>
      </c>
      <c r="J198" s="36"/>
      <c r="L198" s="36"/>
      <c r="M198" s="36"/>
      <c r="N198" s="36" t="str">
        <f>X!C294</f>
        <v>Rp./kWh</v>
      </c>
      <c r="P198" s="36"/>
      <c r="Q198" s="52"/>
      <c r="R198" s="1734">
        <v>5</v>
      </c>
      <c r="S198" s="1734"/>
      <c r="T198" s="1243">
        <f t="shared" si="3"/>
        <v>10.5</v>
      </c>
      <c r="U198" s="1734">
        <v>16</v>
      </c>
      <c r="V198" s="1734"/>
      <c r="W198" s="965"/>
      <c r="X198" s="1735">
        <f t="shared" si="1"/>
        <v>0</v>
      </c>
      <c r="Y198" s="1735"/>
      <c r="Z198" s="52"/>
      <c r="AA198" s="1735" t="str">
        <f t="shared" si="2"/>
        <v/>
      </c>
      <c r="AB198" s="1735"/>
      <c r="AC198" s="1735"/>
      <c r="AD198" s="1735"/>
      <c r="AE198" s="1735">
        <v>0</v>
      </c>
      <c r="AG198" s="1735" t="str">
        <f t="shared" si="4"/>
        <v/>
      </c>
      <c r="AH198" s="1735"/>
      <c r="AI198" s="1735"/>
      <c r="AJ198" s="1735"/>
      <c r="AK198" s="1735">
        <v>0</v>
      </c>
      <c r="AL198" s="52"/>
      <c r="AM198" s="1806" t="str">
        <f>IF(C198=AM$192,X198,"")</f>
        <v/>
      </c>
      <c r="AN198" s="1806"/>
      <c r="AO198" s="1806"/>
      <c r="AP198" s="1806"/>
      <c r="AQ198" s="1806">
        <v>0</v>
      </c>
      <c r="AR198" s="52"/>
      <c r="AS198" s="1804" t="str">
        <f t="shared" si="5"/>
        <v/>
      </c>
      <c r="AT198" s="1804"/>
      <c r="AU198" s="1804"/>
      <c r="AV198" s="1804"/>
      <c r="AW198" s="1804">
        <v>0</v>
      </c>
      <c r="AX198" s="52"/>
      <c r="AY198" s="1804" t="str">
        <f t="shared" si="6"/>
        <v/>
      </c>
      <c r="AZ198" s="1804"/>
      <c r="BA198" s="1804"/>
      <c r="BB198" s="1804"/>
      <c r="BC198" s="1804">
        <v>0</v>
      </c>
      <c r="BD198" s="52"/>
      <c r="BE198" s="52"/>
      <c r="BF198" s="52"/>
      <c r="BG198" s="52"/>
      <c r="BH198" s="52"/>
      <c r="BI198" s="52"/>
      <c r="BJ198" s="52"/>
      <c r="BL198" s="52"/>
    </row>
    <row r="199" spans="2:81" ht="17.100000000000001" hidden="1" customHeight="1" outlineLevel="1">
      <c r="C199" s="1066" t="str">
        <f>X!C370</f>
        <v>Biogas-Heizung</v>
      </c>
      <c r="D199" s="36"/>
      <c r="E199" s="36"/>
      <c r="F199" s="36"/>
      <c r="G199" s="36"/>
      <c r="H199" s="36"/>
      <c r="I199" s="36" t="str">
        <f>X!C378</f>
        <v>Biogaspreis</v>
      </c>
      <c r="J199" s="36"/>
      <c r="L199" s="36"/>
      <c r="M199" s="36"/>
      <c r="N199" s="36" t="str">
        <f>X!C294</f>
        <v>Rp./kWh</v>
      </c>
      <c r="P199" s="36"/>
      <c r="Q199" s="52"/>
      <c r="R199" s="1734">
        <v>10</v>
      </c>
      <c r="S199" s="1734"/>
      <c r="T199" s="1243">
        <f t="shared" si="3"/>
        <v>15</v>
      </c>
      <c r="U199" s="1734">
        <v>20</v>
      </c>
      <c r="V199" s="1734"/>
      <c r="W199" s="965"/>
      <c r="X199" s="1735">
        <f t="shared" si="1"/>
        <v>0</v>
      </c>
      <c r="Y199" s="1735"/>
      <c r="Z199" s="52"/>
      <c r="AA199" s="1735" t="str">
        <f t="shared" si="2"/>
        <v/>
      </c>
      <c r="AB199" s="1735"/>
      <c r="AC199" s="1735"/>
      <c r="AD199" s="1735"/>
      <c r="AE199" s="1735">
        <v>0</v>
      </c>
      <c r="AG199" s="1735" t="str">
        <f t="shared" si="4"/>
        <v/>
      </c>
      <c r="AH199" s="1735"/>
      <c r="AI199" s="1735"/>
      <c r="AJ199" s="1735"/>
      <c r="AK199" s="1735">
        <v>0</v>
      </c>
      <c r="AL199" s="52"/>
      <c r="AM199" s="1806" t="str">
        <f>IF(C199=AM$192,X199,"")</f>
        <v/>
      </c>
      <c r="AN199" s="1806"/>
      <c r="AO199" s="1806"/>
      <c r="AP199" s="1806"/>
      <c r="AQ199" s="1806">
        <v>0</v>
      </c>
      <c r="AR199" s="52"/>
      <c r="AS199" s="1804" t="str">
        <f t="shared" si="5"/>
        <v/>
      </c>
      <c r="AT199" s="1804"/>
      <c r="AU199" s="1804"/>
      <c r="AV199" s="1804"/>
      <c r="AW199" s="1804">
        <v>0</v>
      </c>
      <c r="AX199" s="52"/>
      <c r="AY199" s="1804" t="str">
        <f t="shared" si="6"/>
        <v/>
      </c>
      <c r="AZ199" s="1804"/>
      <c r="BA199" s="1804"/>
      <c r="BB199" s="1804"/>
      <c r="BC199" s="1804">
        <v>0</v>
      </c>
      <c r="BD199" s="52"/>
      <c r="BE199" s="52"/>
      <c r="BF199" s="52"/>
      <c r="BG199" s="52"/>
      <c r="BH199" s="52"/>
      <c r="BI199" s="52"/>
      <c r="BJ199" s="52"/>
      <c r="BL199" s="52"/>
    </row>
    <row r="200" spans="2:81" ht="17.100000000000001" hidden="1" customHeight="1" outlineLevel="1">
      <c r="C200" s="1066" t="str">
        <f>X!C371</f>
        <v>Holzheizung (Pellet)</v>
      </c>
      <c r="D200" s="36"/>
      <c r="E200" s="36"/>
      <c r="F200" s="36"/>
      <c r="G200" s="36"/>
      <c r="H200" s="36"/>
      <c r="I200" s="36" t="str">
        <f>X!C379</f>
        <v>Pelletpreis</v>
      </c>
      <c r="J200" s="36"/>
      <c r="L200" s="36"/>
      <c r="M200" s="36"/>
      <c r="N200" s="823" t="str">
        <f>X!C383</f>
        <v>Fr./Tonne</v>
      </c>
      <c r="O200" s="1024"/>
      <c r="P200" s="823"/>
      <c r="Q200" s="52"/>
      <c r="R200" s="1734">
        <v>250</v>
      </c>
      <c r="S200" s="1734"/>
      <c r="T200" s="1243">
        <f t="shared" si="3"/>
        <v>350</v>
      </c>
      <c r="U200" s="1734">
        <v>450</v>
      </c>
      <c r="V200" s="1734"/>
      <c r="W200" s="965"/>
      <c r="X200" s="1735">
        <f t="shared" si="1"/>
        <v>0</v>
      </c>
      <c r="Y200" s="1735"/>
      <c r="Z200" s="52"/>
      <c r="AA200" s="1735" t="str">
        <f t="shared" si="2"/>
        <v/>
      </c>
      <c r="AB200" s="1735"/>
      <c r="AC200" s="1735"/>
      <c r="AD200" s="1735"/>
      <c r="AE200" s="1735">
        <v>0</v>
      </c>
      <c r="AG200" s="1735" t="str">
        <f t="shared" si="4"/>
        <v/>
      </c>
      <c r="AH200" s="1735"/>
      <c r="AI200" s="1735"/>
      <c r="AJ200" s="1735"/>
      <c r="AK200" s="1735">
        <v>0</v>
      </c>
      <c r="AL200" s="52"/>
      <c r="AM200" s="1803" t="str">
        <f>IF(C200=AM$192,X200*100/1000/BF200,"")</f>
        <v/>
      </c>
      <c r="AN200" s="1803"/>
      <c r="AO200" s="1803"/>
      <c r="AP200" s="1803"/>
      <c r="AQ200" s="1803">
        <v>0</v>
      </c>
      <c r="AR200" s="52"/>
      <c r="AS200" s="1804" t="str">
        <f t="shared" si="5"/>
        <v/>
      </c>
      <c r="AT200" s="1804"/>
      <c r="AU200" s="1804"/>
      <c r="AV200" s="1804"/>
      <c r="AW200" s="1804">
        <v>0</v>
      </c>
      <c r="AX200" s="52"/>
      <c r="AY200" s="1804" t="str">
        <f t="shared" si="6"/>
        <v/>
      </c>
      <c r="AZ200" s="1804"/>
      <c r="BA200" s="1804"/>
      <c r="BB200" s="1804"/>
      <c r="BC200" s="1804">
        <v>0</v>
      </c>
      <c r="BD200" s="52"/>
      <c r="BE200" s="52"/>
      <c r="BF200" s="1814">
        <v>4.8</v>
      </c>
      <c r="BG200" s="1814"/>
      <c r="BH200" s="1814"/>
      <c r="BI200" s="31" t="s">
        <v>989</v>
      </c>
      <c r="BL200" s="52"/>
    </row>
    <row r="201" spans="2:81" ht="17.100000000000001" hidden="1" customHeight="1" outlineLevel="1">
      <c r="C201" s="1066" t="str">
        <f>X!C372</f>
        <v>Fernwärme-Heizung</v>
      </c>
      <c r="D201" s="36"/>
      <c r="E201" s="36"/>
      <c r="F201" s="36"/>
      <c r="G201" s="36"/>
      <c r="H201" s="36"/>
      <c r="I201" s="36" t="str">
        <f>X!C380</f>
        <v>Fernwärmpreis</v>
      </c>
      <c r="J201" s="36"/>
      <c r="L201" s="36"/>
      <c r="M201" s="36"/>
      <c r="N201" s="36" t="str">
        <f>X!C294</f>
        <v>Rp./kWh</v>
      </c>
      <c r="P201" s="36"/>
      <c r="Q201" s="52"/>
      <c r="R201" s="1734">
        <v>5</v>
      </c>
      <c r="S201" s="1734"/>
      <c r="T201" s="1243">
        <f t="shared" si="3"/>
        <v>10</v>
      </c>
      <c r="U201" s="1734">
        <v>15</v>
      </c>
      <c r="V201" s="1734"/>
      <c r="W201" s="965"/>
      <c r="X201" s="1735">
        <f t="shared" si="1"/>
        <v>0</v>
      </c>
      <c r="Y201" s="1735"/>
      <c r="Z201" s="52"/>
      <c r="AA201" s="1735" t="str">
        <f t="shared" si="2"/>
        <v/>
      </c>
      <c r="AB201" s="1735"/>
      <c r="AC201" s="1735"/>
      <c r="AD201" s="1735"/>
      <c r="AE201" s="1735">
        <v>0</v>
      </c>
      <c r="AG201" s="1735" t="str">
        <f t="shared" si="4"/>
        <v/>
      </c>
      <c r="AH201" s="1735"/>
      <c r="AI201" s="1735"/>
      <c r="AJ201" s="1735"/>
      <c r="AK201" s="1735">
        <v>0</v>
      </c>
      <c r="AL201" s="52"/>
      <c r="AM201" s="1806" t="str">
        <f>IF(C201=AM$192,X201,"")</f>
        <v/>
      </c>
      <c r="AN201" s="1806"/>
      <c r="AO201" s="1806"/>
      <c r="AP201" s="1806"/>
      <c r="AQ201" s="1806">
        <v>0</v>
      </c>
      <c r="AR201" s="52"/>
      <c r="AS201" s="1804" t="str">
        <f t="shared" si="5"/>
        <v/>
      </c>
      <c r="AT201" s="1804"/>
      <c r="AU201" s="1804"/>
      <c r="AV201" s="1804"/>
      <c r="AW201" s="1804">
        <v>0</v>
      </c>
      <c r="AX201" s="52"/>
      <c r="AY201" s="1804" t="str">
        <f t="shared" si="6"/>
        <v/>
      </c>
      <c r="AZ201" s="1804"/>
      <c r="BA201" s="1804"/>
      <c r="BB201" s="1804"/>
      <c r="BC201" s="1804">
        <v>0</v>
      </c>
      <c r="BD201" s="52"/>
      <c r="BE201" s="52"/>
      <c r="BF201" s="964"/>
      <c r="BG201" s="964"/>
      <c r="BH201" s="964"/>
      <c r="BI201" s="52"/>
      <c r="BJ201" s="52"/>
      <c r="BL201" s="52"/>
    </row>
    <row r="202" spans="2:81" ht="17.100000000000001" hidden="1" customHeight="1" outlineLevel="1">
      <c r="C202" s="1066" t="str">
        <f>X!C373</f>
        <v>Wärmepumpen-Heizung</v>
      </c>
      <c r="D202" s="36"/>
      <c r="E202" s="36"/>
      <c r="F202" s="36"/>
      <c r="G202" s="36"/>
      <c r="H202" s="36"/>
      <c r="I202" s="36" t="str">
        <f>X!C381</f>
        <v>Strompreis</v>
      </c>
      <c r="J202" s="36"/>
      <c r="L202" s="36"/>
      <c r="M202" s="36"/>
      <c r="N202" s="823" t="str">
        <f>X!C294</f>
        <v>Rp./kWh</v>
      </c>
      <c r="O202" s="1024"/>
      <c r="P202" s="823"/>
      <c r="Q202" s="52"/>
      <c r="R202" s="1816">
        <v>6</v>
      </c>
      <c r="S202" s="1816"/>
      <c r="T202" s="1243">
        <f t="shared" si="3"/>
        <v>14</v>
      </c>
      <c r="U202" s="1816">
        <v>22</v>
      </c>
      <c r="V202" s="1816"/>
      <c r="W202" s="965"/>
      <c r="X202" s="1735">
        <f t="shared" si="1"/>
        <v>0</v>
      </c>
      <c r="Y202" s="1735"/>
      <c r="Z202" s="52"/>
      <c r="AA202" s="1735" t="str">
        <f>IF(C202=AA$192,N202,"")</f>
        <v/>
      </c>
      <c r="AB202" s="1735"/>
      <c r="AC202" s="1735"/>
      <c r="AD202" s="1735"/>
      <c r="AE202" s="1735">
        <v>0</v>
      </c>
      <c r="AG202" s="1735" t="str">
        <f t="shared" si="4"/>
        <v/>
      </c>
      <c r="AH202" s="1735"/>
      <c r="AI202" s="1735"/>
      <c r="AJ202" s="1735"/>
      <c r="AK202" s="1735">
        <v>0</v>
      </c>
      <c r="AL202" s="52"/>
      <c r="AM202" s="1803" t="str">
        <f>IF(C202=AM$192,$N$39/BF202,"")</f>
        <v/>
      </c>
      <c r="AN202" s="1803"/>
      <c r="AO202" s="1803"/>
      <c r="AP202" s="1803"/>
      <c r="AQ202" s="1803">
        <v>0</v>
      </c>
      <c r="AR202" s="52"/>
      <c r="AS202" s="1804" t="str">
        <f t="shared" si="5"/>
        <v/>
      </c>
      <c r="AT202" s="1804"/>
      <c r="AU202" s="1804"/>
      <c r="AV202" s="1804"/>
      <c r="AW202" s="1804">
        <v>0</v>
      </c>
      <c r="AX202" s="52"/>
      <c r="AY202" s="1804" t="str">
        <f t="shared" si="6"/>
        <v/>
      </c>
      <c r="AZ202" s="1804"/>
      <c r="BA202" s="1804"/>
      <c r="BB202" s="1804"/>
      <c r="BC202" s="1804">
        <v>0</v>
      </c>
      <c r="BD202" s="52"/>
      <c r="BE202" s="52"/>
      <c r="BF202" s="1814">
        <v>3.2</v>
      </c>
      <c r="BG202" s="1814"/>
      <c r="BH202" s="1814"/>
      <c r="BI202" s="52" t="s">
        <v>900</v>
      </c>
      <c r="BJ202" s="52"/>
      <c r="BL202" s="52"/>
    </row>
    <row r="203" spans="2:81" s="360" customFormat="1" ht="17.100000000000001" hidden="1" customHeight="1" outlineLevel="1">
      <c r="C203" s="500" t="s">
        <v>89</v>
      </c>
      <c r="D203" s="256"/>
      <c r="E203" s="256"/>
      <c r="F203" s="256"/>
      <c r="G203" s="256"/>
      <c r="H203" s="256"/>
      <c r="I203" s="256"/>
      <c r="J203" s="256"/>
      <c r="K203" s="256"/>
      <c r="L203" s="256"/>
      <c r="M203" s="256"/>
      <c r="N203" s="256"/>
      <c r="O203" s="256"/>
      <c r="P203" s="256"/>
      <c r="Q203" s="52"/>
      <c r="R203" s="811"/>
      <c r="S203" s="256"/>
      <c r="T203" s="256"/>
      <c r="U203" s="256"/>
      <c r="V203" s="256"/>
      <c r="W203" s="256"/>
      <c r="X203" s="256"/>
      <c r="Y203" s="256"/>
      <c r="Z203" s="52"/>
      <c r="AA203" s="1733" t="str">
        <f>CONCATENATE(AA196,AA197,AA198,AA199,AA200,AA201,AA202)</f>
        <v/>
      </c>
      <c r="AB203" s="1733"/>
      <c r="AC203" s="1733"/>
      <c r="AD203" s="1733"/>
      <c r="AE203" s="1733"/>
      <c r="AG203" s="1733" t="str">
        <f>CONCATENATE(AG196,AG197,AG198,AG199,AG200,AG201,AG202)</f>
        <v/>
      </c>
      <c r="AH203" s="1733"/>
      <c r="AI203" s="1733"/>
      <c r="AJ203" s="1733"/>
      <c r="AK203" s="1733"/>
      <c r="AL203" s="52"/>
      <c r="AM203" s="1807">
        <f>SUM(AM196:AQ202)</f>
        <v>0</v>
      </c>
      <c r="AN203" s="1807"/>
      <c r="AO203" s="1807"/>
      <c r="AP203" s="1807"/>
      <c r="AQ203" s="1807"/>
      <c r="AR203" s="52"/>
      <c r="AS203" s="1808">
        <f>SUM(AS196:AW202)</f>
        <v>0</v>
      </c>
      <c r="AT203" s="1808"/>
      <c r="AU203" s="1808"/>
      <c r="AV203" s="1808"/>
      <c r="AW203" s="1808"/>
      <c r="AX203" s="810"/>
      <c r="AY203" s="1808">
        <f>SUM(AY196:BC202)</f>
        <v>0</v>
      </c>
      <c r="AZ203" s="1808"/>
      <c r="BA203" s="1808"/>
      <c r="BB203" s="1808"/>
      <c r="BC203" s="1808"/>
      <c r="BD203" s="52"/>
      <c r="BE203" s="52"/>
      <c r="BF203" s="52"/>
      <c r="BG203" s="52"/>
      <c r="BH203" s="52"/>
      <c r="BI203" s="52"/>
      <c r="BJ203" s="52"/>
      <c r="BL203" s="52"/>
    </row>
    <row r="204" spans="2:81" hidden="1" outlineLevel="1">
      <c r="Z204" s="52"/>
      <c r="BL204" s="52"/>
      <c r="BU204" s="28"/>
      <c r="BV204" s="28"/>
      <c r="BW204" s="28"/>
      <c r="BX204" s="28"/>
      <c r="BY204" s="28"/>
      <c r="BZ204" s="28"/>
      <c r="CA204" s="28"/>
      <c r="CB204" s="28"/>
      <c r="CC204" s="28"/>
    </row>
    <row r="205" spans="2:81" hidden="1" outlineLevel="1">
      <c r="T205" s="1244" t="s">
        <v>1082</v>
      </c>
      <c r="BL205" s="52"/>
      <c r="BU205" s="28"/>
      <c r="BV205" s="28"/>
      <c r="BW205" s="28"/>
      <c r="BX205" s="28"/>
      <c r="BY205" s="28"/>
      <c r="BZ205" s="28"/>
      <c r="CA205" s="28"/>
      <c r="CB205" s="28"/>
      <c r="CC205" s="28"/>
    </row>
    <row r="206" spans="2:81" hidden="1" outlineLevel="1">
      <c r="BL206" s="52"/>
    </row>
    <row r="207" spans="2:81" ht="17.100000000000001" hidden="1" customHeight="1" outlineLevel="1">
      <c r="C207" s="499" t="s">
        <v>1093</v>
      </c>
      <c r="D207" s="74"/>
      <c r="E207" s="74"/>
      <c r="F207" s="74"/>
      <c r="G207" s="74"/>
      <c r="H207" s="74"/>
      <c r="I207" s="74"/>
      <c r="J207" s="74"/>
      <c r="K207" s="74"/>
      <c r="L207" s="74"/>
      <c r="M207" s="74"/>
      <c r="N207" s="74"/>
      <c r="P207" s="74"/>
      <c r="Q207" s="52"/>
      <c r="R207" s="74"/>
      <c r="S207" s="74"/>
      <c r="T207" s="74"/>
      <c r="U207" s="74"/>
      <c r="V207" s="74"/>
      <c r="X207" s="1025"/>
      <c r="Y207" s="74"/>
      <c r="Z207" s="52"/>
      <c r="AA207" s="1777"/>
      <c r="AB207" s="1778"/>
      <c r="AC207" s="1778"/>
      <c r="AD207" s="1778"/>
      <c r="AE207" s="1778"/>
      <c r="AG207" s="1777"/>
      <c r="AH207" s="1778"/>
      <c r="AI207" s="1778"/>
      <c r="AJ207" s="1778"/>
      <c r="AK207" s="1778"/>
      <c r="AL207" s="52"/>
      <c r="AM207" s="1779"/>
      <c r="AN207" s="1780"/>
      <c r="AO207" s="1780"/>
      <c r="AP207" s="1780"/>
      <c r="AQ207" s="1780"/>
      <c r="AR207" s="52"/>
      <c r="AS207" s="1779"/>
      <c r="AT207" s="1780"/>
      <c r="AU207" s="1780"/>
      <c r="AV207" s="1780"/>
      <c r="AW207" s="1780"/>
      <c r="AX207" s="52"/>
      <c r="AY207" s="1779"/>
      <c r="AZ207" s="1780"/>
      <c r="BA207" s="1780"/>
      <c r="BB207" s="1780"/>
      <c r="BC207" s="1780"/>
      <c r="BD207" s="52"/>
      <c r="BE207" s="52"/>
      <c r="BF207" s="1288"/>
      <c r="BG207" s="1289"/>
      <c r="BH207" s="1289"/>
      <c r="BI207" s="1289"/>
      <c r="BJ207" s="1289"/>
      <c r="BL207" s="52"/>
    </row>
    <row r="208" spans="2:81" hidden="1" outlineLevel="1">
      <c r="C208" s="302" t="str">
        <f>X!C352</f>
        <v>Trocken</v>
      </c>
    </row>
    <row r="209" spans="3:81" hidden="1" outlineLevel="1">
      <c r="C209" s="302" t="str">
        <f>X!C353</f>
        <v>Hybrid</v>
      </c>
    </row>
    <row r="210" spans="3:81" hidden="1" outlineLevel="1"/>
    <row r="211" spans="3:81" hidden="1" outlineLevel="1"/>
    <row r="212" spans="3:81" hidden="1" outlineLevel="1"/>
    <row r="213" spans="3:81" collapsed="1"/>
    <row r="214" spans="3:81" ht="20.25">
      <c r="BU214" s="116"/>
      <c r="BV214" s="116"/>
      <c r="BW214" s="116"/>
      <c r="BX214" s="116"/>
      <c r="BY214" s="116"/>
      <c r="BZ214" s="116"/>
      <c r="CA214" s="116"/>
      <c r="CB214" s="116"/>
      <c r="CC214" s="116"/>
    </row>
    <row r="215" spans="3:81">
      <c r="BU215" s="28"/>
      <c r="BV215" s="28"/>
      <c r="BW215" s="28"/>
      <c r="BX215" s="28"/>
      <c r="BY215" s="28"/>
      <c r="BZ215" s="28"/>
      <c r="CA215" s="28"/>
      <c r="CB215" s="28"/>
      <c r="CC215" s="28"/>
    </row>
    <row r="216" spans="3:81" ht="15">
      <c r="BU216" s="139"/>
      <c r="BV216" s="139"/>
      <c r="BW216" s="139"/>
      <c r="BX216" s="139"/>
      <c r="BY216" s="139"/>
      <c r="BZ216" s="139"/>
      <c r="CA216" s="139"/>
      <c r="CB216" s="139"/>
      <c r="CC216" s="139"/>
    </row>
    <row r="217" spans="3:81">
      <c r="BU217" s="28"/>
      <c r="BV217" s="28"/>
      <c r="BW217" s="28"/>
      <c r="BX217" s="28"/>
      <c r="BY217" s="28"/>
      <c r="BZ217" s="28"/>
      <c r="CA217" s="28"/>
      <c r="CB217" s="28"/>
      <c r="CC217" s="28"/>
    </row>
    <row r="219" spans="3:81">
      <c r="BU219" s="28"/>
      <c r="BV219" s="28"/>
      <c r="BW219" s="28"/>
      <c r="BX219" s="28"/>
      <c r="BY219" s="28"/>
      <c r="BZ219" s="28"/>
      <c r="CA219" s="28"/>
      <c r="CB219" s="28"/>
      <c r="CC219" s="28"/>
    </row>
    <row r="220" spans="3:81">
      <c r="BU220" s="28"/>
      <c r="BV220" s="28"/>
      <c r="BW220" s="28"/>
      <c r="BX220" s="28"/>
      <c r="BY220" s="28"/>
      <c r="BZ220" s="28"/>
      <c r="CA220" s="28"/>
      <c r="CB220" s="28"/>
      <c r="CC220" s="28"/>
    </row>
    <row r="221" spans="3:81">
      <c r="BU221" s="28"/>
      <c r="BV221" s="28"/>
      <c r="BW221" s="28"/>
      <c r="BX221" s="28"/>
      <c r="BY221" s="28"/>
      <c r="BZ221" s="28"/>
      <c r="CA221" s="28"/>
      <c r="CB221" s="28"/>
      <c r="CC221" s="28"/>
    </row>
    <row r="222" spans="3:81">
      <c r="BU222" s="28"/>
      <c r="BV222" s="28"/>
      <c r="BW222" s="28"/>
      <c r="BX222" s="28"/>
      <c r="BY222" s="28"/>
      <c r="BZ222" s="28"/>
      <c r="CA222" s="28"/>
      <c r="CB222" s="28"/>
      <c r="CC222" s="28"/>
    </row>
    <row r="223" spans="3:81">
      <c r="BU223" s="28"/>
      <c r="BV223" s="28"/>
      <c r="BW223" s="28"/>
      <c r="BX223" s="28"/>
      <c r="BY223" s="28"/>
      <c r="BZ223" s="28"/>
      <c r="CA223" s="28"/>
      <c r="CB223" s="28"/>
      <c r="CC223" s="28"/>
    </row>
    <row r="224" spans="3:81">
      <c r="BU224" s="28"/>
      <c r="BV224" s="28"/>
      <c r="BW224" s="28"/>
      <c r="BX224" s="28"/>
      <c r="BY224" s="28"/>
      <c r="BZ224" s="28"/>
      <c r="CA224" s="28"/>
      <c r="CB224" s="28"/>
      <c r="CC224" s="28"/>
    </row>
    <row r="228" spans="73:81">
      <c r="BU228" s="28"/>
      <c r="BV228" s="28"/>
      <c r="BW228" s="28"/>
      <c r="BX228" s="28"/>
      <c r="BY228" s="28"/>
      <c r="BZ228" s="28"/>
      <c r="CA228" s="28"/>
      <c r="CB228" s="28"/>
      <c r="CC228" s="28"/>
    </row>
    <row r="229" spans="73:81">
      <c r="BU229" s="28"/>
      <c r="BV229" s="28"/>
      <c r="BW229" s="28"/>
      <c r="BX229" s="28"/>
      <c r="BY229" s="28"/>
      <c r="BZ229" s="28"/>
      <c r="CA229" s="28"/>
      <c r="CB229" s="28"/>
      <c r="CC229" s="28"/>
    </row>
    <row r="230" spans="73:81">
      <c r="BU230" s="28"/>
      <c r="BV230" s="28"/>
      <c r="BW230" s="28"/>
      <c r="BX230" s="28"/>
      <c r="BY230" s="28"/>
      <c r="BZ230" s="28"/>
      <c r="CA230" s="28"/>
      <c r="CB230" s="28"/>
      <c r="CC230" s="28"/>
    </row>
    <row r="231" spans="73:81">
      <c r="BU231" s="28"/>
      <c r="BV231" s="28"/>
      <c r="BW231" s="28"/>
      <c r="BX231" s="28"/>
      <c r="BY231" s="28"/>
      <c r="BZ231" s="28"/>
      <c r="CA231" s="28"/>
      <c r="CB231" s="28"/>
      <c r="CC231" s="28"/>
    </row>
    <row r="235" spans="73:81">
      <c r="BU235" s="28"/>
      <c r="BV235" s="28"/>
      <c r="BW235" s="28"/>
      <c r="BX235" s="28"/>
      <c r="BY235" s="28"/>
      <c r="BZ235" s="28"/>
      <c r="CA235" s="28"/>
      <c r="CB235" s="28"/>
      <c r="CC235" s="28"/>
    </row>
    <row r="236" spans="73:81">
      <c r="BU236" s="155"/>
      <c r="BV236" s="155"/>
      <c r="BW236" s="155"/>
      <c r="BX236" s="155"/>
      <c r="BY236" s="155"/>
      <c r="BZ236" s="155"/>
      <c r="CA236" s="155"/>
      <c r="CB236" s="155"/>
      <c r="CC236" s="155"/>
    </row>
    <row r="237" spans="73:81">
      <c r="BU237" s="28"/>
      <c r="BV237" s="28"/>
      <c r="BW237" s="28"/>
      <c r="BX237" s="28"/>
      <c r="BY237" s="28"/>
      <c r="BZ237" s="28"/>
      <c r="CA237" s="28"/>
      <c r="CB237" s="28"/>
      <c r="CC237" s="28"/>
    </row>
    <row r="238" spans="73:81">
      <c r="BU238" s="28"/>
      <c r="BV238" s="28"/>
      <c r="BW238" s="28"/>
      <c r="BX238" s="28"/>
      <c r="BY238" s="28"/>
      <c r="BZ238" s="28"/>
      <c r="CA238" s="28"/>
      <c r="CB238" s="28"/>
      <c r="CC238" s="28"/>
    </row>
    <row r="239" spans="73:81">
      <c r="BU239" s="28"/>
      <c r="BV239" s="28"/>
      <c r="BW239" s="28"/>
      <c r="BX239" s="28"/>
      <c r="BY239" s="28"/>
      <c r="BZ239" s="28"/>
      <c r="CA239" s="28"/>
      <c r="CB239" s="28"/>
      <c r="CC239" s="28"/>
    </row>
    <row r="240" spans="73:81">
      <c r="BU240" s="155"/>
      <c r="BV240" s="155"/>
      <c r="BW240" s="155"/>
      <c r="BX240" s="155"/>
      <c r="BY240" s="155"/>
      <c r="BZ240" s="155"/>
      <c r="CA240" s="155"/>
      <c r="CB240" s="155"/>
      <c r="CC240" s="155"/>
    </row>
    <row r="241" spans="73:81">
      <c r="BU241" s="28"/>
      <c r="BV241" s="28"/>
      <c r="BW241" s="28"/>
      <c r="BX241" s="28"/>
      <c r="BY241" s="28"/>
      <c r="BZ241" s="28"/>
      <c r="CA241" s="28"/>
      <c r="CB241" s="28"/>
      <c r="CC241" s="28"/>
    </row>
    <row r="242" spans="73:81">
      <c r="BU242" s="227"/>
      <c r="BV242" s="227"/>
      <c r="BW242" s="227"/>
      <c r="BX242" s="227"/>
      <c r="BY242" s="227"/>
      <c r="BZ242" s="227"/>
      <c r="CA242" s="227"/>
      <c r="CB242" s="227"/>
      <c r="CC242" s="227"/>
    </row>
    <row r="243" spans="73:81">
      <c r="BU243" s="155"/>
      <c r="BV243" s="155"/>
      <c r="BW243" s="155"/>
      <c r="BX243" s="155"/>
      <c r="BY243" s="155"/>
      <c r="BZ243" s="155"/>
      <c r="CA243" s="155"/>
      <c r="CB243" s="155"/>
      <c r="CC243" s="155"/>
    </row>
    <row r="247" spans="73:81">
      <c r="BU247" s="28"/>
      <c r="BV247" s="28"/>
      <c r="BW247" s="28"/>
      <c r="BX247" s="28"/>
      <c r="BY247" s="28"/>
      <c r="BZ247" s="28"/>
      <c r="CA247" s="28"/>
      <c r="CB247" s="28"/>
      <c r="CC247" s="28"/>
    </row>
    <row r="248" spans="73:81">
      <c r="BU248" s="155"/>
      <c r="BV248" s="155"/>
      <c r="BW248" s="155"/>
      <c r="BX248" s="155"/>
      <c r="BY248" s="155"/>
      <c r="BZ248" s="155"/>
      <c r="CA248" s="155"/>
      <c r="CB248" s="155"/>
      <c r="CC248" s="155"/>
    </row>
    <row r="249" spans="73:81">
      <c r="BU249" s="28"/>
      <c r="BV249" s="28"/>
      <c r="BW249" s="28"/>
      <c r="BX249" s="28"/>
      <c r="BY249" s="28"/>
      <c r="BZ249" s="28"/>
      <c r="CA249" s="28"/>
      <c r="CB249" s="28"/>
      <c r="CC249" s="28"/>
    </row>
    <row r="250" spans="73:81">
      <c r="BU250" s="155"/>
      <c r="BV250" s="155"/>
      <c r="BW250" s="155"/>
      <c r="BX250" s="155"/>
      <c r="BY250" s="155"/>
      <c r="BZ250" s="155"/>
      <c r="CA250" s="155"/>
      <c r="CB250" s="155"/>
      <c r="CC250" s="155"/>
    </row>
    <row r="251" spans="73:81">
      <c r="BU251" s="28"/>
      <c r="BV251" s="28"/>
      <c r="BW251" s="28"/>
      <c r="BX251" s="28"/>
      <c r="BY251" s="28"/>
      <c r="BZ251" s="28"/>
      <c r="CA251" s="28"/>
      <c r="CB251" s="28"/>
      <c r="CC251" s="28"/>
    </row>
    <row r="252" spans="73:81">
      <c r="BU252" s="227"/>
      <c r="BV252" s="227"/>
      <c r="BW252" s="227"/>
      <c r="BX252" s="227"/>
      <c r="BY252" s="227"/>
      <c r="BZ252" s="227"/>
      <c r="CA252" s="227"/>
      <c r="CB252" s="227"/>
      <c r="CC252" s="227"/>
    </row>
    <row r="253" spans="73:81">
      <c r="BU253" s="155"/>
      <c r="BV253" s="155"/>
      <c r="BW253" s="155"/>
      <c r="BX253" s="155"/>
      <c r="BY253" s="155"/>
      <c r="BZ253" s="155"/>
      <c r="CA253" s="155"/>
      <c r="CB253" s="155"/>
      <c r="CC253" s="155"/>
    </row>
    <row r="259" spans="73:81" ht="20.25">
      <c r="BU259" s="116"/>
      <c r="BV259" s="116"/>
      <c r="BW259" s="116"/>
      <c r="BX259" s="116"/>
      <c r="BY259" s="116"/>
      <c r="BZ259" s="116"/>
      <c r="CA259" s="116"/>
      <c r="CB259" s="116"/>
      <c r="CC259" s="116"/>
    </row>
    <row r="260" spans="73:81">
      <c r="BU260" s="28"/>
      <c r="BV260" s="28"/>
      <c r="BW260" s="28"/>
      <c r="BX260" s="28"/>
      <c r="BY260" s="28"/>
      <c r="BZ260" s="28"/>
      <c r="CA260" s="28"/>
      <c r="CB260" s="28"/>
      <c r="CC260" s="28"/>
    </row>
    <row r="261" spans="73:81" ht="15">
      <c r="BU261" s="139"/>
      <c r="BV261" s="139"/>
      <c r="BW261" s="139"/>
      <c r="BX261" s="139"/>
      <c r="BY261" s="139"/>
      <c r="BZ261" s="139"/>
      <c r="CA261" s="139"/>
      <c r="CB261" s="139"/>
      <c r="CC261" s="139"/>
    </row>
    <row r="262" spans="73:81">
      <c r="BU262" s="28"/>
      <c r="BV262" s="28"/>
      <c r="BW262" s="28"/>
      <c r="BX262" s="28"/>
      <c r="BY262" s="28"/>
      <c r="BZ262" s="28"/>
      <c r="CA262" s="28"/>
      <c r="CB262" s="28"/>
      <c r="CC262" s="28"/>
    </row>
    <row r="264" spans="73:81">
      <c r="BU264" s="28"/>
      <c r="BV264" s="28"/>
      <c r="BW264" s="28"/>
      <c r="BX264" s="28"/>
      <c r="BY264" s="28"/>
      <c r="BZ264" s="28"/>
      <c r="CA264" s="28"/>
      <c r="CB264" s="28"/>
      <c r="CC264" s="28"/>
    </row>
    <row r="265" spans="73:81">
      <c r="BU265" s="28"/>
      <c r="BV265" s="28"/>
      <c r="BW265" s="28"/>
      <c r="BX265" s="28"/>
      <c r="BY265" s="28"/>
      <c r="BZ265" s="28"/>
      <c r="CA265" s="28"/>
      <c r="CB265" s="28"/>
      <c r="CC265" s="28"/>
    </row>
    <row r="266" spans="73:81">
      <c r="BU266" s="28"/>
      <c r="BV266" s="28"/>
      <c r="BW266" s="28"/>
      <c r="BX266" s="28"/>
      <c r="BY266" s="28"/>
      <c r="BZ266" s="28"/>
      <c r="CA266" s="28"/>
      <c r="CB266" s="28"/>
      <c r="CC266" s="28"/>
    </row>
    <row r="267" spans="73:81">
      <c r="BU267" s="28"/>
      <c r="BV267" s="28"/>
      <c r="BW267" s="28"/>
      <c r="BX267" s="28"/>
      <c r="BY267" s="28"/>
      <c r="BZ267" s="28"/>
      <c r="CA267" s="28"/>
      <c r="CB267" s="28"/>
      <c r="CC267" s="28"/>
    </row>
    <row r="268" spans="73:81">
      <c r="BU268" s="28"/>
      <c r="BV268" s="28"/>
      <c r="BW268" s="28"/>
      <c r="BX268" s="28"/>
      <c r="BY268" s="28"/>
      <c r="BZ268" s="28"/>
      <c r="CA268" s="28"/>
      <c r="CB268" s="28"/>
      <c r="CC268" s="28"/>
    </row>
    <row r="269" spans="73:81">
      <c r="BU269" s="28"/>
      <c r="BV269" s="28"/>
      <c r="BW269" s="28"/>
      <c r="BX269" s="28"/>
      <c r="BY269" s="28"/>
      <c r="BZ269" s="28"/>
      <c r="CA269" s="28"/>
      <c r="CB269" s="28"/>
      <c r="CC269" s="28"/>
    </row>
    <row r="273" spans="73:81">
      <c r="BU273" s="28"/>
      <c r="BV273" s="28"/>
      <c r="BW273" s="28"/>
      <c r="BX273" s="28"/>
      <c r="BY273" s="28"/>
      <c r="BZ273" s="28"/>
      <c r="CA273" s="28"/>
      <c r="CB273" s="28"/>
      <c r="CC273" s="28"/>
    </row>
    <row r="274" spans="73:81">
      <c r="BU274" s="28"/>
      <c r="BV274" s="28"/>
      <c r="BW274" s="28"/>
      <c r="BX274" s="28"/>
      <c r="BY274" s="28"/>
      <c r="BZ274" s="28"/>
      <c r="CA274" s="28"/>
      <c r="CB274" s="28"/>
      <c r="CC274" s="28"/>
    </row>
    <row r="275" spans="73:81">
      <c r="BU275" s="28"/>
      <c r="BV275" s="28"/>
      <c r="BW275" s="28"/>
      <c r="BX275" s="28"/>
      <c r="BY275" s="28"/>
      <c r="BZ275" s="28"/>
      <c r="CA275" s="28"/>
      <c r="CB275" s="28"/>
      <c r="CC275" s="28"/>
    </row>
    <row r="276" spans="73:81">
      <c r="BU276" s="28"/>
      <c r="BV276" s="28"/>
      <c r="BW276" s="28"/>
      <c r="BX276" s="28"/>
      <c r="BY276" s="28"/>
      <c r="BZ276" s="28"/>
      <c r="CA276" s="28"/>
      <c r="CB276" s="28"/>
      <c r="CC276" s="28"/>
    </row>
    <row r="277" spans="73:81">
      <c r="BU277" s="28"/>
      <c r="BV277" s="28"/>
      <c r="BW277" s="28"/>
      <c r="BX277" s="28"/>
      <c r="BY277" s="28"/>
      <c r="BZ277" s="28"/>
      <c r="CA277" s="28"/>
      <c r="CB277" s="28"/>
      <c r="CC277" s="28"/>
    </row>
    <row r="280" spans="73:81">
      <c r="BU280" s="28"/>
      <c r="BV280" s="28"/>
      <c r="BW280" s="28"/>
      <c r="BX280" s="28"/>
      <c r="BY280" s="28"/>
      <c r="BZ280" s="28"/>
      <c r="CA280" s="28"/>
      <c r="CB280" s="28"/>
      <c r="CC280" s="28"/>
    </row>
    <row r="281" spans="73:81">
      <c r="BU281" s="155"/>
      <c r="BV281" s="155"/>
      <c r="BW281" s="155"/>
      <c r="BX281" s="155"/>
      <c r="BY281" s="155"/>
      <c r="BZ281" s="155"/>
      <c r="CA281" s="155"/>
      <c r="CB281" s="155"/>
      <c r="CC281" s="155"/>
    </row>
    <row r="282" spans="73:81">
      <c r="BU282" s="227"/>
      <c r="BV282" s="227"/>
      <c r="BW282" s="227"/>
      <c r="BX282" s="227"/>
      <c r="BY282" s="227"/>
      <c r="BZ282" s="227"/>
      <c r="CA282" s="227"/>
      <c r="CB282" s="227"/>
      <c r="CC282" s="227"/>
    </row>
    <row r="283" spans="73:81">
      <c r="BU283" s="227"/>
      <c r="BV283" s="227"/>
      <c r="BW283" s="227"/>
      <c r="BX283" s="227"/>
      <c r="BY283" s="227"/>
      <c r="BZ283" s="227"/>
      <c r="CA283" s="227"/>
      <c r="CB283" s="227"/>
      <c r="CC283" s="227"/>
    </row>
    <row r="287" spans="73:81">
      <c r="BU287" s="28"/>
      <c r="BV287" s="28"/>
      <c r="BW287" s="28"/>
      <c r="BX287" s="28"/>
      <c r="BY287" s="28"/>
      <c r="BZ287" s="28"/>
      <c r="CA287" s="28"/>
      <c r="CB287" s="28"/>
      <c r="CC287" s="28"/>
    </row>
    <row r="288" spans="73:81">
      <c r="BU288" s="227"/>
      <c r="BV288" s="227"/>
      <c r="BW288" s="227"/>
      <c r="BX288" s="227"/>
      <c r="BY288" s="227"/>
      <c r="BZ288" s="227"/>
      <c r="CA288" s="227"/>
      <c r="CB288" s="227"/>
      <c r="CC288" s="227"/>
    </row>
    <row r="289" spans="73:81">
      <c r="BU289" s="227"/>
      <c r="BV289" s="227"/>
      <c r="BW289" s="227"/>
      <c r="BX289" s="227"/>
      <c r="BY289" s="227"/>
      <c r="BZ289" s="227"/>
      <c r="CA289" s="227"/>
      <c r="CB289" s="227"/>
      <c r="CC289" s="227"/>
    </row>
    <row r="290" spans="73:81">
      <c r="BU290" s="227"/>
      <c r="BV290" s="227"/>
      <c r="BW290" s="227"/>
      <c r="BX290" s="227"/>
      <c r="BY290" s="227"/>
      <c r="BZ290" s="227"/>
      <c r="CA290" s="227"/>
      <c r="CB290" s="227"/>
      <c r="CC290" s="227"/>
    </row>
    <row r="304" spans="73:81">
      <c r="BU304" s="28"/>
      <c r="BV304" s="28"/>
      <c r="BW304" s="28"/>
      <c r="BX304" s="28"/>
      <c r="BY304" s="28"/>
      <c r="BZ304" s="28"/>
      <c r="CA304" s="28"/>
      <c r="CB304" s="28"/>
      <c r="CC304" s="28"/>
    </row>
    <row r="306" spans="73:81">
      <c r="BU306" s="28"/>
      <c r="BV306" s="28"/>
      <c r="BW306" s="28"/>
      <c r="BX306" s="28"/>
      <c r="BY306" s="28"/>
      <c r="BZ306" s="28"/>
      <c r="CA306" s="28"/>
      <c r="CB306" s="28"/>
      <c r="CC306" s="28"/>
    </row>
    <row r="307" spans="73:81">
      <c r="BU307" s="28"/>
      <c r="BV307" s="28"/>
      <c r="BW307" s="28"/>
      <c r="BX307" s="28"/>
      <c r="BY307" s="28"/>
      <c r="BZ307" s="28"/>
      <c r="CA307" s="28"/>
      <c r="CB307" s="28"/>
      <c r="CC307" s="28"/>
    </row>
    <row r="308" spans="73:81">
      <c r="BU308" s="28"/>
      <c r="BV308" s="28"/>
      <c r="BW308" s="28"/>
      <c r="BX308" s="28"/>
      <c r="BY308" s="28"/>
      <c r="BZ308" s="28"/>
      <c r="CA308" s="28"/>
      <c r="CB308" s="28"/>
      <c r="CC308" s="28"/>
    </row>
    <row r="316" spans="73:81">
      <c r="BU316" s="28"/>
      <c r="BV316" s="28"/>
      <c r="BW316" s="28"/>
      <c r="BX316" s="28"/>
      <c r="BY316" s="28"/>
      <c r="BZ316" s="28"/>
      <c r="CA316" s="28"/>
      <c r="CB316" s="28"/>
      <c r="CC316" s="28"/>
    </row>
    <row r="317" spans="73:81">
      <c r="BU317" s="209"/>
      <c r="BV317" s="209"/>
      <c r="BW317" s="209"/>
      <c r="BX317" s="209"/>
      <c r="BY317" s="209"/>
      <c r="BZ317" s="209"/>
      <c r="CA317" s="209"/>
      <c r="CB317" s="209"/>
      <c r="CC317" s="209"/>
    </row>
    <row r="318" spans="73:81">
      <c r="BU318" s="209"/>
      <c r="BV318" s="209"/>
      <c r="BW318" s="209"/>
      <c r="BX318" s="209"/>
      <c r="BY318" s="209"/>
      <c r="BZ318" s="209"/>
      <c r="CA318" s="209"/>
      <c r="CB318" s="209"/>
      <c r="CC318" s="209"/>
    </row>
    <row r="323" spans="73:81">
      <c r="BU323" s="28"/>
      <c r="BV323" s="28"/>
      <c r="BW323" s="28"/>
      <c r="BX323" s="28"/>
      <c r="BY323" s="28"/>
      <c r="BZ323" s="28"/>
      <c r="CA323" s="28"/>
      <c r="CB323" s="28"/>
      <c r="CC323" s="28"/>
    </row>
    <row r="328" spans="73:81">
      <c r="BU328" s="28"/>
      <c r="BV328" s="28"/>
      <c r="BW328" s="28"/>
      <c r="BX328" s="28"/>
      <c r="BY328" s="28"/>
      <c r="BZ328" s="28"/>
      <c r="CA328" s="28"/>
      <c r="CB328" s="28"/>
      <c r="CC328" s="28"/>
    </row>
    <row r="329" spans="73:81">
      <c r="BU329" s="28"/>
      <c r="BV329" s="28"/>
      <c r="BW329" s="28"/>
      <c r="BX329" s="28"/>
      <c r="BY329" s="28"/>
      <c r="BZ329" s="28"/>
      <c r="CA329" s="28"/>
      <c r="CB329" s="28"/>
      <c r="CC329" s="28"/>
    </row>
    <row r="330" spans="73:81">
      <c r="BU330" s="28"/>
      <c r="BV330" s="28"/>
      <c r="BW330" s="28"/>
      <c r="BX330" s="28"/>
      <c r="BY330" s="28"/>
      <c r="BZ330" s="28"/>
      <c r="CA330" s="28"/>
      <c r="CB330" s="28"/>
      <c r="CC330" s="28"/>
    </row>
    <row r="331" spans="73:81">
      <c r="BU331" s="28"/>
      <c r="BV331" s="28"/>
      <c r="BW331" s="28"/>
      <c r="BX331" s="28"/>
      <c r="BY331" s="28"/>
      <c r="BZ331" s="28"/>
      <c r="CA331" s="28"/>
      <c r="CB331" s="28"/>
      <c r="CC331" s="28"/>
    </row>
    <row r="332" spans="73:81">
      <c r="BU332" s="28"/>
      <c r="BV332" s="28"/>
      <c r="BW332" s="28"/>
      <c r="BX332" s="28"/>
      <c r="BY332" s="28"/>
      <c r="BZ332" s="28"/>
      <c r="CA332" s="28"/>
      <c r="CB332" s="28"/>
      <c r="CC332" s="28"/>
    </row>
    <row r="333" spans="73:81">
      <c r="BU333" s="155"/>
      <c r="BV333" s="155"/>
      <c r="BW333" s="155"/>
      <c r="BX333" s="155"/>
      <c r="BY333" s="155"/>
      <c r="BZ333" s="155"/>
      <c r="CA333" s="155"/>
      <c r="CB333" s="155"/>
      <c r="CC333" s="155"/>
    </row>
    <row r="334" spans="73:81">
      <c r="BU334" s="28"/>
      <c r="BV334" s="28"/>
      <c r="BW334" s="28"/>
      <c r="BX334" s="28"/>
      <c r="BY334" s="28"/>
      <c r="BZ334" s="28"/>
      <c r="CA334" s="28"/>
      <c r="CB334" s="28"/>
      <c r="CC334" s="28"/>
    </row>
    <row r="335" spans="73:81">
      <c r="BU335" s="155"/>
      <c r="BV335" s="155"/>
      <c r="BW335" s="155"/>
      <c r="BX335" s="155"/>
      <c r="BY335" s="155"/>
      <c r="BZ335" s="155"/>
      <c r="CA335" s="155"/>
      <c r="CB335" s="155"/>
      <c r="CC335" s="155"/>
    </row>
    <row r="336" spans="73:81">
      <c r="BU336" s="155"/>
      <c r="BV336" s="155"/>
      <c r="BW336" s="155"/>
      <c r="BX336" s="155"/>
      <c r="BY336" s="155"/>
      <c r="BZ336" s="155"/>
      <c r="CA336" s="155"/>
      <c r="CB336" s="155"/>
      <c r="CC336" s="155"/>
    </row>
    <row r="337" spans="73:81">
      <c r="BU337" s="155"/>
      <c r="BV337" s="155"/>
      <c r="BW337" s="155"/>
      <c r="BX337" s="155"/>
      <c r="BY337" s="155"/>
      <c r="BZ337" s="155"/>
      <c r="CA337" s="155"/>
      <c r="CB337" s="155"/>
      <c r="CC337" s="155"/>
    </row>
    <row r="338" spans="73:81">
      <c r="BU338" s="28"/>
      <c r="BV338" s="28"/>
      <c r="BW338" s="28"/>
      <c r="BX338" s="28"/>
      <c r="BY338" s="28"/>
      <c r="BZ338" s="28"/>
      <c r="CA338" s="28"/>
      <c r="CB338" s="28"/>
      <c r="CC338" s="28"/>
    </row>
    <row r="339" spans="73:81">
      <c r="BU339" s="28"/>
      <c r="BV339" s="28"/>
      <c r="BW339" s="28"/>
      <c r="BX339" s="28"/>
      <c r="BY339" s="28"/>
      <c r="BZ339" s="28"/>
      <c r="CA339" s="28"/>
      <c r="CB339" s="28"/>
      <c r="CC339" s="28"/>
    </row>
    <row r="340" spans="73:81">
      <c r="BU340" s="28"/>
      <c r="BV340" s="28"/>
      <c r="BW340" s="28"/>
      <c r="BX340" s="28"/>
      <c r="BY340" s="28"/>
      <c r="BZ340" s="28"/>
      <c r="CA340" s="28"/>
      <c r="CB340" s="28"/>
      <c r="CC340" s="28"/>
    </row>
    <row r="342" spans="73:81">
      <c r="BU342" s="28"/>
      <c r="BV342" s="28"/>
      <c r="BW342" s="28"/>
      <c r="BX342" s="28"/>
      <c r="BY342" s="28"/>
      <c r="BZ342" s="28"/>
      <c r="CA342" s="28"/>
      <c r="CB342" s="28"/>
      <c r="CC342" s="28"/>
    </row>
    <row r="343" spans="73:81">
      <c r="BU343" s="155"/>
      <c r="BV343" s="155"/>
      <c r="BW343" s="155"/>
      <c r="BX343" s="155"/>
      <c r="BY343" s="155"/>
      <c r="BZ343" s="155"/>
      <c r="CA343" s="155"/>
      <c r="CB343" s="155"/>
      <c r="CC343" s="155"/>
    </row>
    <row r="344" spans="73:81">
      <c r="BU344" s="28"/>
      <c r="BV344" s="28"/>
      <c r="BW344" s="28"/>
      <c r="BX344" s="28"/>
      <c r="BY344" s="28"/>
      <c r="BZ344" s="28"/>
      <c r="CA344" s="28"/>
      <c r="CB344" s="28"/>
      <c r="CC344" s="28"/>
    </row>
    <row r="345" spans="73:81">
      <c r="BU345" s="155"/>
      <c r="BV345" s="155"/>
      <c r="BW345" s="155"/>
      <c r="BX345" s="155"/>
      <c r="BY345" s="155"/>
      <c r="BZ345" s="155"/>
      <c r="CA345" s="155"/>
      <c r="CB345" s="155"/>
      <c r="CC345" s="155"/>
    </row>
    <row r="346" spans="73:81">
      <c r="BU346" s="155"/>
      <c r="BV346" s="155"/>
      <c r="BW346" s="155"/>
      <c r="BX346" s="155"/>
      <c r="BY346" s="155"/>
      <c r="BZ346" s="155"/>
      <c r="CA346" s="155"/>
      <c r="CB346" s="155"/>
      <c r="CC346" s="155"/>
    </row>
    <row r="347" spans="73:81">
      <c r="BU347" s="155"/>
      <c r="BV347" s="155"/>
      <c r="BW347" s="155"/>
      <c r="BX347" s="155"/>
      <c r="BY347" s="155"/>
      <c r="BZ347" s="155"/>
      <c r="CA347" s="155"/>
      <c r="CB347" s="155"/>
      <c r="CC347" s="155"/>
    </row>
    <row r="348" spans="73:81">
      <c r="BU348" s="28"/>
      <c r="BV348" s="28"/>
      <c r="BW348" s="28"/>
      <c r="BX348" s="28"/>
      <c r="BY348" s="28"/>
      <c r="BZ348" s="28"/>
      <c r="CA348" s="28"/>
      <c r="CB348" s="28"/>
      <c r="CC348" s="28"/>
    </row>
    <row r="349" spans="73:81">
      <c r="BU349" s="28"/>
      <c r="BV349" s="28"/>
      <c r="BW349" s="28"/>
      <c r="BX349" s="28"/>
      <c r="BY349" s="28"/>
      <c r="BZ349" s="28"/>
      <c r="CA349" s="28"/>
      <c r="CB349" s="28"/>
      <c r="CC349" s="28"/>
    </row>
    <row r="350" spans="73:81">
      <c r="BU350" s="28"/>
      <c r="BV350" s="28"/>
      <c r="BW350" s="28"/>
      <c r="BX350" s="28"/>
      <c r="BY350" s="28"/>
      <c r="BZ350" s="28"/>
      <c r="CA350" s="28"/>
      <c r="CB350" s="28"/>
      <c r="CC350" s="28"/>
    </row>
    <row r="351" spans="73:81">
      <c r="BU351" s="28"/>
      <c r="BV351" s="28"/>
      <c r="BW351" s="28"/>
      <c r="BX351" s="28"/>
      <c r="BY351" s="28"/>
      <c r="BZ351" s="28"/>
      <c r="CA351" s="28"/>
      <c r="CB351" s="28"/>
      <c r="CC351" s="28"/>
    </row>
    <row r="352" spans="73:81">
      <c r="BU352" s="28"/>
      <c r="BV352" s="28"/>
      <c r="BW352" s="28"/>
      <c r="BX352" s="28"/>
      <c r="BY352" s="28"/>
      <c r="BZ352" s="28"/>
      <c r="CA352" s="28"/>
      <c r="CB352" s="28"/>
      <c r="CC352" s="28"/>
    </row>
    <row r="353" spans="73:81">
      <c r="BU353" s="155"/>
      <c r="BV353" s="155"/>
      <c r="BW353" s="155"/>
      <c r="BX353" s="155"/>
      <c r="BY353" s="155"/>
      <c r="BZ353" s="155"/>
      <c r="CA353" s="155"/>
      <c r="CB353" s="155"/>
      <c r="CC353" s="155"/>
    </row>
    <row r="354" spans="73:81">
      <c r="BU354" s="28"/>
      <c r="BV354" s="28"/>
      <c r="BW354" s="28"/>
      <c r="BX354" s="28"/>
      <c r="BY354" s="28"/>
      <c r="BZ354" s="28"/>
      <c r="CA354" s="28"/>
      <c r="CB354" s="28"/>
      <c r="CC354" s="28"/>
    </row>
    <row r="355" spans="73:81">
      <c r="BU355" s="155"/>
      <c r="BV355" s="155"/>
      <c r="BW355" s="155"/>
      <c r="BX355" s="155"/>
      <c r="BY355" s="155"/>
      <c r="BZ355" s="155"/>
      <c r="CA355" s="155"/>
      <c r="CB355" s="155"/>
      <c r="CC355" s="155"/>
    </row>
    <row r="356" spans="73:81">
      <c r="BU356" s="155"/>
      <c r="BV356" s="155"/>
      <c r="BW356" s="155"/>
      <c r="BX356" s="155"/>
      <c r="BY356" s="155"/>
      <c r="BZ356" s="155"/>
      <c r="CA356" s="155"/>
      <c r="CB356" s="155"/>
      <c r="CC356" s="155"/>
    </row>
    <row r="357" spans="73:81">
      <c r="BU357" s="155"/>
      <c r="BV357" s="155"/>
      <c r="BW357" s="155"/>
      <c r="BX357" s="155"/>
      <c r="BY357" s="155"/>
      <c r="BZ357" s="155"/>
      <c r="CA357" s="155"/>
      <c r="CB357" s="155"/>
      <c r="CC357" s="155"/>
    </row>
    <row r="358" spans="73:81">
      <c r="BU358" s="28"/>
      <c r="BV358" s="28"/>
      <c r="BW358" s="28"/>
      <c r="BX358" s="28"/>
      <c r="BY358" s="28"/>
      <c r="BZ358" s="28"/>
      <c r="CA358" s="28"/>
      <c r="CB358" s="28"/>
      <c r="CC358" s="28"/>
    </row>
    <row r="359" spans="73:81">
      <c r="BU359" s="28"/>
      <c r="BV359" s="28"/>
      <c r="BW359" s="28"/>
      <c r="BX359" s="28"/>
      <c r="BY359" s="28"/>
      <c r="BZ359" s="28"/>
      <c r="CA359" s="28"/>
      <c r="CB359" s="28"/>
      <c r="CC359" s="28"/>
    </row>
    <row r="360" spans="73:81">
      <c r="BU360" s="28"/>
      <c r="BV360" s="28"/>
      <c r="BW360" s="28"/>
      <c r="BX360" s="28"/>
      <c r="BY360" s="28"/>
      <c r="BZ360" s="28"/>
      <c r="CA360" s="28"/>
      <c r="CB360" s="28"/>
      <c r="CC360" s="28"/>
    </row>
    <row r="361" spans="73:81">
      <c r="BU361" s="155"/>
      <c r="BV361" s="155"/>
      <c r="BW361" s="155"/>
      <c r="BX361" s="155"/>
      <c r="BY361" s="155"/>
      <c r="BZ361" s="155"/>
      <c r="CA361" s="155"/>
      <c r="CB361" s="155"/>
      <c r="CC361" s="155"/>
    </row>
    <row r="362" spans="73:81">
      <c r="BU362" s="28"/>
      <c r="BV362" s="28"/>
      <c r="BW362" s="28"/>
      <c r="BX362" s="28"/>
      <c r="BY362" s="28"/>
      <c r="BZ362" s="28"/>
      <c r="CA362" s="28"/>
      <c r="CB362" s="28"/>
      <c r="CC362" s="28"/>
    </row>
    <row r="363" spans="73:81">
      <c r="BU363" s="155"/>
      <c r="BV363" s="155"/>
      <c r="BW363" s="155"/>
      <c r="BX363" s="155"/>
      <c r="BY363" s="155"/>
      <c r="BZ363" s="155"/>
      <c r="CA363" s="155"/>
      <c r="CB363" s="155"/>
      <c r="CC363" s="155"/>
    </row>
    <row r="364" spans="73:81">
      <c r="BU364" s="28"/>
      <c r="BV364" s="28"/>
      <c r="BW364" s="28"/>
      <c r="BX364" s="28"/>
      <c r="BY364" s="28"/>
      <c r="BZ364" s="28"/>
      <c r="CA364" s="28"/>
      <c r="CB364" s="28"/>
      <c r="CC364" s="28"/>
    </row>
    <row r="365" spans="73:81">
      <c r="BU365" s="155"/>
      <c r="BV365" s="155"/>
      <c r="BW365" s="155"/>
      <c r="BX365" s="155"/>
      <c r="BY365" s="155"/>
      <c r="BZ365" s="155"/>
      <c r="CA365" s="155"/>
      <c r="CB365" s="155"/>
      <c r="CC365" s="155"/>
    </row>
    <row r="366" spans="73:81">
      <c r="BU366" s="155"/>
      <c r="BV366" s="155"/>
      <c r="BW366" s="155"/>
      <c r="BX366" s="155"/>
      <c r="BY366" s="155"/>
      <c r="BZ366" s="155"/>
      <c r="CA366" s="155"/>
      <c r="CB366" s="155"/>
      <c r="CC366" s="155"/>
    </row>
    <row r="367" spans="73:81">
      <c r="BU367" s="155"/>
      <c r="BV367" s="155"/>
      <c r="BW367" s="155"/>
      <c r="BX367" s="155"/>
      <c r="BY367" s="155"/>
      <c r="BZ367" s="155"/>
      <c r="CA367" s="155"/>
      <c r="CB367" s="155"/>
      <c r="CC367" s="155"/>
    </row>
    <row r="368" spans="73:81">
      <c r="BU368" s="28"/>
      <c r="BV368" s="28"/>
      <c r="BW368" s="28"/>
      <c r="BX368" s="28"/>
      <c r="BY368" s="28"/>
      <c r="BZ368" s="28"/>
      <c r="CA368" s="28"/>
      <c r="CB368" s="28"/>
      <c r="CC368" s="28"/>
    </row>
    <row r="369" spans="73:81">
      <c r="BU369" s="28"/>
      <c r="BV369" s="28"/>
      <c r="BW369" s="28"/>
      <c r="BX369" s="28"/>
      <c r="BY369" s="28"/>
      <c r="BZ369" s="28"/>
      <c r="CA369" s="28"/>
      <c r="CB369" s="28"/>
      <c r="CC369" s="28"/>
    </row>
    <row r="370" spans="73:81">
      <c r="BU370" s="28"/>
      <c r="BV370" s="28"/>
      <c r="BW370" s="28"/>
      <c r="BX370" s="28"/>
      <c r="BY370" s="28"/>
      <c r="BZ370" s="28"/>
      <c r="CA370" s="28"/>
      <c r="CB370" s="28"/>
      <c r="CC370" s="28"/>
    </row>
    <row r="371" spans="73:81">
      <c r="BU371" s="28"/>
      <c r="BV371" s="28"/>
      <c r="BW371" s="28"/>
      <c r="BX371" s="28"/>
      <c r="BY371" s="28"/>
      <c r="BZ371" s="28"/>
      <c r="CA371" s="28"/>
      <c r="CB371" s="28"/>
      <c r="CC371" s="28"/>
    </row>
    <row r="372" spans="73:81">
      <c r="BU372" s="28"/>
      <c r="BV372" s="28"/>
      <c r="BW372" s="28"/>
      <c r="BX372" s="28"/>
      <c r="BY372" s="28"/>
      <c r="BZ372" s="28"/>
      <c r="CA372" s="28"/>
      <c r="CB372" s="28"/>
      <c r="CC372" s="28"/>
    </row>
    <row r="373" spans="73:81">
      <c r="BU373" s="28"/>
      <c r="BV373" s="28"/>
      <c r="BW373" s="28"/>
      <c r="BX373" s="28"/>
      <c r="BY373" s="28"/>
      <c r="BZ373" s="28"/>
      <c r="CA373" s="28"/>
      <c r="CB373" s="28"/>
      <c r="CC373" s="28"/>
    </row>
    <row r="374" spans="73:81">
      <c r="BU374" s="28"/>
      <c r="BV374" s="28"/>
      <c r="BW374" s="28"/>
      <c r="BX374" s="28"/>
      <c r="BY374" s="28"/>
      <c r="BZ374" s="28"/>
      <c r="CA374" s="28"/>
      <c r="CB374" s="28"/>
      <c r="CC374" s="28"/>
    </row>
    <row r="375" spans="73:81">
      <c r="BU375" s="28"/>
      <c r="BV375" s="28"/>
      <c r="BW375" s="28"/>
      <c r="BX375" s="28"/>
      <c r="BY375" s="28"/>
      <c r="BZ375" s="28"/>
      <c r="CA375" s="28"/>
      <c r="CB375" s="28"/>
      <c r="CC375" s="28"/>
    </row>
    <row r="376" spans="73:81">
      <c r="BU376" s="28"/>
      <c r="BV376" s="28"/>
      <c r="BW376" s="28"/>
      <c r="BX376" s="28"/>
      <c r="BY376" s="28"/>
      <c r="BZ376" s="28"/>
      <c r="CA376" s="28"/>
      <c r="CB376" s="28"/>
      <c r="CC376" s="28"/>
    </row>
    <row r="377" spans="73:81">
      <c r="BU377" s="28"/>
      <c r="BV377" s="28"/>
      <c r="BW377" s="28"/>
      <c r="BX377" s="28"/>
      <c r="BY377" s="28"/>
      <c r="BZ377" s="28"/>
      <c r="CA377" s="28"/>
      <c r="CB377" s="28"/>
      <c r="CC377" s="28"/>
    </row>
    <row r="378" spans="73:81">
      <c r="BU378" s="155"/>
      <c r="BV378" s="155"/>
      <c r="BW378" s="155"/>
      <c r="BX378" s="155"/>
      <c r="BY378" s="155"/>
      <c r="BZ378" s="155"/>
      <c r="CA378" s="155"/>
      <c r="CB378" s="155"/>
      <c r="CC378" s="155"/>
    </row>
    <row r="379" spans="73:81">
      <c r="BU379" s="28"/>
      <c r="BV379" s="28"/>
      <c r="BW379" s="28"/>
      <c r="BX379" s="28"/>
      <c r="BY379" s="28"/>
      <c r="BZ379" s="28"/>
      <c r="CA379" s="28"/>
      <c r="CB379" s="28"/>
      <c r="CC379" s="28"/>
    </row>
    <row r="380" spans="73:81">
      <c r="BU380" s="155"/>
      <c r="BV380" s="155"/>
      <c r="BW380" s="155"/>
      <c r="BX380" s="155"/>
      <c r="BY380" s="155"/>
      <c r="BZ380" s="155"/>
      <c r="CA380" s="155"/>
      <c r="CB380" s="155"/>
      <c r="CC380" s="155"/>
    </row>
    <row r="381" spans="73:81">
      <c r="BU381" s="155"/>
      <c r="BV381" s="155"/>
      <c r="BW381" s="155"/>
      <c r="BX381" s="155"/>
      <c r="BY381" s="155"/>
      <c r="BZ381" s="155"/>
      <c r="CA381" s="155"/>
      <c r="CB381" s="155"/>
      <c r="CC381" s="155"/>
    </row>
    <row r="382" spans="73:81">
      <c r="BU382" s="155"/>
      <c r="BV382" s="155"/>
      <c r="BW382" s="155"/>
      <c r="BX382" s="155"/>
      <c r="BY382" s="155"/>
      <c r="BZ382" s="155"/>
      <c r="CA382" s="155"/>
      <c r="CB382" s="155"/>
      <c r="CC382" s="155"/>
    </row>
    <row r="383" spans="73:81">
      <c r="BU383" s="28"/>
      <c r="BV383" s="28"/>
      <c r="BW383" s="28"/>
      <c r="BX383" s="28"/>
      <c r="BY383" s="28"/>
      <c r="BZ383" s="28"/>
      <c r="CA383" s="28"/>
      <c r="CB383" s="28"/>
      <c r="CC383" s="28"/>
    </row>
    <row r="384" spans="73:81">
      <c r="BU384" s="28"/>
      <c r="BV384" s="28"/>
      <c r="BW384" s="28"/>
      <c r="BX384" s="28"/>
      <c r="BY384" s="28"/>
      <c r="BZ384" s="28"/>
      <c r="CA384" s="28"/>
      <c r="CB384" s="28"/>
      <c r="CC384" s="28"/>
    </row>
    <row r="385" spans="73:81">
      <c r="BU385" s="28"/>
      <c r="BV385" s="28"/>
      <c r="BW385" s="28"/>
      <c r="BX385" s="28"/>
      <c r="BY385" s="28"/>
      <c r="BZ385" s="28"/>
      <c r="CA385" s="28"/>
      <c r="CB385" s="28"/>
      <c r="CC385" s="28"/>
    </row>
    <row r="386" spans="73:81">
      <c r="BU386" s="28"/>
      <c r="BV386" s="28"/>
      <c r="BW386" s="28"/>
      <c r="BX386" s="28"/>
      <c r="BY386" s="28"/>
      <c r="BZ386" s="28"/>
      <c r="CA386" s="28"/>
      <c r="CB386" s="28"/>
      <c r="CC386" s="28"/>
    </row>
    <row r="387" spans="73:81">
      <c r="BU387" s="28"/>
      <c r="BV387" s="28"/>
      <c r="BW387" s="28"/>
      <c r="BX387" s="28"/>
      <c r="BY387" s="28"/>
      <c r="BZ387" s="28"/>
      <c r="CA387" s="28"/>
      <c r="CB387" s="28"/>
      <c r="CC387" s="28"/>
    </row>
    <row r="388" spans="73:81">
      <c r="BU388" s="155"/>
      <c r="BV388" s="155"/>
      <c r="BW388" s="155"/>
      <c r="BX388" s="155"/>
      <c r="BY388" s="155"/>
      <c r="BZ388" s="155"/>
      <c r="CA388" s="155"/>
      <c r="CB388" s="155"/>
      <c r="CC388" s="155"/>
    </row>
    <row r="389" spans="73:81">
      <c r="BU389" s="28"/>
      <c r="BV389" s="28"/>
      <c r="BW389" s="28"/>
      <c r="BX389" s="28"/>
      <c r="BY389" s="28"/>
      <c r="BZ389" s="28"/>
      <c r="CA389" s="28"/>
      <c r="CB389" s="28"/>
      <c r="CC389" s="28"/>
    </row>
    <row r="390" spans="73:81">
      <c r="BU390" s="155"/>
      <c r="BV390" s="155"/>
      <c r="BW390" s="155"/>
      <c r="BX390" s="155"/>
      <c r="BY390" s="155"/>
      <c r="BZ390" s="155"/>
      <c r="CA390" s="155"/>
      <c r="CB390" s="155"/>
      <c r="CC390" s="155"/>
    </row>
    <row r="391" spans="73:81">
      <c r="BU391" s="155"/>
      <c r="BV391" s="155"/>
      <c r="BW391" s="155"/>
      <c r="BX391" s="155"/>
      <c r="BY391" s="155"/>
      <c r="BZ391" s="155"/>
      <c r="CA391" s="155"/>
      <c r="CB391" s="155"/>
      <c r="CC391" s="155"/>
    </row>
    <row r="393" spans="73:81">
      <c r="BU393" s="28"/>
      <c r="BV393" s="28"/>
      <c r="BW393" s="28"/>
      <c r="BX393" s="28"/>
      <c r="BY393" s="28"/>
      <c r="BZ393" s="28"/>
      <c r="CA393" s="28"/>
      <c r="CB393" s="28"/>
      <c r="CC393" s="28"/>
    </row>
    <row r="395" spans="73:81">
      <c r="BU395" s="28"/>
      <c r="BV395" s="28"/>
      <c r="BW395" s="28"/>
      <c r="BX395" s="28"/>
      <c r="BY395" s="28"/>
      <c r="BZ395" s="28"/>
      <c r="CA395" s="28"/>
      <c r="CB395" s="28"/>
      <c r="CC395" s="28"/>
    </row>
    <row r="397" spans="73:81">
      <c r="BU397" s="28"/>
      <c r="BV397" s="28"/>
      <c r="BW397" s="28"/>
      <c r="BX397" s="28"/>
      <c r="BY397" s="28"/>
      <c r="BZ397" s="28"/>
      <c r="CA397" s="28"/>
      <c r="CB397" s="28"/>
      <c r="CC397" s="28"/>
    </row>
    <row r="398" spans="73:81">
      <c r="BU398" s="28"/>
      <c r="BV398" s="28"/>
      <c r="BW398" s="28"/>
      <c r="BX398" s="28"/>
      <c r="BY398" s="28"/>
      <c r="BZ398" s="28"/>
      <c r="CA398" s="28"/>
      <c r="CB398" s="28"/>
      <c r="CC398" s="28"/>
    </row>
    <row r="399" spans="73:81">
      <c r="BU399" s="28"/>
      <c r="BV399" s="28"/>
      <c r="BW399" s="28"/>
      <c r="BX399" s="28"/>
      <c r="BY399" s="28"/>
      <c r="BZ399" s="28"/>
      <c r="CA399" s="28"/>
      <c r="CB399" s="28"/>
      <c r="CC399" s="28"/>
    </row>
    <row r="400" spans="73:81">
      <c r="BU400" s="28"/>
      <c r="BV400" s="28"/>
      <c r="BW400" s="28"/>
      <c r="BX400" s="28"/>
      <c r="BY400" s="28"/>
      <c r="BZ400" s="28"/>
      <c r="CA400" s="28"/>
      <c r="CB400" s="28"/>
      <c r="CC400" s="28"/>
    </row>
    <row r="401" spans="73:81">
      <c r="BU401" s="28"/>
      <c r="BV401" s="28"/>
      <c r="BW401" s="28"/>
      <c r="BX401" s="28"/>
      <c r="BY401" s="28"/>
      <c r="BZ401" s="28"/>
      <c r="CA401" s="28"/>
      <c r="CB401" s="28"/>
      <c r="CC401" s="28"/>
    </row>
    <row r="402" spans="73:81">
      <c r="BU402" s="28"/>
      <c r="BV402" s="28"/>
      <c r="BW402" s="28"/>
      <c r="BX402" s="28"/>
      <c r="BY402" s="28"/>
      <c r="BZ402" s="28"/>
      <c r="CA402" s="28"/>
      <c r="CB402" s="28"/>
      <c r="CC402" s="28"/>
    </row>
    <row r="403" spans="73:81">
      <c r="BU403" s="28"/>
      <c r="BV403" s="28"/>
      <c r="BW403" s="28"/>
      <c r="BX403" s="28"/>
      <c r="BY403" s="28"/>
      <c r="BZ403" s="28"/>
      <c r="CA403" s="28"/>
      <c r="CB403" s="28"/>
      <c r="CC403" s="28"/>
    </row>
    <row r="406" spans="73:81">
      <c r="BU406" s="28"/>
      <c r="BV406" s="28"/>
      <c r="BW406" s="28"/>
      <c r="BX406" s="28"/>
      <c r="BY406" s="28"/>
      <c r="BZ406" s="28"/>
      <c r="CA406" s="28"/>
      <c r="CB406" s="28"/>
      <c r="CC406" s="28"/>
    </row>
    <row r="431" spans="73:81">
      <c r="BU431" s="28"/>
      <c r="BV431" s="28"/>
      <c r="BW431" s="28"/>
      <c r="BX431" s="28"/>
      <c r="BY431" s="28"/>
      <c r="BZ431" s="28"/>
      <c r="CA431" s="28"/>
      <c r="CB431" s="28"/>
      <c r="CC431" s="28"/>
    </row>
    <row r="439" spans="73:81">
      <c r="BU439" s="52"/>
      <c r="BV439" s="52"/>
      <c r="BW439" s="52"/>
      <c r="BX439" s="52"/>
      <c r="BY439" s="52"/>
      <c r="BZ439" s="52"/>
      <c r="CA439" s="52"/>
      <c r="CB439" s="52"/>
      <c r="CC439" s="52"/>
    </row>
  </sheetData>
  <sheetProtection algorithmName="SHA-512" hashValue="4akrahKeJ8z8DukEwRYJfDgJEO4E4H2N1SKiZ+KCdzvFSkve6+wkQAUHD9rK6NsJiul+fnEVrQKo5GanWL6zLQ==" saltValue="Zptb3GRJo84JEPFmDGQBdA==" spinCount="100000" sheet="1" objects="1" scenarios="1" selectLockedCells="1"/>
  <mergeCells count="292">
    <mergeCell ref="AA192:AE192"/>
    <mergeCell ref="Z132:AJ132"/>
    <mergeCell ref="AM192:AQ192"/>
    <mergeCell ref="Z64:AJ64"/>
    <mergeCell ref="Z67:AJ67"/>
    <mergeCell ref="AR67:BB67"/>
    <mergeCell ref="AR97:BB97"/>
    <mergeCell ref="AR107:BB107"/>
    <mergeCell ref="AR110:BB110"/>
    <mergeCell ref="AR113:BB113"/>
    <mergeCell ref="AR168:BB168"/>
    <mergeCell ref="AR84:BB84"/>
    <mergeCell ref="Z94:AJ94"/>
    <mergeCell ref="AR148:BB148"/>
    <mergeCell ref="AL154:AN154"/>
    <mergeCell ref="Z153:AJ153"/>
    <mergeCell ref="AR153:BB153"/>
    <mergeCell ref="Z152:AJ152"/>
    <mergeCell ref="AR152:BB152"/>
    <mergeCell ref="Z149:AJ149"/>
    <mergeCell ref="AR149:BB149"/>
    <mergeCell ref="Z151:AJ151"/>
    <mergeCell ref="AR151:BB151"/>
    <mergeCell ref="Z107:AJ107"/>
    <mergeCell ref="U194:V194"/>
    <mergeCell ref="Z136:AJ136"/>
    <mergeCell ref="AR136:BB136"/>
    <mergeCell ref="Z137:AJ137"/>
    <mergeCell ref="AR137:BB137"/>
    <mergeCell ref="Z138:AJ138"/>
    <mergeCell ref="AR138:BB138"/>
    <mergeCell ref="AK138:AO138"/>
    <mergeCell ref="AR124:BB124"/>
    <mergeCell ref="AG192:AK192"/>
    <mergeCell ref="Z168:AJ168"/>
    <mergeCell ref="Z188:AJ188"/>
    <mergeCell ref="Z176:AJ176"/>
    <mergeCell ref="Z185:AJ185"/>
    <mergeCell ref="Z183:AJ183"/>
    <mergeCell ref="Z171:AJ171"/>
    <mergeCell ref="AS192:AW192"/>
    <mergeCell ref="AY192:BC192"/>
    <mergeCell ref="AR132:BB132"/>
    <mergeCell ref="AR125:BB125"/>
    <mergeCell ref="AR126:BB126"/>
    <mergeCell ref="Z128:AJ128"/>
    <mergeCell ref="AR154:BB154"/>
    <mergeCell ref="Z148:AJ148"/>
    <mergeCell ref="BF196:BH196"/>
    <mergeCell ref="CF50:CS50"/>
    <mergeCell ref="R200:S200"/>
    <mergeCell ref="U196:V196"/>
    <mergeCell ref="R202:S202"/>
    <mergeCell ref="R196:S196"/>
    <mergeCell ref="R197:S197"/>
    <mergeCell ref="R198:S198"/>
    <mergeCell ref="R199:S199"/>
    <mergeCell ref="R201:S201"/>
    <mergeCell ref="U197:V197"/>
    <mergeCell ref="BF200:BH200"/>
    <mergeCell ref="BF202:BH202"/>
    <mergeCell ref="U202:V202"/>
    <mergeCell ref="AM202:AQ202"/>
    <mergeCell ref="AS202:AW202"/>
    <mergeCell ref="AY202:BC202"/>
    <mergeCell ref="AM198:AQ198"/>
    <mergeCell ref="AS198:AW198"/>
    <mergeCell ref="AY198:BC198"/>
    <mergeCell ref="U199:V199"/>
    <mergeCell ref="AM199:AQ199"/>
    <mergeCell ref="AS199:AW199"/>
    <mergeCell ref="AY199:BC199"/>
    <mergeCell ref="U30:W30"/>
    <mergeCell ref="U34:W34"/>
    <mergeCell ref="U35:W35"/>
    <mergeCell ref="Z35:AJ35"/>
    <mergeCell ref="Z37:AJ37"/>
    <mergeCell ref="AR37:BB37"/>
    <mergeCell ref="Z39:AJ39"/>
    <mergeCell ref="AR39:BB39"/>
    <mergeCell ref="U31:W31"/>
    <mergeCell ref="Z31:AJ31"/>
    <mergeCell ref="AR31:BB31"/>
    <mergeCell ref="AR35:BB35"/>
    <mergeCell ref="Z34:AJ34"/>
    <mergeCell ref="AR34:BB34"/>
    <mergeCell ref="U32:W32"/>
    <mergeCell ref="Z32:AJ32"/>
    <mergeCell ref="AR32:BB32"/>
    <mergeCell ref="Z30:AJ30"/>
    <mergeCell ref="AR30:BB30"/>
    <mergeCell ref="Z33:AJ33"/>
    <mergeCell ref="AR33:BB33"/>
    <mergeCell ref="AM203:AQ203"/>
    <mergeCell ref="AS203:AW203"/>
    <mergeCell ref="AY203:BC203"/>
    <mergeCell ref="U200:V200"/>
    <mergeCell ref="AM200:AQ200"/>
    <mergeCell ref="AS200:AW200"/>
    <mergeCell ref="AY200:BC200"/>
    <mergeCell ref="U201:V201"/>
    <mergeCell ref="AM201:AQ201"/>
    <mergeCell ref="AS201:AW201"/>
    <mergeCell ref="AY201:BC201"/>
    <mergeCell ref="AA200:AE200"/>
    <mergeCell ref="AG200:AK200"/>
    <mergeCell ref="AA201:AE201"/>
    <mergeCell ref="AG201:AK201"/>
    <mergeCell ref="AA202:AE202"/>
    <mergeCell ref="AG202:AK202"/>
    <mergeCell ref="AA203:AE203"/>
    <mergeCell ref="AG203:AK203"/>
    <mergeCell ref="X200:Y200"/>
    <mergeCell ref="X201:Y201"/>
    <mergeCell ref="X202:Y202"/>
    <mergeCell ref="AA198:AE198"/>
    <mergeCell ref="AG198:AK198"/>
    <mergeCell ref="AA199:AE199"/>
    <mergeCell ref="AG199:AK199"/>
    <mergeCell ref="X198:Y198"/>
    <mergeCell ref="X199:Y199"/>
    <mergeCell ref="U198:V198"/>
    <mergeCell ref="AM197:AQ197"/>
    <mergeCell ref="AS197:AW197"/>
    <mergeCell ref="AY197:BC197"/>
    <mergeCell ref="AA196:AE196"/>
    <mergeCell ref="AG196:AK196"/>
    <mergeCell ref="AA197:AE197"/>
    <mergeCell ref="AG197:AK197"/>
    <mergeCell ref="AR171:BB171"/>
    <mergeCell ref="AR147:BB147"/>
    <mergeCell ref="AR130:BB130"/>
    <mergeCell ref="BC138:BG138"/>
    <mergeCell ref="Z160:AJ160"/>
    <mergeCell ref="AR160:BB160"/>
    <mergeCell ref="Z161:AJ161"/>
    <mergeCell ref="AR161:BB161"/>
    <mergeCell ref="Z162:AJ162"/>
    <mergeCell ref="AR162:BB162"/>
    <mergeCell ref="AL162:AN162"/>
    <mergeCell ref="BD162:BF162"/>
    <mergeCell ref="Z165:AJ165"/>
    <mergeCell ref="AR165:BB165"/>
    <mergeCell ref="BD143:BF143"/>
    <mergeCell ref="Z143:AJ143"/>
    <mergeCell ref="AR143:BB143"/>
    <mergeCell ref="BD154:BF154"/>
    <mergeCell ref="Z154:AJ154"/>
    <mergeCell ref="X196:Y196"/>
    <mergeCell ref="X197:Y197"/>
    <mergeCell ref="AV157:BC157"/>
    <mergeCell ref="AM196:AQ196"/>
    <mergeCell ref="AS196:AW196"/>
    <mergeCell ref="AY196:BC196"/>
    <mergeCell ref="AQ17:BH17"/>
    <mergeCell ref="AR61:BB61"/>
    <mergeCell ref="D2:P2"/>
    <mergeCell ref="D3:P3"/>
    <mergeCell ref="U2:AF2"/>
    <mergeCell ref="AR87:BB87"/>
    <mergeCell ref="C17:N17"/>
    <mergeCell ref="Q17:U17"/>
    <mergeCell ref="W17:AE17"/>
    <mergeCell ref="AG17:AO17"/>
    <mergeCell ref="Z43:AJ43"/>
    <mergeCell ref="AR43:BB43"/>
    <mergeCell ref="AR69:AW69"/>
    <mergeCell ref="AR70:AW70"/>
    <mergeCell ref="Z68:AJ68"/>
    <mergeCell ref="AR68:BB68"/>
    <mergeCell ref="AR22:BG22"/>
    <mergeCell ref="Z62:AJ62"/>
    <mergeCell ref="R188:S188"/>
    <mergeCell ref="Z174:AJ174"/>
    <mergeCell ref="AR174:BB174"/>
    <mergeCell ref="Z175:AJ175"/>
    <mergeCell ref="AR175:BB175"/>
    <mergeCell ref="Z177:AJ177"/>
    <mergeCell ref="AR177:BB177"/>
    <mergeCell ref="Z167:AJ167"/>
    <mergeCell ref="Z166:AJ166"/>
    <mergeCell ref="AR166:BB166"/>
    <mergeCell ref="Z184:AJ184"/>
    <mergeCell ref="AR184:BB184"/>
    <mergeCell ref="Z179:AJ179"/>
    <mergeCell ref="AR179:BB179"/>
    <mergeCell ref="Z187:AJ187"/>
    <mergeCell ref="AR187:BB187"/>
    <mergeCell ref="AR167:BB167"/>
    <mergeCell ref="AR183:BB183"/>
    <mergeCell ref="AR185:BB185"/>
    <mergeCell ref="AR176:BB176"/>
    <mergeCell ref="AR188:BB188"/>
    <mergeCell ref="N39:P39"/>
    <mergeCell ref="N50:P50"/>
    <mergeCell ref="Z84:AJ84"/>
    <mergeCell ref="Z79:AJ79"/>
    <mergeCell ref="AR94:BB94"/>
    <mergeCell ref="Z95:AJ95"/>
    <mergeCell ref="AR95:BB95"/>
    <mergeCell ref="Z96:AJ96"/>
    <mergeCell ref="AR96:BB96"/>
    <mergeCell ref="Z45:AJ45"/>
    <mergeCell ref="Z69:AE69"/>
    <mergeCell ref="Z70:AE70"/>
    <mergeCell ref="AR45:BB45"/>
    <mergeCell ref="Z61:AJ61"/>
    <mergeCell ref="AR89:BB89"/>
    <mergeCell ref="AR88:BB88"/>
    <mergeCell ref="Z89:AJ89"/>
    <mergeCell ref="Z77:AJ77"/>
    <mergeCell ref="Z90:AJ90"/>
    <mergeCell ref="AR90:BB90"/>
    <mergeCell ref="Z66:AJ66"/>
    <mergeCell ref="AR66:BB66"/>
    <mergeCell ref="Z97:AJ97"/>
    <mergeCell ref="Z124:AJ124"/>
    <mergeCell ref="Z72:AJ72"/>
    <mergeCell ref="AR72:BB72"/>
    <mergeCell ref="AR78:BB78"/>
    <mergeCell ref="AR81:BB81"/>
    <mergeCell ref="AR79:BB79"/>
    <mergeCell ref="Z105:AJ105"/>
    <mergeCell ref="Z101:AJ101"/>
    <mergeCell ref="Z102:AJ102"/>
    <mergeCell ref="AR101:BB101"/>
    <mergeCell ref="AR102:BB102"/>
    <mergeCell ref="AR105:BB105"/>
    <mergeCell ref="Z103:AJ103"/>
    <mergeCell ref="AR103:BB103"/>
    <mergeCell ref="Z104:AJ104"/>
    <mergeCell ref="AR104:BB104"/>
    <mergeCell ref="AR80:BB80"/>
    <mergeCell ref="AR77:BB77"/>
    <mergeCell ref="Z130:AJ130"/>
    <mergeCell ref="Z110:AJ110"/>
    <mergeCell ref="Z117:AJ117"/>
    <mergeCell ref="AR117:BB117"/>
    <mergeCell ref="Z116:AJ116"/>
    <mergeCell ref="AR116:BB116"/>
    <mergeCell ref="Z134:AJ134"/>
    <mergeCell ref="AR134:BB134"/>
    <mergeCell ref="Z115:AJ115"/>
    <mergeCell ref="Z126:AJ126"/>
    <mergeCell ref="Z164:AJ164"/>
    <mergeCell ref="AR164:BB164"/>
    <mergeCell ref="AL143:AN143"/>
    <mergeCell ref="Z111:AJ111"/>
    <mergeCell ref="Z129:AJ129"/>
    <mergeCell ref="AR129:BB129"/>
    <mergeCell ref="AR128:BB128"/>
    <mergeCell ref="Z125:AJ125"/>
    <mergeCell ref="Z118:AJ118"/>
    <mergeCell ref="Z112:AJ112"/>
    <mergeCell ref="AR112:BB112"/>
    <mergeCell ref="Z146:AJ146"/>
    <mergeCell ref="AR146:BB146"/>
    <mergeCell ref="Z147:AJ147"/>
    <mergeCell ref="AR118:BB118"/>
    <mergeCell ref="Z113:AJ113"/>
    <mergeCell ref="Z133:AJ133"/>
    <mergeCell ref="AR133:BB133"/>
    <mergeCell ref="Z141:AJ141"/>
    <mergeCell ref="AR141:BB141"/>
    <mergeCell ref="AR115:BB115"/>
    <mergeCell ref="AR111:BB111"/>
    <mergeCell ref="AR142:BB142"/>
    <mergeCell ref="Z142:AJ142"/>
    <mergeCell ref="AA207:AE207"/>
    <mergeCell ref="AG207:AK207"/>
    <mergeCell ref="AM207:AQ207"/>
    <mergeCell ref="AS207:AW207"/>
    <mergeCell ref="AY207:BC207"/>
    <mergeCell ref="Z41:AJ41"/>
    <mergeCell ref="AR41:BB41"/>
    <mergeCell ref="U28:W28"/>
    <mergeCell ref="U27:W27"/>
    <mergeCell ref="U29:W29"/>
    <mergeCell ref="Z60:AJ60"/>
    <mergeCell ref="AR60:BB60"/>
    <mergeCell ref="AR62:BB62"/>
    <mergeCell ref="Z140:AJ140"/>
    <mergeCell ref="AR140:BB140"/>
    <mergeCell ref="AR64:BB64"/>
    <mergeCell ref="Z85:AJ85"/>
    <mergeCell ref="AR85:BB85"/>
    <mergeCell ref="Z78:AJ78"/>
    <mergeCell ref="Z88:AJ88"/>
    <mergeCell ref="Z86:AJ86"/>
    <mergeCell ref="AR86:BB86"/>
    <mergeCell ref="Z83:AJ83"/>
    <mergeCell ref="AR83:BB83"/>
  </mergeCells>
  <phoneticPr fontId="9" type="noConversion"/>
  <conditionalFormatting sqref="AR183:BG183 BG24:BG26 BG45:BG48 AR169:BG170 BC168:BG168 BC171:BG171 AR185:BG185 BC184:BG184 BC187:BG188 BG41:BG42 BG114:BG134 BG150:BG154 BG36:BG39 BG66 BG73:BG85 BG59:BG62 BC177:BG177 BG140:BG148 AG193:AK193 BG105:BG112 BG87:BG96 BG98:BG103">
    <cfRule type="expression" dxfId="74" priority="109">
      <formula>IF($AR$22=1,1,0)</formula>
    </cfRule>
  </conditionalFormatting>
  <conditionalFormatting sqref="BG57">
    <cfRule type="expression" dxfId="73" priority="107">
      <formula>IF($AR$22=1,1,0)</formula>
    </cfRule>
  </conditionalFormatting>
  <conditionalFormatting sqref="BG43">
    <cfRule type="expression" dxfId="72" priority="105">
      <formula>IF($AR$22=1,1,0)</formula>
    </cfRule>
  </conditionalFormatting>
  <conditionalFormatting sqref="BG65">
    <cfRule type="expression" dxfId="71" priority="104">
      <formula>IF($AR$22=1,1,0)</formula>
    </cfRule>
  </conditionalFormatting>
  <conditionalFormatting sqref="BG68:BG70">
    <cfRule type="expression" dxfId="70" priority="102">
      <formula>IF($AR$22=1,1,0)</formula>
    </cfRule>
  </conditionalFormatting>
  <conditionalFormatting sqref="BC165:BG165">
    <cfRule type="expression" dxfId="69" priority="99">
      <formula>IF($AR$22=1,1,0)</formula>
    </cfRule>
  </conditionalFormatting>
  <conditionalFormatting sqref="BC164:BG164">
    <cfRule type="expression" dxfId="68" priority="98">
      <formula>IF($AR$22=1,1,0)</formula>
    </cfRule>
  </conditionalFormatting>
  <conditionalFormatting sqref="AR166:BG166">
    <cfRule type="expression" dxfId="67" priority="97">
      <formula>IF($AR$22=1,1,0)</formula>
    </cfRule>
  </conditionalFormatting>
  <conditionalFormatting sqref="BC167:BG167">
    <cfRule type="expression" dxfId="66" priority="96">
      <formula>IF($AR$22=1,1,0)</formula>
    </cfRule>
  </conditionalFormatting>
  <conditionalFormatting sqref="AR172:BG173">
    <cfRule type="expression" dxfId="65" priority="95">
      <formula>IF($AR$22=1,1,0)</formula>
    </cfRule>
  </conditionalFormatting>
  <conditionalFormatting sqref="BC176:BG176">
    <cfRule type="expression" dxfId="64" priority="94">
      <formula>IF($AR$22=1,1,0)</formula>
    </cfRule>
  </conditionalFormatting>
  <conditionalFormatting sqref="BC174:BG174">
    <cfRule type="expression" dxfId="63" priority="93">
      <formula>IF($AR$22=1,1,0)</formula>
    </cfRule>
  </conditionalFormatting>
  <conditionalFormatting sqref="BC175:BG175">
    <cfRule type="expression" dxfId="62" priority="92">
      <formula>IF($AR$22=1,1,0)</formula>
    </cfRule>
  </conditionalFormatting>
  <conditionalFormatting sqref="BG86">
    <cfRule type="expression" dxfId="61" priority="91">
      <formula>IF($AR$22=1,1,0)</formula>
    </cfRule>
  </conditionalFormatting>
  <conditionalFormatting sqref="BC179:BG180">
    <cfRule type="expression" dxfId="60" priority="90">
      <formula>IF($AR$22=1,1,0)</formula>
    </cfRule>
  </conditionalFormatting>
  <conditionalFormatting sqref="AR186:BG186">
    <cfRule type="expression" dxfId="59" priority="89">
      <formula>IF($AR$22=1,1,0)</formula>
    </cfRule>
  </conditionalFormatting>
  <conditionalFormatting sqref="D69:S70">
    <cfRule type="expression" dxfId="58" priority="88">
      <formula>IF($R$188=0,1,0)</formula>
    </cfRule>
  </conditionalFormatting>
  <conditionalFormatting sqref="Z69:AE70">
    <cfRule type="expression" dxfId="57" priority="87">
      <formula>IF(Z$188=0,1,0)</formula>
    </cfRule>
  </conditionalFormatting>
  <conditionalFormatting sqref="AL45 AL37:AL38 U39 AL43 AL40:AL41 AL66 U67">
    <cfRule type="expression" dxfId="56" priority="84">
      <formula>IF($AL$2=1,0,1)</formula>
    </cfRule>
  </conditionalFormatting>
  <conditionalFormatting sqref="AM45 AM37:AM38 V39 AM43 AM40:AM41 AM66 V67">
    <cfRule type="expression" dxfId="55" priority="83">
      <formula>IF($AM$2=1,0,1)</formula>
    </cfRule>
  </conditionalFormatting>
  <conditionalFormatting sqref="AN45 AN37:AN38 W39 AN43 AN40:AN41 AN66 W67">
    <cfRule type="expression" dxfId="54" priority="82">
      <formula>IF($AN$2=1,0,1)</formula>
    </cfRule>
  </conditionalFormatting>
  <conditionalFormatting sqref="BG64">
    <cfRule type="expression" dxfId="53" priority="68">
      <formula>IF($AR$22=1,1,0)</formula>
    </cfRule>
  </conditionalFormatting>
  <conditionalFormatting sqref="BG63">
    <cfRule type="expression" dxfId="52" priority="67">
      <formula>IF($AR$22=1,1,0)</formula>
    </cfRule>
  </conditionalFormatting>
  <conditionalFormatting sqref="BG72">
    <cfRule type="expression" dxfId="51" priority="57">
      <formula>IF($AR$22=1,1,0)</formula>
    </cfRule>
  </conditionalFormatting>
  <conditionalFormatting sqref="BG71">
    <cfRule type="expression" dxfId="50" priority="56">
      <formula>IF($AR$22=1,1,0)</formula>
    </cfRule>
  </conditionalFormatting>
  <conditionalFormatting sqref="BG104">
    <cfRule type="expression" dxfId="49" priority="54">
      <formula>IF($AR$22=1,1,0)</formula>
    </cfRule>
  </conditionalFormatting>
  <conditionalFormatting sqref="BG113">
    <cfRule type="expression" dxfId="48" priority="53">
      <formula>IF($AR$22=1,1,0)</formula>
    </cfRule>
  </conditionalFormatting>
  <conditionalFormatting sqref="BG139">
    <cfRule type="expression" dxfId="47" priority="52">
      <formula>IF($AR$22=1,1,0)</formula>
    </cfRule>
  </conditionalFormatting>
  <conditionalFormatting sqref="BG149">
    <cfRule type="expression" dxfId="46" priority="51">
      <formula>IF($AR$22=1,1,0)</formula>
    </cfRule>
  </conditionalFormatting>
  <conditionalFormatting sqref="AG195:AK195">
    <cfRule type="expression" dxfId="45" priority="48">
      <formula>IF($AR$22=1,1,0)</formula>
    </cfRule>
  </conditionalFormatting>
  <conditionalFormatting sqref="C72:X72">
    <cfRule type="expression" dxfId="44" priority="36">
      <formula>IF($U$35=1,0,1)</formula>
    </cfRule>
  </conditionalFormatting>
  <conditionalFormatting sqref="Z72:AJ72">
    <cfRule type="expression" dxfId="43" priority="635">
      <formula>IF($Z$35=1,0,1)</formula>
    </cfRule>
  </conditionalFormatting>
  <conditionalFormatting sqref="BG49:BG50">
    <cfRule type="expression" dxfId="42" priority="35">
      <formula>IF($AR$22=1,1,0)</formula>
    </cfRule>
  </conditionalFormatting>
  <conditionalFormatting sqref="BG58">
    <cfRule type="expression" dxfId="41" priority="30">
      <formula>IF($AR$22=1,1,0)</formula>
    </cfRule>
  </conditionalFormatting>
  <conditionalFormatting sqref="AR24:BF26 AR29:BF30 AR34:BF40 BC31:BF33 AR91:BF96 AR97:BB97 AR42:BF50 BC41:BF41">
    <cfRule type="expression" dxfId="40" priority="29">
      <formula>IF($BM$24=1,0,1)</formula>
    </cfRule>
  </conditionalFormatting>
  <conditionalFormatting sqref="AR57:BF66 AR98:BF134 AR97:BB97 AR139:BF154 AR68:BF96">
    <cfRule type="expression" dxfId="39" priority="28">
      <formula>IF($BM$24=1,0,1)</formula>
    </cfRule>
  </conditionalFormatting>
  <conditionalFormatting sqref="AR28:BF28">
    <cfRule type="expression" dxfId="38" priority="26">
      <formula>IF($BM$24=1,0,1)</formula>
    </cfRule>
  </conditionalFormatting>
  <conditionalFormatting sqref="AR27:BF27">
    <cfRule type="expression" dxfId="37" priority="24">
      <formula>IF($BM$24=1,0,1)</formula>
    </cfRule>
  </conditionalFormatting>
  <conditionalFormatting sqref="C47:BB50">
    <cfRule type="expression" dxfId="36" priority="22">
      <formula>IF($BM$47=1,0,1)</formula>
    </cfRule>
  </conditionalFormatting>
  <conditionalFormatting sqref="AR69:AW70">
    <cfRule type="expression" dxfId="35" priority="21">
      <formula>IF($AR$188=0,1,0)</formula>
    </cfRule>
  </conditionalFormatting>
  <conditionalFormatting sqref="AR72:BB72">
    <cfRule type="expression" dxfId="34" priority="20">
      <formula>IF($AR$35=1,0,1)</formula>
    </cfRule>
  </conditionalFormatting>
  <conditionalFormatting sqref="AR161:BG161">
    <cfRule type="expression" dxfId="33" priority="19">
      <formula>IF($AR$22=1,1,0)</formula>
    </cfRule>
  </conditionalFormatting>
  <conditionalFormatting sqref="AR160:BG160">
    <cfRule type="expression" dxfId="32" priority="18">
      <formula>IF($AR$22=1,1,0)</formula>
    </cfRule>
  </conditionalFormatting>
  <conditionalFormatting sqref="AR162:BC163 BG162:BG163">
    <cfRule type="expression" dxfId="31" priority="17">
      <formula>IF($AR$22=1,1,0)</formula>
    </cfRule>
  </conditionalFormatting>
  <conditionalFormatting sqref="AR32:BB32">
    <cfRule type="expression" dxfId="30" priority="16">
      <formula>IF($BM$24=1,0,1)</formula>
    </cfRule>
  </conditionalFormatting>
  <conditionalFormatting sqref="AR31:BB31">
    <cfRule type="expression" dxfId="29" priority="15">
      <formula>IF($BM$24=1,0,1)</formula>
    </cfRule>
  </conditionalFormatting>
  <conditionalFormatting sqref="BG96">
    <cfRule type="expression" dxfId="28" priority="13">
      <formula>IF($AR$22=1,1,0)</formula>
    </cfRule>
  </conditionalFormatting>
  <conditionalFormatting sqref="BG135:BG137">
    <cfRule type="expression" dxfId="27" priority="11">
      <formula>IF($AR$22=1,1,0)</formula>
    </cfRule>
  </conditionalFormatting>
  <conditionalFormatting sqref="AR135:BF137 AR138:BB138">
    <cfRule type="expression" dxfId="26" priority="10">
      <formula>IF($BM$24=1,0,1)</formula>
    </cfRule>
  </conditionalFormatting>
  <conditionalFormatting sqref="U90">
    <cfRule type="expression" dxfId="25" priority="9">
      <formula>IF($AL$2=1,0,1)</formula>
    </cfRule>
  </conditionalFormatting>
  <conditionalFormatting sqref="V90">
    <cfRule type="expression" dxfId="24" priority="8">
      <formula>IF($AM$2=1,0,1)</formula>
    </cfRule>
  </conditionalFormatting>
  <conditionalFormatting sqref="W90">
    <cfRule type="expression" dxfId="23" priority="7">
      <formula>IF($AN$2=1,0,1)</formula>
    </cfRule>
  </conditionalFormatting>
  <conditionalFormatting sqref="AL61">
    <cfRule type="expression" dxfId="22" priority="6">
      <formula>IF($AL$2=1,0,1)</formula>
    </cfRule>
  </conditionalFormatting>
  <conditionalFormatting sqref="AM61">
    <cfRule type="expression" dxfId="21" priority="5">
      <formula>IF($AM$2=1,0,1)</formula>
    </cfRule>
  </conditionalFormatting>
  <conditionalFormatting sqref="AN61">
    <cfRule type="expression" dxfId="20" priority="4">
      <formula>IF($AN$2=1,0,1)</formula>
    </cfRule>
  </conditionalFormatting>
  <conditionalFormatting sqref="BG67">
    <cfRule type="expression" dxfId="19" priority="3">
      <formula>IF($AR$22=1,1,0)</formula>
    </cfRule>
  </conditionalFormatting>
  <conditionalFormatting sqref="AR67:BF67">
    <cfRule type="expression" dxfId="18" priority="2">
      <formula>IF($BM$24=1,0,1)</formula>
    </cfRule>
  </conditionalFormatting>
  <conditionalFormatting sqref="AR41">
    <cfRule type="expression" dxfId="17" priority="1">
      <formula>IF($BM$24=1,0,1)</formula>
    </cfRule>
  </conditionalFormatting>
  <dataValidations xWindow="1061" yWindow="820" count="33">
    <dataValidation allowBlank="1" showInputMessage="1" showErrorMessage="1" prompt="Im Vollservice sind alle Arbeiten und alles Material enthalten." sqref="AL45" xr:uid="{8ED597E3-0D1D-F84E-B60C-2CF0A7F3D79E}"/>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L41" xr:uid="{231625C1-5939-0C4F-A693-B662B16239E6}"/>
    <dataValidation allowBlank="1" showInputMessage="1" showErrorMessage="1" prompt="Investitionskosten der gesamten Kälteanlage." sqref="AL37" xr:uid="{B3176DE8-A01C-7F44-A213-A4F9D175F2ED}"/>
    <dataValidation allowBlank="1" showInputMessage="1" showErrorMessage="1" prompt="Kosten von Standard-Wartungsverträgen ohne Material (Präventivservice. Das Programm rechnet für das Material einen prozentualen Anteil der Investitionskosten ein." sqref="AL43" xr:uid="{BAA2936A-F49F-1740-9998-8EBE266AB47D}"/>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L40" xr:uid="{E32F4C89-A042-4341-868F-E306D1B2980D}"/>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U39" xr:uid="{BC68BD8D-1527-9C4B-BFC0-7F1A94A84A90}"/>
    <dataValidation allowBlank="1" showInputMessage="1" showErrorMessage="1" prompt="Es wird die teuerste der drei Variante übernommen (Standard - Präventiv-Wartung oder Vollservice)." sqref="AL66" xr:uid="{CDC9071E-5126-3141-B106-F1685B6B06E4}"/>
    <dataValidation allowBlank="1" showInputMessage="1" showErrorMessage="1" prompt="Coûts d'investissement de l'installation frigorifique complète." sqref="AM37" xr:uid="{90DB9E66-5275-1F45-BE2A-0DB8EAD5E672}"/>
    <dataValidation allowBlank="1" showInputMessage="1" showErrorMessage="1" prompt="Spese d'investimento dell'intero impianto di refrigerazione." sqref="AN37" xr:uid="{E9F26F23-449D-064C-8B82-760FFF8C58D9}"/>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V39" xr:uid="{C1D1251C-5A18-E54A-AADB-B88893994CDE}"/>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W39" xr:uid="{2AAB91D1-E333-6E43-AB98-E687BC7D2B4A}"/>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M41" xr:uid="{24902C36-4235-A447-A71E-45FEE901FF3F}"/>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N41" xr:uid="{A8AAAC44-9722-044E-A758-25F2B21E5FAB}"/>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M40" xr:uid="{5277100C-C48C-AB4C-A2B7-A20F6A144885}"/>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N40" xr:uid="{6148ACD6-1B0F-C547-9FE5-8EE42D954E26}"/>
    <dataValidation allowBlank="1" showInputMessage="1" showErrorMessage="1" prompt="Coûts des contrats d'entretien standard sans matériel (S.A.V. préventif. Le programme intègre un prorata des coûts d'investissement pour le matériel." sqref="AM43" xr:uid="{C153F19C-02E2-3E49-A5C7-CA05A9A80FCE}"/>
    <dataValidation allowBlank="1" showInputMessage="1" showErrorMessage="1" prompt="Costi per i contratti di manutenzione standard senza materiale (preventivo del servizio). Il programma calcola per il materiale una quota percentuale dei costi d'investimento." sqref="AN43" xr:uid="{67AAA246-0FAA-2344-BCC1-7C714D662B3B}"/>
    <dataValidation allowBlank="1" showInputMessage="1" showErrorMessage="1" prompt="En SAV complet, tous les travaux et matériels sont compris. " sqref="AM45" xr:uid="{76637DF9-7CCC-644F-8884-5B3D963A68B9}"/>
    <dataValidation allowBlank="1" showInputMessage="1" showErrorMessage="1" prompt="In pieno servizio sono inclusi tutti gli interventi e tutto il materiale. " sqref="AN45" xr:uid="{16CBB907-4862-0441-B3EC-F95F59C50205}"/>
    <dataValidation type="custom" allowBlank="1" showInputMessage="1" showErrorMessage="1" error="Check Value" sqref="N50:P50" xr:uid="{AD641EEE-7AB6-7647-B9AB-AA8CFA2EF362}">
      <formula1>IF(N50&gt;AY203,0,IF(N50&lt;AS203,0,1))</formula1>
    </dataValidation>
    <dataValidation type="custom" allowBlank="1" showInputMessage="1" showErrorMessage="1" error="Check Value" sqref="P39" xr:uid="{B021B72E-3D5E-144C-B0D4-A0A88DBBC78A}">
      <formula1>IF(P39&gt;Z202,0,IF(P39&lt;T202,0,1))</formula1>
    </dataValidation>
    <dataValidation type="custom" allowBlank="1" showInputMessage="1" showErrorMessage="1" error="Check Value" sqref="N39:O39" xr:uid="{79D9B0A4-4DFB-A246-ACD7-AB5D4459F936}">
      <formula1>IF(N39&gt;U202,0,IF(N39&lt;R202,0,1))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U90" xr:uid="{C5DB5482-DA87-4148-928C-B354EDF4CFD0}"/>
    <dataValidation allowBlank="1" showInputMessage="1" showErrorMessage="1" prompt="Pour les systèmes avec free-cooling, il s'agit des coûts qui seraient encourus sans free-cooling, déduction faite des économies réalisées grâce au free-cooling dans la ligne suivante._x000d_" sqref="V90" xr:uid="{BA4C81CC-A3DD-AB47-8B83-43ADE27F04EF}"/>
    <dataValidation allowBlank="1" showInputMessage="1" showErrorMessage="1" prompt="Per i sistemi con free-cooling, questi sono i costi che si dovrebbero sostenere senza il free-cooling. Nella riga successiva vengono detratti i risparmi derivanti dal free-cooling._x000d_" sqref="W90" xr:uid="{56F0F34C-64B9-D549-9E20-E4A89BB91BA8}"/>
    <dataValidation allowBlank="1" showInputMessage="1" showErrorMessage="1" prompt="Annahmen Planer" sqref="AL61" xr:uid="{28CE37BA-B970-654C-AD92-CD05254E7E51}"/>
    <dataValidation allowBlank="1" showInputMessage="1" showErrorMessage="1" prompt="Valutazione progettisti_x000d_" sqref="AN61" xr:uid="{B0AEB98A-E656-6743-A62F-FE64C65EC95B}"/>
    <dataValidation allowBlank="1" showInputMessage="1" showErrorMessage="1" prompt="Suppositions projeteur_x000d_" sqref="AM61" xr:uid="{5831828C-1AC6-4340-9806-2D11DBECB3DB}"/>
    <dataValidation allowBlank="1" showInputMessage="1" showErrorMessage="1" prompt="Bei hybriden Rückkühlsystemen werden die Standard-Werte der Unterhaltskosten aufgrund der zusätzlichen Aufwendungen für Wasser, Reinigung und Unterhalt um 1% erhöht._x000a_" sqref="U67" xr:uid="{E19BEFBD-F069-394D-969D-8570AA2D2F1B}"/>
    <dataValidation allowBlank="1" showInputMessage="1" showErrorMessage="1" prompt="Si tiene conto della variante più cara delle tre (manutenzione standard o preventivata o pieno servizio)._x000d_" sqref="AN66" xr:uid="{BD7630FB-61C7-E746-95AA-C53A42BCDE7A}"/>
    <dataValidation allowBlank="1" showInputMessage="1" showErrorMessage="1" prompt="Il est repris avec la plus chère des trois variantes (maintenance standard, préventive ou SAV complet)_x000d_" sqref="AM66" xr:uid="{19343634-EF51-0640-88B4-E66F508B192D}"/>
    <dataValidation allowBlank="1" showInputMessage="1" showErrorMessage="1" prompt="Pour les systèmes d'échangeur de chaleur hybrides, les valeurs par défaut des frais d'entretien sont augmentées de 1% en raison des dépenses supplémentaires pour l'eau, le nettoyage et l'entretien._x000d_" sqref="V67" xr:uid="{42A9F8B8-0E89-9241-8188-3BD7DC1ECC2D}"/>
    <dataValidation allowBlank="1" showInputMessage="1" showErrorMessage="1" prompt="Per i sistemi ibridi con scambiatore di calore, i valori standard dei costi di manutenzione vengono aumentati dell'1% a causa delle spese aggiuntive per acqua, pulizia e manutenzione._x000d_" sqref="W67" xr:uid="{05F3B5E6-DDAE-1D47-8ECB-7FC6BBAAF247}"/>
  </dataValidations>
  <hyperlinks>
    <hyperlink ref="D2" location="'1 System specification'!A1" display="'1 System specification'!A1" xr:uid="{00000000-0004-0000-0500-000000000000}"/>
    <hyperlink ref="D3" location="'3 TEWI'!A1" display="'3 TEWI'!A1" xr:uid="{00000000-0004-0000-0500-000001000000}"/>
    <hyperlink ref="U2" location="'5 Result'!A1" display="'5 Result'!A1" xr:uid="{00000000-0004-0000-0500-000002000000}"/>
    <hyperlink ref="AV157" location="z19" display="z19" xr:uid="{00000000-0004-0000-0500-000003000000}"/>
    <hyperlink ref="AW157" location="z19" display="z19" xr:uid="{00000000-0004-0000-0500-000004000000}"/>
    <hyperlink ref="AX157" location="z19" display="z19" xr:uid="{00000000-0004-0000-0500-000005000000}"/>
    <hyperlink ref="AY157" location="z19" display="z19" xr:uid="{00000000-0004-0000-0500-000006000000}"/>
    <hyperlink ref="AZ157" location="z19" display="z19" xr:uid="{00000000-0004-0000-0500-000007000000}"/>
    <hyperlink ref="BA157" location="z19" display="z19" xr:uid="{00000000-0004-0000-0500-000008000000}"/>
    <hyperlink ref="BB157" location="z19" display="z19" xr:uid="{00000000-0004-0000-0500-000009000000}"/>
    <hyperlink ref="BC157" location="z19" display="z19" xr:uid="{00000000-0004-0000-0500-00000A000000}"/>
    <hyperlink ref="E2" location="'1 System specification'!A1" display="'1 System specification'!A1" xr:uid="{00000000-0004-0000-0500-00000B000000}"/>
    <hyperlink ref="F2" location="'1 System specification'!A1" display="'1 System specification'!A1" xr:uid="{00000000-0004-0000-0500-00000C000000}"/>
    <hyperlink ref="G2" location="'1 System specification'!A1" display="'1 System specification'!A1" xr:uid="{00000000-0004-0000-0500-00000D000000}"/>
    <hyperlink ref="H2" location="'1 System specification'!A1" display="'1 System specification'!A1" xr:uid="{00000000-0004-0000-0500-00000E000000}"/>
    <hyperlink ref="I2" location="'1 System specification'!A1" display="'1 System specification'!A1" xr:uid="{00000000-0004-0000-0500-00000F000000}"/>
    <hyperlink ref="J2" location="'1 System specification'!A1" display="'1 System specification'!A1" xr:uid="{00000000-0004-0000-0500-000010000000}"/>
    <hyperlink ref="K2" location="'1 System specification'!A1" display="'1 System specification'!A1" xr:uid="{00000000-0004-0000-0500-000011000000}"/>
    <hyperlink ref="L2" location="'1 System specification'!A1" display="'1 System specification'!A1" xr:uid="{00000000-0004-0000-0500-000012000000}"/>
    <hyperlink ref="M2" location="'1 System specification'!A1" display="'1 System specification'!A1" xr:uid="{00000000-0004-0000-0500-000013000000}"/>
    <hyperlink ref="N2" location="'1 System specification'!A1" display="'1 System specification'!A1" xr:uid="{00000000-0004-0000-0500-000014000000}"/>
    <hyperlink ref="O2" location="'1 System specification'!A1" display="'1 System specification'!A1" xr:uid="{00000000-0004-0000-0500-000015000000}"/>
    <hyperlink ref="P2" location="'1 System specification'!A1" display="'1 System specification'!A1" xr:uid="{00000000-0004-0000-0500-000016000000}"/>
    <hyperlink ref="E3" location="'3 TEWI'!A1" display="'3 TEWI'!A1" xr:uid="{00000000-0004-0000-0500-000017000000}"/>
    <hyperlink ref="F3" location="'3 TEWI'!A1" display="'3 TEWI'!A1" xr:uid="{00000000-0004-0000-0500-000018000000}"/>
    <hyperlink ref="G3" location="'3 TEWI'!A1" display="'3 TEWI'!A1" xr:uid="{00000000-0004-0000-0500-000019000000}"/>
    <hyperlink ref="H3" location="'3 TEWI'!A1" display="'3 TEWI'!A1" xr:uid="{00000000-0004-0000-0500-00001A000000}"/>
    <hyperlink ref="I3" location="'3 TEWI'!A1" display="'3 TEWI'!A1" xr:uid="{00000000-0004-0000-0500-00001B000000}"/>
    <hyperlink ref="J3" location="'3 TEWI'!A1" display="'3 TEWI'!A1" xr:uid="{00000000-0004-0000-0500-00001C000000}"/>
    <hyperlink ref="K3" location="'3 TEWI'!A1" display="'3 TEWI'!A1" xr:uid="{00000000-0004-0000-0500-00001D000000}"/>
    <hyperlink ref="L3" location="'3 TEWI'!A1" display="'3 TEWI'!A1" xr:uid="{00000000-0004-0000-0500-00001E000000}"/>
    <hyperlink ref="M3" location="'3 TEWI'!A1" display="'3 TEWI'!A1" xr:uid="{00000000-0004-0000-0500-00001F000000}"/>
    <hyperlink ref="N3" location="'3 TEWI'!A1" display="'3 TEWI'!A1" xr:uid="{00000000-0004-0000-0500-000020000000}"/>
    <hyperlink ref="O3" location="'3 TEWI'!A1" display="'3 TEWI'!A1" xr:uid="{00000000-0004-0000-0500-000021000000}"/>
    <hyperlink ref="P3" location="'3 TEWI'!A1" display="'3 TEWI'!A1" xr:uid="{00000000-0004-0000-0500-000022000000}"/>
    <hyperlink ref="V2" location="'5 Result'!A1" display="'5 Result'!A1" xr:uid="{00000000-0004-0000-0500-000023000000}"/>
    <hyperlink ref="W2" location="'5 Result'!A1" display="'5 Result'!A1" xr:uid="{00000000-0004-0000-0500-000024000000}"/>
    <hyperlink ref="X2" location="'5 Result'!A1" display="'5 Result'!A1" xr:uid="{00000000-0004-0000-0500-000025000000}"/>
    <hyperlink ref="Y2" location="'5 Result'!A1" display="'5 Result'!A1" xr:uid="{00000000-0004-0000-0500-000026000000}"/>
    <hyperlink ref="Z2" location="'5 Result'!A1" display="'5 Result'!A1" xr:uid="{00000000-0004-0000-0500-000027000000}"/>
    <hyperlink ref="AA2" location="'5 Result'!A1" display="'5 Result'!A1" xr:uid="{00000000-0004-0000-0500-000028000000}"/>
    <hyperlink ref="AB2" location="'5 Result'!A1" display="'5 Result'!A1" xr:uid="{00000000-0004-0000-0500-000029000000}"/>
    <hyperlink ref="AC2" location="'5 Result'!A1" display="'5 Result'!A1" xr:uid="{00000000-0004-0000-0500-00002A000000}"/>
    <hyperlink ref="AD2" location="'5 Result'!A1" display="'5 Result'!A1" xr:uid="{00000000-0004-0000-0500-00002B000000}"/>
    <hyperlink ref="AE2" location="'5 Result'!A1" display="'5 Result'!A1" xr:uid="{00000000-0004-0000-0500-00002C000000}"/>
    <hyperlink ref="AF2" location="'5 Result'!A1" display="'5 Result'!A1" xr:uid="{00000000-0004-0000-0500-00002D000000}"/>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&amp;C&amp;K000000&amp;G&amp;R&amp;K000000Scheet 4 - &amp;P</oddFooter>
  </headerFooter>
  <colBreaks count="1" manualBreakCount="1">
    <brk id="60" max="1048575" man="1"/>
  </colBreaks>
  <ignoredErrors>
    <ignoredError sqref="AR39 AU157:BC157" unlockedFormula="1"/>
  </ignoredErrors>
  <drawing r:id="rId1"/>
  <legacyDrawingHF r:id="rId2"/>
  <extLst>
    <ext xmlns:x14="http://schemas.microsoft.com/office/spreadsheetml/2009/9/main" uri="{78C0D931-6437-407d-A8EE-F0AAD7539E65}">
      <x14:conditionalFormattings>
        <x14:conditionalFormatting xmlns:xm="http://schemas.microsoft.com/office/excel/2006/main">
          <x14:cfRule type="expression" priority="72" id="{8CD29EB9-2C4B-0A48-8F61-BD6314D9FB02}">
            <xm:f>IF(X!$C$458=X!$G$459,1,0)</xm:f>
            <x14:dxf>
              <font>
                <b/>
                <i val="0"/>
                <color rgb="FFFF0000"/>
              </font>
              <fill>
                <patternFill patternType="none">
                  <fgColor indexed="64"/>
                  <bgColor auto="1"/>
                </patternFill>
              </fill>
              <border>
                <left/>
                <right/>
                <top/>
                <bottom/>
              </border>
            </x14:dxf>
          </x14:cfRule>
          <xm:sqref>AQ17:BH17</xm:sqref>
        </x14:conditionalFormatting>
        <x14:conditionalFormatting xmlns:xm="http://schemas.microsoft.com/office/excel/2006/main">
          <x14:cfRule type="expression" priority="71" id="{93899F52-207F-F043-8D05-95E01E9A7567}">
            <xm:f>IF('3 TEWI'!$AR$22=1,1,0)</xm:f>
            <x14:dxf>
              <font>
                <color theme="0"/>
              </font>
              <fill>
                <patternFill patternType="solid">
                  <fgColor indexed="64"/>
                  <bgColor theme="0"/>
                </patternFill>
              </fill>
              <border>
                <left/>
                <right/>
                <top/>
                <bottom/>
              </border>
            </x14:dxf>
          </x14:cfRule>
          <xm:sqref>BG40:BG41 BG30:BG35</xm:sqref>
        </x14:conditionalFormatting>
        <x14:conditionalFormatting xmlns:xm="http://schemas.microsoft.com/office/excel/2006/main">
          <x14:cfRule type="expression" priority="41" id="{05F19D1E-2D41-E744-BA4A-C206B45128D9}">
            <xm:f>IF('3 TEWI'!$AR$22=1,1,0)</xm:f>
            <x14:dxf>
              <font>
                <color theme="0"/>
              </font>
              <fill>
                <patternFill patternType="solid">
                  <fgColor indexed="64"/>
                  <bgColor theme="0"/>
                </patternFill>
              </fill>
              <border>
                <left/>
                <right/>
                <top/>
                <bottom/>
              </border>
            </x14:dxf>
          </x14:cfRule>
          <xm:sqref>BG44</xm:sqref>
        </x14:conditionalFormatting>
        <x14:conditionalFormatting xmlns:xm="http://schemas.microsoft.com/office/excel/2006/main">
          <x14:cfRule type="expression" priority="31" id="{298ADDC9-D3EE-934E-AB44-F476640D289C}">
            <xm:f>IF('3 TEWI'!$AR$22=1,1,0)</xm:f>
            <x14:dxf>
              <font>
                <color theme="0"/>
              </font>
              <fill>
                <patternFill patternType="solid">
                  <fgColor indexed="64"/>
                  <bgColor theme="0"/>
                </patternFill>
              </fill>
              <border>
                <left/>
                <right/>
                <top/>
                <bottom/>
              </border>
            </x14:dxf>
          </x14:cfRule>
          <xm:sqref>BG29</xm:sqref>
        </x14:conditionalFormatting>
        <x14:conditionalFormatting xmlns:xm="http://schemas.microsoft.com/office/excel/2006/main">
          <x14:cfRule type="expression" priority="27" id="{599F58F5-AD44-7041-A9B8-FA16EE73409E}">
            <xm:f>IF('3 TEWI'!$AR$22=1,1,0)</xm:f>
            <x14:dxf>
              <font>
                <color theme="0"/>
              </font>
              <fill>
                <patternFill patternType="solid">
                  <fgColor indexed="64"/>
                  <bgColor theme="0"/>
                </patternFill>
              </fill>
              <border>
                <left/>
                <right/>
                <top/>
                <bottom/>
              </border>
            </x14:dxf>
          </x14:cfRule>
          <xm:sqref>BG28</xm:sqref>
        </x14:conditionalFormatting>
        <x14:conditionalFormatting xmlns:xm="http://schemas.microsoft.com/office/excel/2006/main">
          <x14:cfRule type="expression" priority="25" id="{6ABFFCE8-7CE7-F049-91A4-FDC04840F84D}">
            <xm:f>IF('3 TEWI'!$AR$22=1,1,0)</xm:f>
            <x14:dxf>
              <font>
                <color theme="0"/>
              </font>
              <fill>
                <patternFill patternType="solid">
                  <fgColor indexed="64"/>
                  <bgColor theme="0"/>
                </patternFill>
              </fill>
              <border>
                <left/>
                <right/>
                <top/>
                <bottom/>
              </border>
            </x14:dxf>
          </x14:cfRule>
          <xm:sqref>BG27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S105"/>
  <sheetViews>
    <sheetView showGridLines="0" showRowColHeaders="0" zoomScale="120" zoomScaleNormal="120" workbookViewId="0">
      <pane xSplit="61" ySplit="21" topLeftCell="BJ22" activePane="bottomRight" state="frozenSplit"/>
      <selection pane="topRight" activeCell="BJ21" sqref="BJ21"/>
      <selection pane="bottomLeft" activeCell="AH74" sqref="AH74"/>
      <selection pane="bottomRight" activeCell="Z22" sqref="Z22"/>
    </sheetView>
  </sheetViews>
  <sheetFormatPr baseColWidth="10" defaultColWidth="2.85546875" defaultRowHeight="12.75" outlineLevelRow="1" outlineLevelCol="1"/>
  <cols>
    <col min="1" max="1" width="2.85546875" style="31"/>
    <col min="2" max="2" width="4" style="31" bestFit="1" customWidth="1"/>
    <col min="3" max="25" width="2.85546875" style="31"/>
    <col min="26" max="26" width="2.42578125" style="31" customWidth="1"/>
    <col min="27" max="43" width="2.85546875" style="31"/>
    <col min="44" max="44" width="2.7109375" style="31" customWidth="1"/>
    <col min="45" max="63" width="2.85546875" style="31"/>
    <col min="64" max="96" width="2.85546875" style="31" hidden="1" customWidth="1" outlineLevel="1"/>
    <col min="97" max="97" width="2.85546875" style="31" collapsed="1"/>
    <col min="98" max="16384" width="2.85546875" style="31"/>
  </cols>
  <sheetData>
    <row r="1" spans="2:60">
      <c r="P1" s="28"/>
    </row>
    <row r="2" spans="2:60">
      <c r="B2" s="1175"/>
      <c r="C2" s="1176" t="s">
        <v>0</v>
      </c>
      <c r="D2" s="1701" t="str">
        <f>X!$C$289</f>
        <v>zurück zur Anlagespezifikation (1)</v>
      </c>
      <c r="E2" s="1701"/>
      <c r="F2" s="1701"/>
      <c r="G2" s="1701"/>
      <c r="H2" s="1701"/>
      <c r="I2" s="1701"/>
      <c r="J2" s="1701"/>
      <c r="K2" s="1701"/>
      <c r="L2" s="1701"/>
      <c r="M2" s="1701"/>
      <c r="N2" s="1701"/>
      <c r="O2" s="1701"/>
      <c r="P2" s="1701"/>
      <c r="Q2" s="1701"/>
      <c r="R2" s="1701"/>
      <c r="T2" s="99"/>
      <c r="AE2" s="1255">
        <f>'4 Economics'!AL2</f>
        <v>1</v>
      </c>
      <c r="AF2" s="1255">
        <f>'4 Economics'!AM2</f>
        <v>0</v>
      </c>
      <c r="AG2" s="1255">
        <f>'4 Economics'!AN2</f>
        <v>0</v>
      </c>
    </row>
    <row r="3" spans="2:60">
      <c r="B3" s="1175"/>
      <c r="C3" s="1176" t="s">
        <v>0</v>
      </c>
      <c r="D3" s="1701" t="str">
        <f>X!$C$286</f>
        <v>zur Wirtschaftlichkeitsberechnung (4)</v>
      </c>
      <c r="E3" s="1701"/>
      <c r="F3" s="1701"/>
      <c r="G3" s="1701"/>
      <c r="H3" s="1701"/>
      <c r="I3" s="1701"/>
      <c r="J3" s="1701"/>
      <c r="K3" s="1701"/>
      <c r="L3" s="1701"/>
      <c r="M3" s="1701"/>
      <c r="N3" s="1701"/>
      <c r="O3" s="1701"/>
      <c r="P3" s="1701"/>
      <c r="Q3" s="1701"/>
      <c r="R3" s="1701"/>
    </row>
    <row r="4" spans="2:60">
      <c r="B4" s="1175"/>
      <c r="C4" s="1176" t="s">
        <v>0</v>
      </c>
      <c r="D4" s="1701" t="str">
        <f>X!$C$284</f>
        <v>zur TEWI-Berechnung (3)</v>
      </c>
      <c r="E4" s="1701"/>
      <c r="F4" s="1701"/>
      <c r="G4" s="1701"/>
      <c r="H4" s="1701"/>
      <c r="I4" s="1701"/>
      <c r="J4" s="1701"/>
      <c r="K4" s="1701"/>
      <c r="L4" s="1701"/>
      <c r="M4" s="1701"/>
      <c r="N4" s="1701"/>
      <c r="O4" s="1701"/>
      <c r="P4" s="1701"/>
      <c r="Q4" s="1701"/>
      <c r="R4" s="1701"/>
    </row>
    <row r="5" spans="2:60">
      <c r="P5" s="28"/>
    </row>
    <row r="6" spans="2:60">
      <c r="P6" s="28"/>
    </row>
    <row r="7" spans="2:60" ht="13.5" thickBot="1">
      <c r="B7" s="1177"/>
      <c r="C7" s="1177"/>
      <c r="D7" s="1177"/>
      <c r="E7" s="1177"/>
      <c r="F7" s="1177"/>
      <c r="G7" s="1177"/>
      <c r="H7" s="1177"/>
      <c r="I7" s="1177"/>
      <c r="J7" s="1177"/>
      <c r="K7" s="1177"/>
      <c r="L7" s="1177"/>
      <c r="M7" s="1177"/>
      <c r="N7" s="1177"/>
      <c r="O7" s="1177"/>
      <c r="P7" s="1178"/>
      <c r="Q7" s="1177"/>
      <c r="R7" s="1177"/>
      <c r="S7" s="1177"/>
      <c r="T7" s="1177"/>
      <c r="U7" s="1177"/>
      <c r="V7" s="1177"/>
      <c r="W7" s="1177"/>
      <c r="X7" s="1177"/>
      <c r="Y7" s="1177"/>
      <c r="Z7" s="1177"/>
      <c r="AA7" s="1177"/>
      <c r="AB7" s="1177"/>
      <c r="AC7" s="1177"/>
      <c r="AD7" s="1177"/>
      <c r="AE7" s="1177"/>
      <c r="AF7" s="1177"/>
      <c r="AG7" s="1177"/>
      <c r="AH7" s="1177"/>
      <c r="AI7" s="1177"/>
      <c r="AJ7" s="1177"/>
      <c r="AK7" s="1177"/>
      <c r="AL7" s="1177"/>
      <c r="AM7" s="1177"/>
      <c r="AN7" s="1177"/>
      <c r="AO7" s="1177"/>
      <c r="AP7" s="1177"/>
      <c r="AQ7" s="1177"/>
      <c r="AR7" s="1177"/>
      <c r="AS7" s="1177"/>
      <c r="AT7" s="1177"/>
      <c r="AU7" s="1177"/>
      <c r="AV7" s="1177"/>
      <c r="AW7" s="1177"/>
      <c r="AX7" s="1177"/>
      <c r="AY7" s="1177"/>
      <c r="AZ7" s="1177"/>
      <c r="BA7" s="1177"/>
      <c r="BB7" s="1177"/>
      <c r="BC7" s="1177"/>
      <c r="BD7" s="1177"/>
      <c r="BE7" s="1177"/>
      <c r="BF7" s="1177"/>
      <c r="BG7" s="1177"/>
      <c r="BH7" s="1177"/>
    </row>
    <row r="8" spans="2:60" ht="12" customHeight="1" thickTop="1">
      <c r="B8" s="52"/>
      <c r="C8" s="52"/>
      <c r="D8" s="52"/>
      <c r="E8" s="52"/>
      <c r="F8" s="52"/>
      <c r="G8" s="52"/>
      <c r="H8" s="52"/>
      <c r="I8" s="52"/>
      <c r="J8" s="52"/>
      <c r="K8" s="52"/>
      <c r="L8" s="52"/>
      <c r="M8" s="52"/>
      <c r="N8" s="52"/>
      <c r="O8" s="52"/>
      <c r="P8" s="640"/>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row>
    <row r="9" spans="2:60" ht="12" customHeight="1">
      <c r="B9" s="52"/>
      <c r="C9" s="52"/>
      <c r="D9" s="52"/>
      <c r="E9" s="52"/>
      <c r="F9" s="52"/>
      <c r="G9" s="52"/>
      <c r="H9" s="52"/>
      <c r="I9" s="52"/>
      <c r="J9" s="52"/>
      <c r="K9" s="52"/>
      <c r="L9" s="52"/>
      <c r="M9" s="52"/>
      <c r="N9" s="52"/>
      <c r="O9" s="52"/>
      <c r="P9" s="640"/>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row>
    <row r="10" spans="2:60" ht="21" customHeight="1">
      <c r="B10" s="556" t="str">
        <f>X!$C$148</f>
        <v>Effiziente Kälte</v>
      </c>
      <c r="D10" s="30"/>
      <c r="E10" s="30"/>
      <c r="F10" s="30"/>
      <c r="G10" s="30"/>
      <c r="H10" s="30"/>
      <c r="I10" s="30"/>
      <c r="J10" s="30"/>
      <c r="K10" s="30"/>
      <c r="L10" s="30"/>
      <c r="M10" s="30"/>
      <c r="N10" s="30"/>
      <c r="O10" s="30"/>
      <c r="P10" s="30"/>
      <c r="Q10" s="30"/>
      <c r="R10" s="30"/>
      <c r="S10" s="30"/>
    </row>
    <row r="11" spans="2:60" ht="15.95" customHeight="1">
      <c r="B11" s="557" t="str">
        <f>X!$C$21</f>
        <v>Kälte-Tool für die Abschätzung des Stromverbrauchs, der Umweltauswirkungen und der Lebenszykluskosten von Kälte- und Klimakälteanlagen</v>
      </c>
      <c r="D11" s="30"/>
      <c r="E11" s="30"/>
      <c r="F11" s="30"/>
      <c r="G11" s="30"/>
      <c r="H11" s="30"/>
      <c r="I11" s="30"/>
      <c r="J11" s="30"/>
      <c r="K11" s="30"/>
      <c r="L11" s="30"/>
      <c r="M11" s="30"/>
      <c r="N11" s="30"/>
      <c r="O11" s="30"/>
      <c r="P11" s="30"/>
      <c r="Q11" s="30"/>
      <c r="R11" s="30"/>
      <c r="S11" s="30"/>
    </row>
    <row r="12" spans="2:60" ht="12" customHeight="1">
      <c r="B12" s="556"/>
      <c r="D12" s="30"/>
      <c r="E12" s="30"/>
      <c r="F12" s="30"/>
      <c r="G12" s="30"/>
      <c r="H12" s="30"/>
      <c r="I12" s="30"/>
      <c r="J12" s="30"/>
      <c r="K12" s="30"/>
      <c r="L12" s="30"/>
      <c r="M12" s="30"/>
      <c r="N12" s="30"/>
      <c r="O12" s="30"/>
      <c r="P12" s="30"/>
      <c r="Q12" s="30"/>
      <c r="R12" s="30"/>
      <c r="S12" s="30"/>
    </row>
    <row r="13" spans="2:60" ht="12" customHeight="1">
      <c r="B13" s="556"/>
      <c r="D13" s="30"/>
      <c r="E13" s="30"/>
      <c r="F13" s="30"/>
      <c r="G13" s="30"/>
      <c r="H13" s="30"/>
      <c r="I13" s="30"/>
      <c r="J13" s="30"/>
      <c r="K13" s="30"/>
      <c r="L13" s="30"/>
      <c r="M13" s="30"/>
      <c r="N13" s="30"/>
      <c r="O13" s="30"/>
      <c r="P13" s="30"/>
      <c r="Q13" s="30"/>
      <c r="R13" s="30"/>
      <c r="S13" s="30"/>
    </row>
    <row r="14" spans="2:60" s="1175" customFormat="1" ht="30">
      <c r="B14" s="1208">
        <v>5</v>
      </c>
      <c r="C14" s="1209" t="str">
        <f>X!$C$104</f>
        <v>Ergebnisse</v>
      </c>
      <c r="D14" s="1208"/>
      <c r="E14" s="1208"/>
    </row>
    <row r="15" spans="2:60" ht="12" customHeight="1">
      <c r="B15" s="556"/>
      <c r="D15" s="30"/>
      <c r="E15" s="30"/>
      <c r="F15" s="30"/>
      <c r="G15" s="30"/>
      <c r="H15" s="30"/>
      <c r="I15" s="30"/>
      <c r="J15" s="30"/>
      <c r="K15" s="30"/>
      <c r="L15" s="30"/>
      <c r="M15" s="30"/>
      <c r="N15" s="30"/>
      <c r="O15" s="30"/>
      <c r="P15" s="30"/>
      <c r="Q15" s="30"/>
      <c r="R15" s="30"/>
      <c r="S15" s="30"/>
    </row>
    <row r="16" spans="2:60" ht="12" customHeight="1">
      <c r="B16" s="35"/>
      <c r="C16" s="35"/>
      <c r="D16" s="35"/>
      <c r="E16" s="35"/>
      <c r="F16" s="35"/>
      <c r="G16" s="35"/>
      <c r="H16" s="35"/>
      <c r="I16" s="35"/>
      <c r="J16" s="35"/>
      <c r="K16" s="35"/>
      <c r="L16" s="35"/>
      <c r="M16" s="35"/>
      <c r="N16" s="35"/>
      <c r="O16" s="35"/>
      <c r="P16" s="35"/>
      <c r="Q16" s="35"/>
      <c r="R16" s="35"/>
      <c r="S16" s="35"/>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row>
    <row r="17" spans="2:68" ht="5.0999999999999996" customHeight="1">
      <c r="B17" s="52"/>
      <c r="C17" s="30"/>
      <c r="D17" s="30"/>
      <c r="E17" s="30"/>
      <c r="F17" s="30"/>
      <c r="G17" s="30"/>
      <c r="H17" s="30"/>
      <c r="I17" s="30"/>
      <c r="J17" s="30"/>
      <c r="K17" s="30"/>
      <c r="L17" s="30"/>
      <c r="M17" s="30"/>
      <c r="N17" s="30"/>
      <c r="O17" s="30"/>
      <c r="P17" s="30"/>
      <c r="Q17" s="30"/>
      <c r="R17" s="30"/>
      <c r="S17" s="30"/>
    </row>
    <row r="18" spans="2:68" s="37" customFormat="1" ht="12" customHeight="1">
      <c r="B18" s="101"/>
      <c r="C18" s="1431">
        <f>'1 System specification'!I28</f>
        <v>0</v>
      </c>
      <c r="D18" s="1431"/>
      <c r="E18" s="1431"/>
      <c r="F18" s="1431"/>
      <c r="G18" s="1431"/>
      <c r="H18" s="1431"/>
      <c r="I18" s="1431"/>
      <c r="J18" s="1431"/>
      <c r="K18" s="1431"/>
      <c r="L18" s="1431"/>
      <c r="M18" s="1431"/>
      <c r="N18" s="1431"/>
      <c r="O18" s="38"/>
      <c r="P18" s="38"/>
      <c r="Q18" s="1435">
        <f ca="1">IF('1 System specification'!AH28="",TODAY(),'1 System specification'!AH28)</f>
        <v>44257</v>
      </c>
      <c r="R18" s="1435"/>
      <c r="S18" s="1435"/>
      <c r="T18" s="1435"/>
      <c r="U18" s="1435"/>
      <c r="V18" s="39"/>
      <c r="W18" s="1431">
        <f>'1 System specification'!AH35</f>
        <v>0</v>
      </c>
      <c r="X18" s="1431"/>
      <c r="Y18" s="1431"/>
      <c r="Z18" s="1431"/>
      <c r="AA18" s="1431"/>
      <c r="AB18" s="1431"/>
      <c r="AC18" s="1431"/>
      <c r="AD18" s="1431"/>
      <c r="AE18" s="1431"/>
      <c r="AF18" s="39"/>
      <c r="AG18" s="1431">
        <f>'1 System specification'!I35</f>
        <v>0</v>
      </c>
      <c r="AH18" s="1431"/>
      <c r="AI18" s="1431"/>
      <c r="AJ18" s="1431"/>
      <c r="AK18" s="1431"/>
      <c r="AL18" s="1431"/>
      <c r="AM18" s="1431"/>
      <c r="AN18" s="1431"/>
      <c r="AO18" s="1431"/>
      <c r="AR18" s="1677" t="str">
        <f>'1 System specification'!AG21</f>
        <v>Version 5.6 (2021): gültig bis 15. August 2021</v>
      </c>
      <c r="AS18" s="1677"/>
      <c r="AT18" s="1677"/>
      <c r="AU18" s="1677"/>
      <c r="AV18" s="1677"/>
      <c r="AW18" s="1677"/>
      <c r="AX18" s="1677"/>
      <c r="AY18" s="1677"/>
      <c r="AZ18" s="1677"/>
      <c r="BA18" s="1677"/>
      <c r="BB18" s="1677"/>
      <c r="BC18" s="1677"/>
      <c r="BD18" s="1677"/>
      <c r="BE18" s="1677"/>
      <c r="BF18" s="1677"/>
      <c r="BG18" s="1677"/>
      <c r="BH18" s="1677"/>
    </row>
    <row r="19" spans="2:68" s="37" customFormat="1" ht="3.95" customHeight="1">
      <c r="B19" s="41"/>
      <c r="C19" s="41"/>
      <c r="D19" s="41"/>
      <c r="E19" s="41"/>
      <c r="F19" s="41"/>
      <c r="G19" s="41"/>
      <c r="H19" s="41"/>
      <c r="I19" s="41"/>
      <c r="J19" s="41"/>
      <c r="K19" s="41"/>
      <c r="L19" s="41"/>
      <c r="M19" s="41"/>
      <c r="N19" s="41"/>
      <c r="O19" s="40"/>
      <c r="P19" s="40"/>
      <c r="Q19" s="42"/>
      <c r="R19" s="41"/>
      <c r="S19" s="41"/>
      <c r="T19" s="41"/>
      <c r="U19" s="41"/>
      <c r="V19" s="41"/>
      <c r="W19" s="41"/>
      <c r="X19" s="40"/>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row>
    <row r="20" spans="2:68" ht="6" customHeight="1">
      <c r="B20" s="30"/>
      <c r="C20" s="30"/>
      <c r="D20" s="30"/>
      <c r="E20" s="30"/>
      <c r="F20" s="30"/>
      <c r="G20" s="30"/>
      <c r="H20" s="30"/>
      <c r="I20" s="30"/>
      <c r="J20" s="30"/>
      <c r="K20" s="30"/>
      <c r="L20" s="30"/>
      <c r="M20" s="30"/>
      <c r="N20" s="30"/>
      <c r="O20" s="30"/>
      <c r="P20" s="30"/>
      <c r="Q20" s="30"/>
      <c r="R20" s="30"/>
    </row>
    <row r="21" spans="2:68" ht="6" customHeight="1">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row>
    <row r="22" spans="2:68" s="28" customFormat="1" ht="17.100000000000001" customHeight="1">
      <c r="B22" s="376"/>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638"/>
      <c r="AA22" s="378"/>
      <c r="AB22" s="378"/>
      <c r="AC22" s="378"/>
      <c r="AD22" s="378"/>
      <c r="AE22" s="378"/>
      <c r="AF22" s="378"/>
      <c r="AG22" s="378"/>
      <c r="AH22" s="378"/>
      <c r="AI22" s="378"/>
      <c r="AJ22" s="378"/>
      <c r="AK22" s="377"/>
      <c r="AL22" s="379"/>
      <c r="AM22" s="377"/>
      <c r="AN22" s="377"/>
      <c r="AO22" s="377"/>
      <c r="AP22" s="377"/>
      <c r="AQ22" s="377"/>
      <c r="AR22" s="378"/>
      <c r="AS22" s="378"/>
      <c r="AT22" s="378"/>
      <c r="AU22" s="378"/>
      <c r="AV22" s="378"/>
      <c r="AW22" s="378"/>
      <c r="AX22" s="378"/>
      <c r="AY22" s="378"/>
      <c r="AZ22" s="378"/>
      <c r="BA22" s="378"/>
      <c r="BB22" s="378"/>
      <c r="BC22" s="377"/>
      <c r="BD22" s="379"/>
      <c r="BE22" s="377"/>
      <c r="BF22" s="377"/>
      <c r="BG22" s="377"/>
      <c r="BH22" s="380"/>
      <c r="BI22" s="55"/>
      <c r="BJ22" s="55"/>
      <c r="BK22" s="55"/>
      <c r="BL22" s="55"/>
      <c r="BM22" s="55"/>
    </row>
    <row r="23" spans="2:68" s="116" customFormat="1" ht="21" customHeight="1">
      <c r="B23" s="381"/>
      <c r="C23" s="546" t="str">
        <f>X!$C$276</f>
        <v>Zusammenfassung</v>
      </c>
      <c r="D23" s="109"/>
      <c r="E23" s="109"/>
      <c r="F23" s="109"/>
      <c r="G23" s="110"/>
      <c r="H23" s="110"/>
      <c r="I23" s="111"/>
      <c r="J23" s="111"/>
      <c r="K23" s="111"/>
      <c r="L23" s="111"/>
      <c r="M23" s="111"/>
      <c r="N23" s="111"/>
      <c r="O23" s="111"/>
      <c r="P23" s="111"/>
      <c r="Q23" s="111"/>
      <c r="R23" s="111"/>
      <c r="S23" s="109"/>
      <c r="T23" s="109"/>
      <c r="U23" s="110"/>
      <c r="V23" s="110"/>
      <c r="W23" s="110"/>
      <c r="X23" s="110"/>
      <c r="Y23" s="110"/>
      <c r="Z23" s="637"/>
      <c r="AA23" s="110"/>
      <c r="AB23" s="110"/>
      <c r="AC23" s="110"/>
      <c r="AD23" s="110"/>
      <c r="AE23" s="110"/>
      <c r="AF23" s="110"/>
      <c r="AG23" s="110"/>
      <c r="AH23" s="110"/>
      <c r="AI23" s="110"/>
      <c r="AJ23" s="110"/>
      <c r="AK23" s="110"/>
      <c r="AL23" s="110"/>
      <c r="AM23" s="111"/>
      <c r="AN23" s="111"/>
      <c r="AO23" s="111"/>
      <c r="AP23" s="111"/>
      <c r="AQ23" s="109"/>
      <c r="AR23" s="1738">
        <f>'1 System specification'!O135</f>
        <v>1</v>
      </c>
      <c r="AS23" s="1738"/>
      <c r="AT23" s="1738"/>
      <c r="AU23" s="1738"/>
      <c r="AV23" s="1738"/>
      <c r="AW23" s="1738"/>
      <c r="AX23" s="1738"/>
      <c r="AY23" s="1738"/>
      <c r="AZ23" s="1738"/>
      <c r="BA23" s="1738"/>
      <c r="BB23" s="1738"/>
      <c r="BC23" s="1738"/>
      <c r="BD23" s="1738"/>
      <c r="BE23" s="1738"/>
      <c r="BF23" s="1738"/>
      <c r="BG23" s="1738"/>
      <c r="BH23" s="50"/>
      <c r="BI23" s="52"/>
      <c r="BJ23" s="52"/>
      <c r="BK23" s="112"/>
      <c r="BL23" s="112"/>
      <c r="BM23" s="112"/>
    </row>
    <row r="24" spans="2:68" s="28" customFormat="1" ht="17.100000000000001" customHeight="1">
      <c r="B24" s="53"/>
      <c r="C24" s="55"/>
      <c r="D24" s="98"/>
      <c r="E24" s="98"/>
      <c r="F24" s="98"/>
      <c r="G24" s="98"/>
      <c r="H24" s="98"/>
      <c r="I24" s="98"/>
      <c r="J24" s="98"/>
      <c r="K24" s="98"/>
      <c r="L24" s="98"/>
      <c r="M24" s="98"/>
      <c r="N24" s="98"/>
      <c r="O24" s="98"/>
      <c r="P24" s="122"/>
      <c r="Q24" s="98"/>
      <c r="R24" s="98"/>
      <c r="S24" s="135"/>
      <c r="T24" s="135"/>
      <c r="U24" s="135"/>
      <c r="V24" s="135"/>
      <c r="W24" s="98"/>
      <c r="X24" s="136"/>
      <c r="Y24" s="136"/>
      <c r="Z24" s="136"/>
      <c r="AA24" s="136"/>
      <c r="AB24" s="136"/>
      <c r="AC24" s="136"/>
      <c r="AD24" s="136"/>
      <c r="AE24" s="136"/>
      <c r="AF24" s="136"/>
      <c r="AG24" s="98"/>
      <c r="AH24" s="98"/>
      <c r="AI24" s="98"/>
      <c r="AJ24" s="98"/>
      <c r="AK24" s="98"/>
      <c r="AL24" s="98"/>
      <c r="AM24" s="98"/>
      <c r="AN24" s="98"/>
      <c r="AO24" s="98"/>
      <c r="AP24" s="98"/>
      <c r="AQ24" s="135"/>
      <c r="AR24" s="135"/>
      <c r="AS24" s="135"/>
      <c r="AT24" s="98"/>
      <c r="AU24" s="136"/>
      <c r="AV24" s="136"/>
      <c r="AW24" s="136"/>
      <c r="AX24" s="136"/>
      <c r="AY24" s="136"/>
      <c r="AZ24" s="136"/>
      <c r="BA24" s="136"/>
      <c r="BB24" s="136"/>
      <c r="BC24" s="136"/>
      <c r="BD24" s="55"/>
      <c r="BE24" s="55"/>
      <c r="BF24" s="55"/>
      <c r="BG24" s="55"/>
      <c r="BH24" s="50"/>
      <c r="BI24" s="52"/>
      <c r="BJ24" s="52"/>
      <c r="BK24" s="55"/>
      <c r="BL24" s="55"/>
      <c r="BM24" s="55"/>
    </row>
    <row r="25" spans="2:68" s="116" customFormat="1" ht="21" customHeight="1">
      <c r="B25" s="381"/>
      <c r="C25" s="1165"/>
      <c r="D25" s="113"/>
      <c r="E25" s="113"/>
      <c r="F25" s="113"/>
      <c r="G25" s="114"/>
      <c r="H25" s="114"/>
      <c r="I25" s="112"/>
      <c r="J25" s="112"/>
      <c r="K25" s="112"/>
      <c r="L25" s="112"/>
      <c r="M25" s="112"/>
      <c r="N25" s="112"/>
      <c r="O25" s="112"/>
      <c r="P25" s="112"/>
      <c r="Q25" s="112"/>
      <c r="R25" s="112"/>
      <c r="S25" s="113"/>
      <c r="T25" s="112"/>
      <c r="U25" s="114"/>
      <c r="V25" s="114"/>
      <c r="W25" s="114"/>
      <c r="X25" s="114"/>
      <c r="Y25" s="114"/>
      <c r="Z25" s="114"/>
      <c r="AA25" s="114"/>
      <c r="AB25" s="114"/>
      <c r="AC25" s="114"/>
      <c r="AD25" s="114"/>
      <c r="AE25" s="114"/>
      <c r="AF25" s="114"/>
      <c r="AG25" s="114"/>
      <c r="AH25" s="114"/>
      <c r="AI25" s="114"/>
      <c r="AJ25" s="114"/>
      <c r="AK25" s="114"/>
      <c r="AL25" s="114"/>
      <c r="AM25" s="112"/>
      <c r="AN25" s="112"/>
      <c r="BH25" s="50"/>
      <c r="BI25" s="52"/>
      <c r="BJ25" s="112"/>
      <c r="BK25" s="112"/>
      <c r="BL25" s="112"/>
      <c r="BM25" s="112"/>
    </row>
    <row r="26" spans="2:68" s="1167" customFormat="1" ht="21" customHeight="1">
      <c r="B26" s="1168"/>
      <c r="C26" s="561" t="str">
        <f>X!C190</f>
        <v>Objekt</v>
      </c>
      <c r="D26" s="1169"/>
      <c r="E26" s="1169"/>
      <c r="F26" s="1169"/>
      <c r="G26" s="1166"/>
      <c r="H26" s="1166"/>
      <c r="I26" s="1170"/>
      <c r="J26" s="1170"/>
      <c r="K26" s="1170"/>
      <c r="L26" s="1170"/>
      <c r="M26" s="1170"/>
      <c r="N26" s="1170"/>
      <c r="O26" s="1170"/>
      <c r="P26" s="1170"/>
      <c r="Q26" s="1170"/>
      <c r="R26" s="1170"/>
      <c r="S26" s="1169"/>
      <c r="T26" s="1170"/>
      <c r="U26" s="1166"/>
      <c r="V26" s="1166"/>
      <c r="W26" s="1166"/>
      <c r="X26" s="1166"/>
      <c r="Y26" s="1166"/>
      <c r="Z26" s="1837">
        <f>C18</f>
        <v>0</v>
      </c>
      <c r="AA26" s="1837"/>
      <c r="AB26" s="1837"/>
      <c r="AC26" s="1837"/>
      <c r="AD26" s="1837"/>
      <c r="AE26" s="1837"/>
      <c r="AF26" s="1837"/>
      <c r="AG26" s="1837"/>
      <c r="AH26" s="1837"/>
      <c r="AI26" s="1837"/>
      <c r="AJ26" s="1837"/>
      <c r="AK26" s="1837"/>
      <c r="AL26" s="1837"/>
      <c r="AM26" s="1837"/>
      <c r="AN26" s="1837"/>
      <c r="AO26" s="1837"/>
      <c r="AP26" s="1837"/>
      <c r="AQ26" s="1837"/>
      <c r="AR26" s="1837"/>
      <c r="AS26" s="1837"/>
      <c r="AT26" s="1837"/>
      <c r="AU26" s="1837"/>
      <c r="AV26" s="1837"/>
      <c r="AW26" s="1837"/>
      <c r="AX26" s="1837"/>
      <c r="AY26" s="1837"/>
      <c r="AZ26" s="1837"/>
      <c r="BA26" s="1837"/>
      <c r="BB26" s="1837"/>
      <c r="BC26" s="1837"/>
      <c r="BD26" s="1837"/>
      <c r="BE26" s="1837"/>
      <c r="BF26" s="1837"/>
      <c r="BG26" s="113"/>
      <c r="BH26" s="50"/>
      <c r="BI26" s="52"/>
      <c r="BJ26" s="1170"/>
      <c r="BK26" s="1170"/>
      <c r="BL26" s="1170"/>
    </row>
    <row r="27" spans="2:68" s="116" customFormat="1" ht="21" customHeight="1">
      <c r="B27" s="381"/>
      <c r="C27" s="1165"/>
      <c r="D27" s="113"/>
      <c r="E27" s="113"/>
      <c r="F27" s="113"/>
      <c r="G27" s="114"/>
      <c r="H27" s="114"/>
      <c r="I27" s="112"/>
      <c r="J27" s="112"/>
      <c r="K27" s="112"/>
      <c r="L27" s="112"/>
      <c r="M27" s="112"/>
      <c r="N27" s="112"/>
      <c r="O27" s="112"/>
      <c r="P27" s="112"/>
      <c r="Q27" s="112"/>
      <c r="R27" s="112"/>
      <c r="S27" s="113"/>
      <c r="T27" s="112"/>
      <c r="U27" s="114"/>
      <c r="V27" s="114"/>
      <c r="W27" s="114"/>
      <c r="X27" s="114"/>
      <c r="Y27" s="114"/>
      <c r="Z27" s="114"/>
      <c r="AA27" s="114"/>
      <c r="AB27" s="114"/>
      <c r="AC27" s="114"/>
      <c r="AD27" s="114"/>
      <c r="AE27" s="114"/>
      <c r="AF27" s="114"/>
      <c r="AG27" s="114"/>
      <c r="AH27" s="114"/>
      <c r="AI27" s="114"/>
      <c r="AJ27" s="114"/>
      <c r="AK27" s="114"/>
      <c r="AL27" s="114"/>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50"/>
      <c r="BI27" s="52"/>
      <c r="BJ27" s="112"/>
      <c r="BK27" s="112"/>
      <c r="BL27" s="112"/>
      <c r="BM27" s="112"/>
    </row>
    <row r="28" spans="2:68" s="1167" customFormat="1" ht="21" customHeight="1">
      <c r="B28" s="1168"/>
      <c r="C28" s="561" t="str">
        <f>X!$C$26</f>
        <v>Anlagetyp</v>
      </c>
      <c r="D28" s="1169"/>
      <c r="E28" s="1169"/>
      <c r="F28" s="1169"/>
      <c r="G28" s="1166"/>
      <c r="H28" s="1166"/>
      <c r="I28" s="1170"/>
      <c r="J28" s="1170"/>
      <c r="K28" s="1170"/>
      <c r="L28" s="1170"/>
      <c r="M28" s="1170"/>
      <c r="N28" s="1170"/>
      <c r="O28" s="1170"/>
      <c r="P28" s="1170"/>
      <c r="Q28" s="1170"/>
      <c r="R28" s="1170"/>
      <c r="S28" s="1169"/>
      <c r="T28" s="1170"/>
      <c r="U28" s="1166"/>
      <c r="V28" s="1166"/>
      <c r="W28" s="1166"/>
      <c r="X28" s="1166"/>
      <c r="Y28" s="1166"/>
      <c r="Z28" s="997" t="str">
        <f>IF('1 System specification'!U96=0,"",'1 System specification'!U96)</f>
        <v/>
      </c>
      <c r="AA28" s="997"/>
      <c r="AB28" s="997"/>
      <c r="AC28" s="997"/>
      <c r="AD28" s="997"/>
      <c r="AE28" s="997"/>
      <c r="AF28" s="997"/>
      <c r="AG28" s="997"/>
      <c r="AH28" s="997"/>
      <c r="AI28" s="997"/>
      <c r="AJ28" s="997"/>
      <c r="AK28" s="997"/>
      <c r="AL28" s="997"/>
      <c r="AM28" s="997"/>
      <c r="AN28" s="997"/>
      <c r="AO28" s="997"/>
      <c r="AP28" s="997"/>
      <c r="AQ28" s="997"/>
      <c r="AR28" s="997"/>
      <c r="AS28" s="997"/>
      <c r="AT28" s="997"/>
      <c r="AU28" s="997"/>
      <c r="AV28" s="997"/>
      <c r="AW28" s="997"/>
      <c r="AX28" s="997"/>
      <c r="AY28" s="997"/>
      <c r="AZ28" s="997"/>
      <c r="BA28" s="997"/>
      <c r="BB28" s="997"/>
      <c r="BC28" s="997"/>
      <c r="BD28" s="997"/>
      <c r="BE28" s="997"/>
      <c r="BF28" s="997"/>
      <c r="BG28" s="997"/>
      <c r="BH28" s="50"/>
      <c r="BI28" s="52"/>
      <c r="BJ28" s="1170"/>
      <c r="BK28" s="1170"/>
      <c r="BL28" s="1170"/>
      <c r="BM28" s="1170"/>
    </row>
    <row r="29" spans="2:68" s="116" customFormat="1" ht="21" customHeight="1">
      <c r="B29" s="381"/>
      <c r="C29" s="1165"/>
      <c r="D29" s="113"/>
      <c r="E29" s="113"/>
      <c r="F29" s="113"/>
      <c r="G29" s="114"/>
      <c r="H29" s="114"/>
      <c r="I29" s="112"/>
      <c r="J29" s="112"/>
      <c r="K29" s="112"/>
      <c r="L29" s="112"/>
      <c r="M29" s="112"/>
      <c r="N29" s="112"/>
      <c r="O29" s="112"/>
      <c r="P29" s="112"/>
      <c r="Q29" s="112"/>
      <c r="R29" s="112"/>
      <c r="S29" s="113"/>
      <c r="T29" s="112"/>
      <c r="U29" s="114"/>
      <c r="V29" s="114"/>
      <c r="W29" s="114"/>
      <c r="X29" s="114"/>
      <c r="Y29" s="114"/>
      <c r="Z29" s="114"/>
      <c r="AA29" s="114"/>
      <c r="AB29" s="114"/>
      <c r="AC29" s="114"/>
      <c r="AD29" s="114"/>
      <c r="AE29" s="114"/>
      <c r="AF29" s="114"/>
      <c r="AG29" s="114"/>
      <c r="AH29" s="114"/>
      <c r="AI29" s="114"/>
      <c r="AJ29" s="114"/>
      <c r="AK29" s="114"/>
      <c r="AL29" s="114"/>
      <c r="AM29" s="112"/>
      <c r="AN29" s="112"/>
      <c r="AO29" s="112"/>
      <c r="AP29" s="112"/>
      <c r="AQ29" s="113"/>
      <c r="AR29" s="114"/>
      <c r="AS29" s="114"/>
      <c r="AT29" s="114"/>
      <c r="AU29" s="114"/>
      <c r="AV29" s="114"/>
      <c r="AW29" s="114"/>
      <c r="AX29" s="114"/>
      <c r="AY29" s="114"/>
      <c r="AZ29" s="114"/>
      <c r="BA29" s="114"/>
      <c r="BB29" s="114"/>
      <c r="BC29" s="114"/>
      <c r="BD29" s="114"/>
      <c r="BE29" s="112"/>
      <c r="BF29" s="112"/>
      <c r="BG29" s="114"/>
      <c r="BH29" s="50"/>
      <c r="BI29" s="114"/>
      <c r="BJ29" s="112"/>
      <c r="BK29" s="112"/>
      <c r="BL29" s="112"/>
      <c r="BM29" s="112"/>
    </row>
    <row r="30" spans="2:68" ht="21" customHeight="1">
      <c r="B30" s="47"/>
      <c r="C30" s="609"/>
      <c r="D30" s="313"/>
      <c r="E30" s="313"/>
      <c r="F30" s="313"/>
      <c r="G30" s="313"/>
      <c r="H30" s="313"/>
      <c r="I30" s="313"/>
      <c r="J30" s="313"/>
      <c r="K30" s="313"/>
      <c r="L30" s="313"/>
      <c r="M30" s="313"/>
      <c r="N30" s="313"/>
      <c r="O30" s="313"/>
      <c r="P30" s="313"/>
      <c r="Q30" s="313"/>
      <c r="R30" s="313"/>
      <c r="S30" s="313"/>
      <c r="T30" s="313"/>
      <c r="U30" s="313"/>
      <c r="V30" s="313"/>
      <c r="W30" s="313"/>
      <c r="X30" s="313"/>
      <c r="Y30" s="313"/>
      <c r="Z30" s="140" t="str">
        <f>'1 System specification'!O132</f>
        <v>Variante A</v>
      </c>
      <c r="AA30" s="369"/>
      <c r="AB30" s="369"/>
      <c r="AC30" s="369"/>
      <c r="AD30" s="369"/>
      <c r="AE30" s="369"/>
      <c r="AF30" s="369"/>
      <c r="AG30" s="369"/>
      <c r="AH30" s="369"/>
      <c r="AI30" s="369"/>
      <c r="AJ30" s="369"/>
      <c r="AK30" s="369"/>
      <c r="AL30" s="369"/>
      <c r="AM30" s="369"/>
      <c r="AN30" s="369"/>
      <c r="AO30" s="313"/>
      <c r="AP30" s="313"/>
      <c r="AQ30" s="313"/>
      <c r="AR30" s="140" t="str">
        <f>'1 System specification'!O133</f>
        <v/>
      </c>
      <c r="AS30" s="369"/>
      <c r="AT30" s="369"/>
      <c r="AU30" s="369"/>
      <c r="AV30" s="369"/>
      <c r="AW30" s="369"/>
      <c r="AX30" s="369"/>
      <c r="AY30" s="369"/>
      <c r="AZ30" s="369"/>
      <c r="BA30" s="369"/>
      <c r="BB30" s="369"/>
      <c r="BC30" s="369"/>
      <c r="BD30" s="369"/>
      <c r="BE30" s="369"/>
      <c r="BF30" s="369"/>
      <c r="BG30" s="52"/>
      <c r="BH30" s="50"/>
      <c r="BI30" s="52"/>
      <c r="BJ30" s="52"/>
      <c r="BK30" s="52"/>
      <c r="BL30" s="52"/>
      <c r="BN30" s="1205">
        <f>IF('1 System specification'!O135=2,1,0)</f>
        <v>0</v>
      </c>
      <c r="BO30" s="28"/>
      <c r="BP30" s="28" t="s">
        <v>1055</v>
      </c>
    </row>
    <row r="31" spans="2:68" s="398" customFormat="1" ht="21" customHeight="1">
      <c r="B31" s="396"/>
      <c r="C31" s="1171"/>
      <c r="D31" s="1172"/>
      <c r="E31" s="1172"/>
      <c r="F31" s="1172"/>
      <c r="G31" s="1172"/>
      <c r="H31" s="1172"/>
      <c r="I31" s="1172"/>
      <c r="J31" s="1172"/>
      <c r="K31" s="1172"/>
      <c r="L31" s="1172"/>
      <c r="M31" s="1172"/>
      <c r="N31" s="1172"/>
      <c r="O31" s="1172"/>
      <c r="P31" s="1172"/>
      <c r="Q31" s="1172"/>
      <c r="R31" s="1172"/>
      <c r="S31" s="1172"/>
      <c r="T31" s="1172"/>
      <c r="U31" s="1172"/>
      <c r="V31" s="1172"/>
      <c r="W31" s="1172"/>
      <c r="X31" s="1172"/>
      <c r="Y31" s="1172"/>
      <c r="Z31" s="1828" t="str">
        <f>'1 System specification'!S200</f>
        <v/>
      </c>
      <c r="AA31" s="1829"/>
      <c r="AB31" s="1829"/>
      <c r="AC31" s="1829"/>
      <c r="AD31" s="1829"/>
      <c r="AE31" s="1829"/>
      <c r="AF31" s="1829"/>
      <c r="AG31" s="1829"/>
      <c r="AH31" s="1829"/>
      <c r="AI31" s="1829"/>
      <c r="AJ31" s="1829"/>
      <c r="AK31" s="1829"/>
      <c r="AL31" s="1829"/>
      <c r="AM31" s="1829"/>
      <c r="AN31" s="1829"/>
      <c r="AO31" s="1172"/>
      <c r="AP31" s="1172"/>
      <c r="AQ31" s="1172"/>
      <c r="AR31" s="1828" t="str">
        <f>'1 System specification'!BJ200</f>
        <v/>
      </c>
      <c r="AS31" s="1829"/>
      <c r="AT31" s="1829"/>
      <c r="AU31" s="1829"/>
      <c r="AV31" s="1829"/>
      <c r="AW31" s="1829"/>
      <c r="AX31" s="1829"/>
      <c r="AY31" s="1829"/>
      <c r="AZ31" s="1829"/>
      <c r="BA31" s="1829"/>
      <c r="BB31" s="1829"/>
      <c r="BC31" s="1829"/>
      <c r="BD31" s="1829"/>
      <c r="BE31" s="1829"/>
      <c r="BF31" s="1829"/>
      <c r="BG31" s="64"/>
      <c r="BH31" s="397"/>
      <c r="BI31" s="64"/>
      <c r="BJ31" s="64"/>
      <c r="BK31" s="64"/>
      <c r="BL31" s="64"/>
      <c r="BM31" s="64"/>
    </row>
    <row r="32" spans="2:68" s="28" customFormat="1" ht="14.1" customHeight="1">
      <c r="B32" s="53"/>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120"/>
      <c r="AM32" s="55"/>
      <c r="AN32" s="55"/>
      <c r="AO32" s="55"/>
      <c r="AP32" s="55"/>
      <c r="AQ32" s="55"/>
      <c r="AR32" s="55"/>
      <c r="AS32" s="55"/>
      <c r="AT32" s="55"/>
      <c r="AU32" s="55"/>
      <c r="AV32" s="55"/>
      <c r="AW32" s="55"/>
      <c r="AX32" s="55"/>
      <c r="AY32" s="55"/>
      <c r="AZ32" s="55"/>
      <c r="BA32" s="55"/>
      <c r="BB32" s="55"/>
      <c r="BC32" s="55"/>
      <c r="BD32" s="120"/>
      <c r="BE32" s="55"/>
      <c r="BF32" s="55"/>
      <c r="BG32" s="640"/>
      <c r="BH32" s="56"/>
      <c r="BI32" s="55"/>
      <c r="BJ32" s="55"/>
      <c r="BK32" s="55"/>
      <c r="BL32" s="55"/>
      <c r="BM32" s="55"/>
    </row>
    <row r="33" spans="2:69" s="273" customFormat="1" ht="15.95" customHeight="1">
      <c r="B33" s="1187"/>
      <c r="C33" s="1188" t="str">
        <f>X!$C$141</f>
        <v>Kälteleistung Bedarf</v>
      </c>
      <c r="D33" s="1141"/>
      <c r="E33" s="1141"/>
      <c r="F33" s="1141"/>
      <c r="G33" s="1141"/>
      <c r="H33" s="1141"/>
      <c r="I33" s="1141"/>
      <c r="J33" s="1141"/>
      <c r="K33" s="1141"/>
      <c r="L33" s="1141"/>
      <c r="M33" s="1141"/>
      <c r="N33" s="1141"/>
      <c r="O33" s="1141"/>
      <c r="P33" s="1141"/>
      <c r="Q33" s="1141"/>
      <c r="R33" s="1141"/>
      <c r="S33" s="1141"/>
      <c r="T33" s="1141" t="s">
        <v>106</v>
      </c>
      <c r="U33" s="1141"/>
      <c r="V33" s="1141"/>
      <c r="W33" s="1141"/>
      <c r="X33" s="1141"/>
      <c r="Y33" s="1141"/>
      <c r="Z33" s="1823" t="str">
        <f>IF('1 System specification'!S165=0,"",'1 System specification'!S165)</f>
        <v/>
      </c>
      <c r="AA33" s="1824"/>
      <c r="AB33" s="1824"/>
      <c r="AC33" s="1824"/>
      <c r="AD33" s="1141"/>
      <c r="AE33" s="1141"/>
      <c r="AF33" s="1141"/>
      <c r="AG33" s="1141"/>
      <c r="AH33" s="1141"/>
      <c r="AI33" s="1141"/>
      <c r="AJ33" s="1141"/>
      <c r="AK33" s="1141"/>
      <c r="AL33" s="1141"/>
      <c r="AM33" s="1141"/>
      <c r="AN33" s="1141"/>
      <c r="AO33" s="1141"/>
      <c r="AP33" s="1141"/>
      <c r="AQ33" s="1141"/>
      <c r="AR33" s="1823" t="str">
        <f>IF('1 System specification'!BJ165=0,"",'1 System specification'!BJ165)</f>
        <v/>
      </c>
      <c r="AS33" s="1824"/>
      <c r="AT33" s="1824"/>
      <c r="AU33" s="1824"/>
      <c r="AV33" s="1141"/>
      <c r="AW33" s="1141"/>
      <c r="AX33" s="1141"/>
      <c r="AY33" s="1141"/>
      <c r="AZ33" s="1141"/>
      <c r="BA33" s="1141"/>
      <c r="BB33" s="1141"/>
      <c r="BC33" s="1141"/>
      <c r="BD33" s="1141"/>
      <c r="BE33" s="1141"/>
      <c r="BF33" s="1141"/>
      <c r="BG33" s="1141"/>
      <c r="BH33" s="1189"/>
      <c r="BI33" s="1141"/>
      <c r="BJ33" s="1141"/>
      <c r="BK33" s="1141"/>
      <c r="BL33" s="1141"/>
      <c r="BM33" s="1141"/>
    </row>
    <row r="34" spans="2:69" s="273" customFormat="1" ht="15.95" customHeight="1">
      <c r="B34" s="1187"/>
      <c r="C34" s="1188" t="str">
        <f>X!$C$143</f>
        <v>Kälteleistung installiert</v>
      </c>
      <c r="D34" s="1141"/>
      <c r="E34" s="1141"/>
      <c r="F34" s="1141"/>
      <c r="G34" s="1141"/>
      <c r="H34" s="1141"/>
      <c r="I34" s="1141"/>
      <c r="J34" s="1141"/>
      <c r="K34" s="1141"/>
      <c r="L34" s="1141"/>
      <c r="M34" s="1141"/>
      <c r="N34" s="1141"/>
      <c r="O34" s="1141"/>
      <c r="P34" s="1141"/>
      <c r="Q34" s="1141"/>
      <c r="R34" s="1141"/>
      <c r="S34" s="1141"/>
      <c r="T34" s="1141" t="s">
        <v>106</v>
      </c>
      <c r="U34" s="1141"/>
      <c r="V34" s="1141"/>
      <c r="W34" s="1141"/>
      <c r="X34" s="1141"/>
      <c r="Y34" s="1141"/>
      <c r="Z34" s="1825" t="str">
        <f>IF('1 System specification'!Y165=0,"",'1 System specification'!Y165)</f>
        <v/>
      </c>
      <c r="AA34" s="1825"/>
      <c r="AB34" s="1825"/>
      <c r="AC34" s="1825"/>
      <c r="AD34" s="1197"/>
      <c r="AE34" s="1141"/>
      <c r="AF34" s="1141"/>
      <c r="AG34" s="1141"/>
      <c r="AH34" s="1141"/>
      <c r="AI34" s="1141"/>
      <c r="AJ34" s="1141"/>
      <c r="AK34" s="1141"/>
      <c r="AL34" s="1141"/>
      <c r="AM34" s="1141"/>
      <c r="AN34" s="1141"/>
      <c r="AO34" s="1141"/>
      <c r="AP34" s="1141"/>
      <c r="AQ34" s="1141"/>
      <c r="AR34" s="1825" t="str">
        <f>IF('1 System specification'!BP165=0,"",'1 System specification'!BP165)</f>
        <v/>
      </c>
      <c r="AS34" s="1825"/>
      <c r="AT34" s="1825"/>
      <c r="AU34" s="1825"/>
      <c r="AV34" s="1197"/>
      <c r="AW34" s="1141"/>
      <c r="AX34" s="1141"/>
      <c r="AY34" s="1141"/>
      <c r="AZ34" s="1141"/>
      <c r="BA34" s="1141"/>
      <c r="BB34" s="1141"/>
      <c r="BC34" s="1141"/>
      <c r="BD34" s="1141"/>
      <c r="BE34" s="1141"/>
      <c r="BF34" s="1141"/>
      <c r="BG34" s="1141"/>
      <c r="BH34" s="1189"/>
      <c r="BI34" s="1141"/>
      <c r="BJ34" s="1141"/>
      <c r="BK34" s="1141"/>
      <c r="BL34" s="1141"/>
      <c r="BM34" s="1141"/>
    </row>
    <row r="35" spans="2:69" s="273" customFormat="1" ht="15.95" customHeight="1">
      <c r="B35" s="1187"/>
      <c r="C35" s="1188" t="str">
        <f>X!C145</f>
        <v>Kältemittel</v>
      </c>
      <c r="D35" s="1141"/>
      <c r="E35" s="1141"/>
      <c r="F35" s="1141"/>
      <c r="G35" s="1141"/>
      <c r="H35" s="1141"/>
      <c r="I35" s="1141"/>
      <c r="J35" s="1141"/>
      <c r="K35" s="1141"/>
      <c r="L35" s="1141"/>
      <c r="M35" s="1141"/>
      <c r="N35" s="1141"/>
      <c r="O35" s="1141"/>
      <c r="P35" s="1141"/>
      <c r="Q35" s="1141"/>
      <c r="R35" s="1141"/>
      <c r="S35" s="1141"/>
      <c r="T35" s="1141"/>
      <c r="U35" s="1141"/>
      <c r="V35" s="1141"/>
      <c r="W35" s="1141"/>
      <c r="X35" s="1141"/>
      <c r="Y35" s="1141"/>
      <c r="AA35" s="1140"/>
      <c r="AB35" s="1140"/>
      <c r="AC35" s="1140"/>
      <c r="AD35" s="1140"/>
      <c r="AE35" s="1841">
        <f>'1 System specification'!S186</f>
        <v>0</v>
      </c>
      <c r="AF35" s="1841"/>
      <c r="AG35" s="1841"/>
      <c r="AH35" s="1841"/>
      <c r="AI35" s="1841"/>
      <c r="AJ35" s="1841"/>
      <c r="AK35" s="1841"/>
      <c r="AL35" s="1841"/>
      <c r="AM35" s="1841"/>
      <c r="AN35" s="1841"/>
      <c r="AO35" s="1141"/>
      <c r="AP35" s="1141"/>
      <c r="AQ35" s="1141"/>
      <c r="AS35" s="1140"/>
      <c r="AT35" s="1140"/>
      <c r="AU35" s="1140"/>
      <c r="AV35" s="1140"/>
      <c r="AW35" s="1841">
        <f>'1 System specification'!BJ186</f>
        <v>0</v>
      </c>
      <c r="AX35" s="1841"/>
      <c r="AY35" s="1841"/>
      <c r="AZ35" s="1841"/>
      <c r="BA35" s="1841"/>
      <c r="BB35" s="1841"/>
      <c r="BC35" s="1841"/>
      <c r="BD35" s="1841"/>
      <c r="BE35" s="1841"/>
      <c r="BF35" s="1841"/>
      <c r="BG35" s="1141"/>
      <c r="BH35" s="1189"/>
      <c r="BI35" s="1141"/>
      <c r="BJ35" s="1141"/>
      <c r="BK35" s="1141"/>
      <c r="BL35" s="1141"/>
      <c r="BM35" s="1141"/>
    </row>
    <row r="36" spans="2:69" ht="17.100000000000001" customHeight="1">
      <c r="B36" s="47"/>
      <c r="C36" s="52"/>
      <c r="D36" s="52"/>
      <c r="E36" s="52"/>
      <c r="F36" s="52"/>
      <c r="G36" s="52"/>
      <c r="H36" s="52"/>
      <c r="I36" s="52"/>
      <c r="J36" s="52"/>
      <c r="K36" s="52"/>
      <c r="L36" s="52"/>
      <c r="M36" s="52"/>
      <c r="N36" s="52"/>
      <c r="O36" s="52"/>
      <c r="P36" s="52"/>
      <c r="Q36" s="52"/>
      <c r="R36" s="52"/>
      <c r="S36" s="52"/>
      <c r="T36" s="52"/>
      <c r="U36" s="52"/>
      <c r="V36" s="52"/>
      <c r="W36" s="52"/>
      <c r="X36" s="52"/>
      <c r="Z36" s="52"/>
      <c r="AA36" s="52"/>
      <c r="AB36" s="52"/>
      <c r="AC36" s="52"/>
      <c r="AD36" s="52"/>
      <c r="AE36" s="52"/>
      <c r="AF36" s="52"/>
      <c r="AG36" s="52"/>
      <c r="AH36" s="52"/>
      <c r="AI36" s="52"/>
      <c r="AJ36" s="92"/>
      <c r="AK36" s="52"/>
      <c r="AL36" s="93"/>
      <c r="AM36" s="52"/>
      <c r="AN36" s="52"/>
      <c r="AO36" s="52"/>
      <c r="AP36" s="52"/>
      <c r="AQ36" s="52"/>
      <c r="AR36" s="52"/>
      <c r="AS36" s="52"/>
      <c r="AT36" s="52"/>
      <c r="AU36" s="52"/>
      <c r="AV36" s="52"/>
      <c r="AW36" s="52"/>
      <c r="AX36" s="52"/>
      <c r="AY36" s="52"/>
      <c r="AZ36" s="52"/>
      <c r="BA36" s="52"/>
      <c r="BB36" s="395"/>
      <c r="BC36" s="52"/>
      <c r="BD36" s="93"/>
      <c r="BE36" s="52"/>
      <c r="BF36" s="52"/>
      <c r="BG36" s="52"/>
      <c r="BH36" s="50"/>
      <c r="BI36" s="52"/>
      <c r="BJ36" s="52"/>
      <c r="BK36" s="52"/>
      <c r="BL36" s="52"/>
      <c r="BM36" s="52"/>
    </row>
    <row r="37" spans="2:69" ht="17.100000000000001" customHeight="1">
      <c r="B37" s="47"/>
      <c r="C37" s="52"/>
      <c r="D37" s="52"/>
      <c r="E37" s="52"/>
      <c r="F37" s="52"/>
      <c r="G37" s="52"/>
      <c r="H37" s="52"/>
      <c r="I37" s="52"/>
      <c r="J37" s="52"/>
      <c r="K37" s="52"/>
      <c r="L37" s="52"/>
      <c r="M37" s="52"/>
      <c r="N37" s="52"/>
      <c r="O37" s="52"/>
      <c r="P37" s="52"/>
      <c r="Q37" s="52"/>
      <c r="R37" s="52"/>
      <c r="S37" s="52"/>
      <c r="T37" s="52"/>
      <c r="U37" s="52"/>
      <c r="V37" s="52"/>
      <c r="W37" s="52"/>
      <c r="X37" s="52"/>
      <c r="Z37" s="52"/>
      <c r="AA37" s="52"/>
      <c r="AB37" s="52"/>
      <c r="AC37" s="52"/>
      <c r="AD37" s="52"/>
      <c r="AE37" s="52"/>
      <c r="AF37" s="52"/>
      <c r="AG37" s="52"/>
      <c r="AH37" s="52"/>
      <c r="AI37" s="52"/>
      <c r="AJ37" s="1083"/>
      <c r="AK37" s="52"/>
      <c r="AL37" s="93"/>
      <c r="AM37" s="52"/>
      <c r="AN37" s="52"/>
      <c r="AO37" s="52"/>
      <c r="AP37" s="52"/>
      <c r="AQ37" s="52"/>
      <c r="AR37" s="52"/>
      <c r="AS37" s="52"/>
      <c r="AT37" s="52"/>
      <c r="AU37" s="52"/>
      <c r="AV37" s="52"/>
      <c r="AW37" s="52"/>
      <c r="AX37" s="52"/>
      <c r="AY37" s="52"/>
      <c r="AZ37" s="52"/>
      <c r="BA37" s="52"/>
      <c r="BB37" s="1083"/>
      <c r="BC37" s="52"/>
      <c r="BD37" s="93"/>
      <c r="BE37" s="52"/>
      <c r="BF37" s="52"/>
      <c r="BG37" s="52"/>
      <c r="BH37" s="50"/>
      <c r="BI37" s="52"/>
      <c r="BJ37" s="52"/>
      <c r="BK37" s="52"/>
      <c r="BL37" s="52"/>
      <c r="BM37" s="52"/>
    </row>
    <row r="38" spans="2:69" s="116" customFormat="1" ht="21" customHeight="1">
      <c r="B38" s="381"/>
      <c r="C38" s="546" t="str">
        <f>X!$C$95</f>
        <v>Energie</v>
      </c>
      <c r="D38" s="109"/>
      <c r="E38" s="109"/>
      <c r="F38" s="109"/>
      <c r="G38" s="110"/>
      <c r="H38" s="110"/>
      <c r="I38" s="111"/>
      <c r="J38" s="111"/>
      <c r="K38" s="111"/>
      <c r="L38" s="111"/>
      <c r="M38" s="111"/>
      <c r="N38" s="111"/>
      <c r="O38" s="111"/>
      <c r="P38" s="111"/>
      <c r="Q38" s="111"/>
      <c r="R38" s="111"/>
      <c r="S38" s="109"/>
      <c r="T38" s="111"/>
      <c r="U38" s="110"/>
      <c r="V38" s="110"/>
      <c r="W38" s="114"/>
      <c r="X38" s="114"/>
      <c r="Y38" s="114"/>
      <c r="Z38" s="110"/>
      <c r="AA38" s="110"/>
      <c r="AB38" s="110"/>
      <c r="AC38" s="110"/>
      <c r="AD38" s="110"/>
      <c r="AE38" s="110"/>
      <c r="AF38" s="110"/>
      <c r="AG38" s="110"/>
      <c r="AH38" s="110"/>
      <c r="AI38" s="110"/>
      <c r="AJ38" s="110"/>
      <c r="AK38" s="110"/>
      <c r="AL38" s="110"/>
      <c r="AM38" s="111"/>
      <c r="AN38" s="111"/>
      <c r="AP38" s="112"/>
      <c r="AQ38" s="113"/>
      <c r="AR38" s="110"/>
      <c r="AS38" s="110"/>
      <c r="AT38" s="110"/>
      <c r="AU38" s="110"/>
      <c r="AV38" s="110"/>
      <c r="AW38" s="110"/>
      <c r="AX38" s="110"/>
      <c r="AY38" s="110"/>
      <c r="AZ38" s="110"/>
      <c r="BA38" s="110"/>
      <c r="BB38" s="110"/>
      <c r="BC38" s="110"/>
      <c r="BD38" s="110"/>
      <c r="BE38" s="111"/>
      <c r="BF38" s="111"/>
      <c r="BG38" s="114"/>
      <c r="BH38" s="382"/>
      <c r="BI38" s="114"/>
      <c r="BJ38" s="112"/>
      <c r="BK38" s="112"/>
      <c r="BL38" s="112"/>
      <c r="BM38" s="112"/>
    </row>
    <row r="39" spans="2:69" ht="24.95" customHeight="1">
      <c r="B39" s="47"/>
      <c r="C39" s="52"/>
      <c r="D39" s="535" t="str">
        <f>X!$C$137</f>
        <v>Kälteproduktion der Anlage</v>
      </c>
      <c r="E39" s="52"/>
      <c r="F39" s="52"/>
      <c r="G39" s="52"/>
      <c r="H39" s="52"/>
      <c r="I39" s="52"/>
      <c r="J39" s="52"/>
      <c r="K39" s="52"/>
      <c r="L39" s="52"/>
      <c r="M39" s="52"/>
      <c r="N39" s="52"/>
      <c r="O39" s="52"/>
      <c r="P39" s="52"/>
      <c r="Q39" s="52"/>
      <c r="R39" s="52"/>
      <c r="S39" s="52"/>
      <c r="T39" s="52" t="s">
        <v>22</v>
      </c>
      <c r="U39" s="52"/>
      <c r="V39" s="52"/>
      <c r="W39" s="52"/>
      <c r="X39" s="52"/>
      <c r="Y39" s="52"/>
      <c r="Z39" s="1459" t="str">
        <f>IF('1 System specification'!S179=0,"-",'1 System specification'!S179)</f>
        <v>-</v>
      </c>
      <c r="AA39" s="1449"/>
      <c r="AB39" s="1449"/>
      <c r="AC39" s="1449"/>
      <c r="AD39" s="52"/>
      <c r="AE39" s="52"/>
      <c r="AF39" s="52"/>
      <c r="AG39" s="52"/>
      <c r="AH39" s="52"/>
      <c r="AI39" s="52"/>
      <c r="AJ39" s="52"/>
      <c r="AK39" s="52"/>
      <c r="AL39" s="52"/>
      <c r="AM39" s="52"/>
      <c r="AN39" s="52"/>
      <c r="AO39" s="52"/>
      <c r="AP39" s="52"/>
      <c r="AQ39" s="52"/>
      <c r="AR39" s="1459" t="str">
        <f>IF('1 System specification'!BJ179=0,"-",'1 System specification'!BJ179)</f>
        <v>-</v>
      </c>
      <c r="AS39" s="1449"/>
      <c r="AT39" s="1449"/>
      <c r="AU39" s="1449"/>
      <c r="AV39" s="52"/>
      <c r="AW39" s="52"/>
      <c r="AX39" s="52"/>
      <c r="AY39" s="52"/>
      <c r="AZ39" s="52"/>
      <c r="BA39" s="52"/>
      <c r="BB39" s="52"/>
      <c r="BC39" s="52"/>
      <c r="BD39" s="52"/>
      <c r="BE39" s="52"/>
      <c r="BF39" s="52"/>
      <c r="BG39" s="52"/>
      <c r="BH39" s="50"/>
      <c r="BI39" s="52"/>
      <c r="BJ39" s="52"/>
      <c r="BK39" s="52"/>
      <c r="BL39" s="52"/>
      <c r="BM39" s="52"/>
    </row>
    <row r="40" spans="2:69" s="28" customFormat="1" ht="18" customHeight="1">
      <c r="B40" s="53"/>
      <c r="C40" s="640"/>
      <c r="E40" s="537" t="str">
        <f>X!C324</f>
        <v>Kühlung mit der Kältemaschine</v>
      </c>
      <c r="F40" s="640"/>
      <c r="G40" s="640"/>
      <c r="H40" s="640"/>
      <c r="I40" s="640"/>
      <c r="J40" s="640"/>
      <c r="K40" s="640"/>
      <c r="L40" s="640"/>
      <c r="M40" s="640"/>
      <c r="N40" s="640"/>
      <c r="O40" s="640"/>
      <c r="P40" s="640"/>
      <c r="Q40" s="640"/>
      <c r="R40" s="640"/>
      <c r="S40" s="640"/>
      <c r="T40" s="640" t="s">
        <v>22</v>
      </c>
      <c r="U40" s="640"/>
      <c r="V40" s="640"/>
      <c r="W40" s="640"/>
      <c r="X40" s="640"/>
      <c r="Y40" s="640"/>
      <c r="Z40" s="1830" t="str">
        <f>IF('1 System specification'!Y179=0,"-",'1 System specification'!Y179)</f>
        <v>-</v>
      </c>
      <c r="AA40" s="1483"/>
      <c r="AB40" s="1483"/>
      <c r="AC40" s="1483"/>
      <c r="AD40" s="640"/>
      <c r="AE40" s="640"/>
      <c r="AF40" s="640"/>
      <c r="AG40" s="640"/>
      <c r="AH40" s="640"/>
      <c r="AI40" s="640"/>
      <c r="AJ40" s="640"/>
      <c r="AK40" s="640"/>
      <c r="AL40" s="640"/>
      <c r="AM40" s="640"/>
      <c r="AN40" s="640"/>
      <c r="AO40" s="640"/>
      <c r="AP40" s="640"/>
      <c r="AQ40" s="640"/>
      <c r="AR40" s="1830" t="str">
        <f>IF('1 System specification'!BP179=0,"-",'1 System specification'!BP179)</f>
        <v>-</v>
      </c>
      <c r="AS40" s="1483"/>
      <c r="AT40" s="1483"/>
      <c r="AU40" s="1483"/>
      <c r="AV40" s="640"/>
      <c r="AW40" s="640"/>
      <c r="AX40" s="640"/>
      <c r="AY40" s="640"/>
      <c r="AZ40" s="640"/>
      <c r="BA40" s="640"/>
      <c r="BB40" s="640"/>
      <c r="BC40" s="640"/>
      <c r="BD40" s="640"/>
      <c r="BE40" s="640"/>
      <c r="BF40" s="640"/>
      <c r="BG40" s="640"/>
      <c r="BH40" s="56"/>
      <c r="BI40" s="640"/>
      <c r="BJ40" s="640"/>
      <c r="BK40" s="640"/>
      <c r="BL40" s="640"/>
      <c r="BM40" s="640"/>
    </row>
    <row r="41" spans="2:69" s="28" customFormat="1" ht="18" customHeight="1">
      <c r="B41" s="53"/>
      <c r="C41" s="640"/>
      <c r="E41" s="537" t="str">
        <f>X!C325</f>
        <v>Kühlung mit Free-Cooling</v>
      </c>
      <c r="F41" s="640"/>
      <c r="G41" s="640"/>
      <c r="H41" s="640"/>
      <c r="I41" s="640"/>
      <c r="J41" s="640"/>
      <c r="K41" s="640"/>
      <c r="L41" s="640"/>
      <c r="M41" s="640"/>
      <c r="N41" s="640"/>
      <c r="O41" s="640"/>
      <c r="P41" s="640"/>
      <c r="Q41" s="640"/>
      <c r="R41" s="640"/>
      <c r="S41" s="640"/>
      <c r="T41" s="640" t="s">
        <v>22</v>
      </c>
      <c r="U41" s="640"/>
      <c r="V41" s="640"/>
      <c r="W41" s="640"/>
      <c r="X41" s="640"/>
      <c r="Y41" s="640"/>
      <c r="Z41" s="1830" t="str">
        <f>IF('1 System specification'!AF179=0,"-",'1 System specification'!AF179)</f>
        <v>-</v>
      </c>
      <c r="AA41" s="1483"/>
      <c r="AB41" s="1483"/>
      <c r="AC41" s="1483"/>
      <c r="AD41" s="640"/>
      <c r="AE41" s="640"/>
      <c r="AF41" s="640"/>
      <c r="AG41" s="640"/>
      <c r="AH41" s="640"/>
      <c r="AI41" s="640"/>
      <c r="AJ41" s="640"/>
      <c r="AK41" s="640"/>
      <c r="AL41" s="640"/>
      <c r="AM41" s="640"/>
      <c r="AN41" s="640"/>
      <c r="AO41" s="640"/>
      <c r="AP41" s="640"/>
      <c r="AQ41" s="640"/>
      <c r="AR41" s="1830" t="str">
        <f>IF('1 System specification'!BW179=0,"-",'1 System specification'!BW179)</f>
        <v>-</v>
      </c>
      <c r="AS41" s="1483"/>
      <c r="AT41" s="1483"/>
      <c r="AU41" s="1483"/>
      <c r="AV41" s="640"/>
      <c r="AW41" s="640"/>
      <c r="AX41" s="640"/>
      <c r="AY41" s="640"/>
      <c r="AZ41" s="640"/>
      <c r="BA41" s="640"/>
      <c r="BB41" s="640"/>
      <c r="BC41" s="640"/>
      <c r="BD41" s="640"/>
      <c r="BE41" s="640"/>
      <c r="BF41" s="640"/>
      <c r="BG41" s="640"/>
      <c r="BH41" s="56"/>
      <c r="BI41" s="640"/>
      <c r="BJ41" s="640"/>
      <c r="BK41" s="640"/>
      <c r="BL41" s="640"/>
      <c r="BM41" s="640"/>
    </row>
    <row r="42" spans="2:69" ht="15.95" customHeight="1">
      <c r="B42" s="47"/>
      <c r="C42" s="52"/>
      <c r="E42" s="535"/>
      <c r="F42" s="52"/>
      <c r="G42" s="52"/>
      <c r="H42" s="52"/>
      <c r="I42" s="52"/>
      <c r="J42" s="52"/>
      <c r="K42" s="52"/>
      <c r="L42" s="52"/>
      <c r="M42" s="52"/>
      <c r="N42" s="52"/>
      <c r="O42" s="52"/>
      <c r="P42" s="52"/>
      <c r="Q42" s="52"/>
      <c r="R42" s="52"/>
      <c r="S42" s="52"/>
      <c r="T42" s="52"/>
      <c r="U42" s="52"/>
      <c r="V42" s="52"/>
      <c r="W42" s="52"/>
      <c r="X42" s="52"/>
      <c r="Y42" s="52"/>
      <c r="Z42" s="1075"/>
      <c r="AA42" s="1076"/>
      <c r="AB42" s="1076"/>
      <c r="AC42" s="1076"/>
      <c r="AD42" s="52"/>
      <c r="AE42" s="52"/>
      <c r="AF42" s="52"/>
      <c r="AG42" s="52"/>
      <c r="AH42" s="52"/>
      <c r="AI42" s="52"/>
      <c r="AJ42" s="52"/>
      <c r="AK42" s="52"/>
      <c r="AL42" s="52"/>
      <c r="AM42" s="52"/>
      <c r="AN42" s="52"/>
      <c r="AO42" s="52"/>
      <c r="AP42" s="52"/>
      <c r="AQ42" s="52"/>
      <c r="AR42" s="1075"/>
      <c r="AS42" s="1076"/>
      <c r="AT42" s="1076"/>
      <c r="AU42" s="1076"/>
      <c r="AV42" s="52"/>
      <c r="AW42" s="52"/>
      <c r="AX42" s="52"/>
      <c r="AY42" s="52"/>
      <c r="AZ42" s="52"/>
      <c r="BA42" s="52"/>
      <c r="BB42" s="52"/>
      <c r="BC42" s="52"/>
      <c r="BD42" s="52"/>
      <c r="BE42" s="52"/>
      <c r="BF42" s="52"/>
      <c r="BG42" s="52"/>
      <c r="BH42" s="50"/>
      <c r="BI42" s="52"/>
      <c r="BJ42" s="52"/>
      <c r="BK42" s="52"/>
      <c r="BL42" s="52"/>
      <c r="BM42" s="52"/>
    </row>
    <row r="43" spans="2:69" s="28" customFormat="1" ht="18.95" customHeight="1">
      <c r="B43" s="53"/>
      <c r="C43" s="640"/>
      <c r="D43" s="537" t="str">
        <f>X!$C$92</f>
        <v>Elektrizitätsbedarf</v>
      </c>
      <c r="E43" s="640"/>
      <c r="F43" s="640"/>
      <c r="G43" s="640"/>
      <c r="H43" s="640"/>
      <c r="I43" s="640"/>
      <c r="J43" s="640"/>
      <c r="K43" s="640"/>
      <c r="L43" s="640"/>
      <c r="M43" s="640"/>
      <c r="N43" s="640"/>
      <c r="O43" s="640"/>
      <c r="P43" s="640"/>
      <c r="Q43" s="640"/>
      <c r="R43" s="640"/>
      <c r="S43" s="640"/>
      <c r="T43" s="640" t="s">
        <v>22</v>
      </c>
      <c r="U43" s="640"/>
      <c r="V43" s="640"/>
      <c r="W43" s="640"/>
      <c r="X43" s="640"/>
      <c r="Y43" s="640"/>
      <c r="Z43" s="1830" t="str">
        <f>IF('1 System specification'!S158=0,"-",'1 System specification'!S158)</f>
        <v>-</v>
      </c>
      <c r="AA43" s="1483"/>
      <c r="AB43" s="1483"/>
      <c r="AC43" s="1483"/>
      <c r="AD43" s="640"/>
      <c r="AE43" s="640"/>
      <c r="AF43" s="640"/>
      <c r="AG43" s="640"/>
      <c r="AH43" s="640"/>
      <c r="AI43" s="640"/>
      <c r="AJ43" s="640"/>
      <c r="AK43" s="640"/>
      <c r="AL43" s="640"/>
      <c r="AM43" s="640"/>
      <c r="AN43" s="640"/>
      <c r="AO43" s="640"/>
      <c r="AP43" s="640"/>
      <c r="AQ43" s="640"/>
      <c r="AR43" s="1830" t="str">
        <f>IF('1 System specification'!BJ158=0,"-",'1 System specification'!BJ158)</f>
        <v>-</v>
      </c>
      <c r="AS43" s="1483"/>
      <c r="AT43" s="1483"/>
      <c r="AU43" s="1483"/>
      <c r="AV43" s="640"/>
      <c r="AW43" s="640"/>
      <c r="AX43" s="640"/>
      <c r="AY43" s="640"/>
      <c r="AZ43" s="640"/>
      <c r="BA43" s="640"/>
      <c r="BB43" s="640"/>
      <c r="BC43" s="640"/>
      <c r="BD43" s="640"/>
      <c r="BE43" s="640"/>
      <c r="BF43" s="640"/>
      <c r="BG43" s="640"/>
      <c r="BH43" s="56"/>
      <c r="BI43" s="640"/>
      <c r="BJ43" s="640"/>
      <c r="BK43" s="640"/>
      <c r="BL43" s="640"/>
      <c r="BM43" s="640"/>
    </row>
    <row r="44" spans="2:69" s="522" customFormat="1" ht="26.1" customHeight="1">
      <c r="B44" s="1193"/>
      <c r="C44" s="684"/>
      <c r="D44" s="1194" t="str">
        <f>X!$C$77</f>
        <v>Daten Elektrizitätsbedarf</v>
      </c>
      <c r="E44" s="684"/>
      <c r="F44" s="684"/>
      <c r="G44" s="684"/>
      <c r="H44" s="684"/>
      <c r="I44" s="684"/>
      <c r="J44" s="684"/>
      <c r="K44" s="684"/>
      <c r="L44" s="684"/>
      <c r="M44" s="684"/>
      <c r="N44" s="684"/>
      <c r="O44" s="684"/>
      <c r="P44" s="684"/>
      <c r="Q44" s="684"/>
      <c r="R44" s="684"/>
      <c r="S44" s="684"/>
      <c r="T44" s="684"/>
      <c r="U44" s="684"/>
      <c r="V44" s="684"/>
      <c r="W44" s="684"/>
      <c r="X44" s="684"/>
      <c r="Y44" s="684"/>
      <c r="AA44" s="386"/>
      <c r="AB44" s="386"/>
      <c r="AC44" s="386"/>
      <c r="AD44" s="386"/>
      <c r="AE44" s="1842" t="str">
        <f>'1 System specification'!Y158</f>
        <v>manuelle Eingabe</v>
      </c>
      <c r="AF44" s="1842"/>
      <c r="AG44" s="1842"/>
      <c r="AH44" s="1842"/>
      <c r="AI44" s="1842"/>
      <c r="AJ44" s="1842"/>
      <c r="AK44" s="1842"/>
      <c r="AL44" s="1842"/>
      <c r="AM44" s="1842"/>
      <c r="AN44" s="1842"/>
      <c r="AO44" s="386"/>
      <c r="AP44" s="684"/>
      <c r="AQ44" s="684"/>
      <c r="AS44" s="603"/>
      <c r="AT44" s="603"/>
      <c r="AU44" s="603"/>
      <c r="AV44" s="603"/>
      <c r="AW44" s="1842" t="str">
        <f>'1 System specification'!BP158</f>
        <v>manuelle Eingabe</v>
      </c>
      <c r="AX44" s="1842"/>
      <c r="AY44" s="1842"/>
      <c r="AZ44" s="1842"/>
      <c r="BA44" s="1842"/>
      <c r="BB44" s="1842"/>
      <c r="BC44" s="1842"/>
      <c r="BD44" s="1842"/>
      <c r="BE44" s="1842"/>
      <c r="BF44" s="1842"/>
      <c r="BG44" s="1196"/>
      <c r="BH44" s="1195"/>
      <c r="BI44" s="684"/>
      <c r="BJ44" s="684"/>
      <c r="BK44" s="684"/>
      <c r="BL44" s="684"/>
      <c r="BM44" s="684"/>
    </row>
    <row r="45" spans="2:69" ht="9" customHeight="1">
      <c r="B45" s="47"/>
      <c r="C45" s="52"/>
      <c r="D45" s="535"/>
      <c r="E45" s="52"/>
      <c r="F45" s="52"/>
      <c r="G45" s="52"/>
      <c r="H45" s="52"/>
      <c r="I45" s="52"/>
      <c r="J45" s="52"/>
      <c r="K45" s="52"/>
      <c r="L45" s="52"/>
      <c r="M45" s="52"/>
      <c r="N45" s="52"/>
      <c r="O45" s="52"/>
      <c r="P45" s="52"/>
      <c r="Q45" s="52"/>
      <c r="R45" s="52"/>
      <c r="S45" s="52"/>
      <c r="T45" s="52"/>
      <c r="U45" s="52"/>
      <c r="V45" s="52"/>
      <c r="W45" s="52"/>
      <c r="X45" s="52"/>
      <c r="Y45" s="52"/>
      <c r="Z45" s="1075"/>
      <c r="AA45" s="1076"/>
      <c r="AB45" s="1076"/>
      <c r="AC45" s="1076"/>
      <c r="AD45" s="52"/>
      <c r="AE45" s="52"/>
      <c r="AF45" s="52"/>
      <c r="AG45" s="52"/>
      <c r="AH45" s="52"/>
      <c r="AI45" s="52"/>
      <c r="AJ45" s="52"/>
      <c r="AK45" s="52"/>
      <c r="AL45" s="52"/>
      <c r="AM45" s="52"/>
      <c r="AN45" s="52"/>
      <c r="AO45" s="52"/>
      <c r="AP45" s="52"/>
      <c r="AQ45" s="52"/>
      <c r="AR45" s="1075"/>
      <c r="AS45" s="1076"/>
      <c r="AT45" s="1076"/>
      <c r="AU45" s="1076"/>
      <c r="AV45" s="52"/>
      <c r="AW45" s="52"/>
      <c r="AX45" s="52"/>
      <c r="AY45" s="52"/>
      <c r="AZ45" s="52"/>
      <c r="BA45" s="52"/>
      <c r="BB45" s="52"/>
      <c r="BC45" s="52"/>
      <c r="BD45" s="52"/>
      <c r="BE45" s="52"/>
      <c r="BF45" s="52"/>
      <c r="BG45" s="52"/>
      <c r="BH45" s="50"/>
      <c r="BI45" s="52"/>
      <c r="BJ45" s="52"/>
      <c r="BK45" s="52"/>
      <c r="BL45" s="52"/>
      <c r="BM45" s="52"/>
    </row>
    <row r="46" spans="2:69" ht="15.95" customHeight="1">
      <c r="B46" s="47"/>
      <c r="C46" s="52"/>
      <c r="D46" s="535" t="str">
        <f>X!C331</f>
        <v>Genutzte Wärme</v>
      </c>
      <c r="E46" s="52"/>
      <c r="F46" s="52"/>
      <c r="G46" s="52"/>
      <c r="H46" s="52"/>
      <c r="I46" s="52"/>
      <c r="J46" s="52"/>
      <c r="K46" s="52"/>
      <c r="L46" s="52"/>
      <c r="M46" s="52"/>
      <c r="N46" s="52"/>
      <c r="O46" s="52"/>
      <c r="P46" s="52"/>
      <c r="Q46" s="52"/>
      <c r="R46" s="52"/>
      <c r="S46" s="52"/>
      <c r="T46" s="52" t="s">
        <v>22</v>
      </c>
      <c r="U46" s="52"/>
      <c r="V46" s="52"/>
      <c r="W46" s="52"/>
      <c r="X46" s="52"/>
      <c r="Y46" s="52"/>
      <c r="Z46" s="1459">
        <f>'1 System specification'!S193</f>
        <v>0</v>
      </c>
      <c r="AA46" s="1449"/>
      <c r="AB46" s="1449"/>
      <c r="AC46" s="1449"/>
      <c r="AD46" s="52"/>
      <c r="AE46" s="52"/>
      <c r="AF46" s="52"/>
      <c r="AG46" s="52"/>
      <c r="AH46" s="52"/>
      <c r="AI46" s="52"/>
      <c r="AJ46" s="52"/>
      <c r="AK46" s="52"/>
      <c r="AL46" s="52"/>
      <c r="AM46" s="52"/>
      <c r="AN46" s="52"/>
      <c r="AO46" s="52"/>
      <c r="AP46" s="52"/>
      <c r="AQ46" s="52"/>
      <c r="AR46" s="1459">
        <f>'1 System specification'!BJ193</f>
        <v>0</v>
      </c>
      <c r="AS46" s="1449"/>
      <c r="AT46" s="1449"/>
      <c r="AU46" s="1449"/>
      <c r="AV46" s="52"/>
      <c r="AW46" s="52"/>
      <c r="AX46" s="52"/>
      <c r="AY46" s="52"/>
      <c r="AZ46" s="52"/>
      <c r="BA46" s="52"/>
      <c r="BB46" s="52"/>
      <c r="BC46" s="52"/>
      <c r="BD46" s="52"/>
      <c r="BE46" s="52"/>
      <c r="BF46" s="52"/>
      <c r="BG46" s="52"/>
      <c r="BH46" s="50"/>
      <c r="BI46" s="52"/>
      <c r="BJ46" s="52"/>
      <c r="BK46" s="52"/>
      <c r="BL46" s="52"/>
      <c r="BM46" s="52"/>
    </row>
    <row r="47" spans="2:69" s="28" customFormat="1" ht="26.1" customHeight="1">
      <c r="B47" s="53"/>
      <c r="D47" s="687" t="str">
        <f>X!C388</f>
        <v>Die Wärmenutzung ersetzt Wärme aus einer...</v>
      </c>
      <c r="E47" s="640"/>
      <c r="F47" s="640"/>
      <c r="G47" s="640"/>
      <c r="H47" s="640"/>
      <c r="I47" s="640"/>
      <c r="J47" s="640"/>
      <c r="K47" s="640"/>
      <c r="L47" s="640"/>
      <c r="M47" s="640"/>
      <c r="N47" s="640"/>
      <c r="O47" s="640"/>
      <c r="P47" s="640"/>
      <c r="Q47" s="640"/>
      <c r="R47" s="640"/>
      <c r="S47" s="640"/>
      <c r="T47" s="640"/>
      <c r="U47" s="640"/>
      <c r="V47" s="640"/>
      <c r="W47" s="640"/>
      <c r="X47" s="640"/>
      <c r="Y47" s="1026">
        <f>'2A Electricity regular'!W101</f>
        <v>0</v>
      </c>
      <c r="AA47" s="1241"/>
      <c r="AB47" s="1241"/>
      <c r="AC47" s="1241"/>
      <c r="AD47" s="1241"/>
      <c r="AE47" s="1819" t="str">
        <f>IF(Y47=1,'3 TEWI'!D51,"")</f>
        <v/>
      </c>
      <c r="AF47" s="1819"/>
      <c r="AG47" s="1819"/>
      <c r="AH47" s="1819"/>
      <c r="AI47" s="1819"/>
      <c r="AJ47" s="1819"/>
      <c r="AK47" s="1819"/>
      <c r="AL47" s="1819"/>
      <c r="AM47" s="1819"/>
      <c r="AN47" s="1819"/>
      <c r="AO47" s="52"/>
      <c r="AP47" s="52"/>
      <c r="AQ47" s="52"/>
      <c r="AS47" s="1241"/>
      <c r="AT47" s="1241"/>
      <c r="AU47" s="1241"/>
      <c r="AV47" s="1241"/>
      <c r="AW47" s="1819" t="str">
        <f>IF(AQ47=1,'3 TEWI'!D51,"")</f>
        <v/>
      </c>
      <c r="AX47" s="1819"/>
      <c r="AY47" s="1819"/>
      <c r="AZ47" s="1819"/>
      <c r="BA47" s="1819"/>
      <c r="BB47" s="1819"/>
      <c r="BC47" s="1819"/>
      <c r="BD47" s="1819"/>
      <c r="BE47" s="1819"/>
      <c r="BF47" s="1819"/>
      <c r="BG47" s="640"/>
      <c r="BH47" s="56"/>
      <c r="BI47" s="640"/>
      <c r="BJ47" s="640"/>
      <c r="BK47" s="640"/>
      <c r="BL47" s="640"/>
      <c r="BM47" s="640"/>
      <c r="BN47" s="1205">
        <f>BN71</f>
        <v>0</v>
      </c>
      <c r="BQ47" s="28" t="s">
        <v>1047</v>
      </c>
    </row>
    <row r="48" spans="2:69" ht="9.9499999999999993" customHeight="1">
      <c r="B48" s="47"/>
      <c r="C48" s="52"/>
      <c r="D48" s="535"/>
      <c r="E48" s="52"/>
      <c r="F48" s="52"/>
      <c r="G48" s="52"/>
      <c r="H48" s="52"/>
      <c r="I48" s="52"/>
      <c r="J48" s="52"/>
      <c r="K48" s="52"/>
      <c r="L48" s="52"/>
      <c r="M48" s="52"/>
      <c r="N48" s="52"/>
      <c r="O48" s="52"/>
      <c r="P48" s="52"/>
      <c r="Q48" s="52"/>
      <c r="R48" s="52"/>
      <c r="S48" s="52"/>
      <c r="T48" s="52"/>
      <c r="U48" s="52"/>
      <c r="V48" s="52"/>
      <c r="W48" s="52"/>
      <c r="X48" s="52"/>
      <c r="Y48" s="52"/>
      <c r="Z48" s="1075"/>
      <c r="AA48" s="1076"/>
      <c r="AB48" s="1076"/>
      <c r="AC48" s="1076"/>
      <c r="AD48" s="52"/>
      <c r="AE48" s="52"/>
      <c r="AF48" s="52"/>
      <c r="AG48" s="52"/>
      <c r="AH48" s="52"/>
      <c r="AI48" s="52"/>
      <c r="AJ48" s="52"/>
      <c r="AK48" s="52"/>
      <c r="AL48" s="52"/>
      <c r="AM48" s="52"/>
      <c r="AN48" s="52"/>
      <c r="AO48" s="52"/>
      <c r="AP48" s="52"/>
      <c r="AQ48" s="52"/>
      <c r="AR48" s="1075"/>
      <c r="AS48" s="1076"/>
      <c r="AT48" s="1076"/>
      <c r="AU48" s="1076"/>
      <c r="AV48" s="52"/>
      <c r="AW48" s="52"/>
      <c r="AX48" s="52"/>
      <c r="AY48" s="52"/>
      <c r="AZ48" s="52"/>
      <c r="BA48" s="52"/>
      <c r="BB48" s="52"/>
      <c r="BC48" s="52"/>
      <c r="BD48" s="52"/>
      <c r="BE48" s="52"/>
      <c r="BF48" s="52"/>
      <c r="BG48" s="52"/>
      <c r="BH48" s="50"/>
      <c r="BI48" s="52"/>
      <c r="BJ48" s="52"/>
      <c r="BK48" s="52"/>
      <c r="BL48" s="52"/>
      <c r="BM48" s="52"/>
    </row>
    <row r="49" spans="2:73" ht="9.9499999999999993" customHeight="1">
      <c r="B49" s="47"/>
      <c r="C49" s="52"/>
      <c r="D49" s="535" t="str">
        <f>X!C387</f>
        <v>Energieeffizienz</v>
      </c>
      <c r="E49" s="52"/>
      <c r="F49" s="52"/>
      <c r="G49" s="52"/>
      <c r="H49" s="52"/>
      <c r="I49" s="52"/>
      <c r="J49" s="52"/>
      <c r="K49" s="52"/>
      <c r="L49" s="52"/>
      <c r="M49" s="52"/>
      <c r="N49" s="52"/>
      <c r="O49" s="52"/>
      <c r="P49" s="52"/>
      <c r="Q49" s="52"/>
      <c r="R49" s="52"/>
      <c r="S49" s="52"/>
      <c r="T49" s="52"/>
      <c r="U49" s="52"/>
      <c r="V49" s="52"/>
      <c r="W49" s="52"/>
      <c r="X49" s="52"/>
      <c r="Y49" s="52"/>
      <c r="Z49" s="1075"/>
      <c r="AA49" s="1076"/>
      <c r="AB49" s="1076"/>
      <c r="AC49" s="1076"/>
      <c r="AD49" s="52"/>
      <c r="AE49" s="52"/>
      <c r="AF49" s="52"/>
      <c r="AG49" s="52"/>
      <c r="AH49" s="52"/>
      <c r="AI49" s="52"/>
      <c r="AJ49" s="52"/>
      <c r="AK49" s="52"/>
      <c r="AL49" s="52"/>
      <c r="AM49" s="52"/>
      <c r="AN49" s="52"/>
      <c r="AO49" s="52"/>
      <c r="AP49" s="52"/>
      <c r="AQ49" s="52"/>
      <c r="AR49" s="1075"/>
      <c r="AS49" s="1076"/>
      <c r="AT49" s="1076"/>
      <c r="AU49" s="1076"/>
      <c r="AV49" s="52"/>
      <c r="AW49" s="52"/>
      <c r="AX49" s="52"/>
      <c r="AY49" s="52"/>
      <c r="AZ49" s="52"/>
      <c r="BA49" s="52"/>
      <c r="BB49" s="52"/>
      <c r="BC49" s="52"/>
      <c r="BD49" s="52"/>
      <c r="BE49" s="52"/>
      <c r="BF49" s="52"/>
      <c r="BG49" s="52"/>
      <c r="BH49" s="50"/>
      <c r="BI49" s="52"/>
      <c r="BJ49" s="52"/>
      <c r="BK49" s="52"/>
      <c r="BL49" s="52"/>
      <c r="BM49" s="52"/>
    </row>
    <row r="50" spans="2:73" ht="15.95" customHeight="1">
      <c r="B50" s="47"/>
      <c r="C50" s="52"/>
      <c r="D50" s="580"/>
      <c r="E50" s="52" t="str">
        <f>X!C328</f>
        <v>Energieeffizienz-Zahl (Kälte)</v>
      </c>
      <c r="F50" s="52"/>
      <c r="G50" s="52"/>
      <c r="H50" s="52"/>
      <c r="I50" s="52"/>
      <c r="J50" s="52"/>
      <c r="K50" s="52"/>
      <c r="L50" s="52"/>
      <c r="M50" s="52"/>
      <c r="N50" s="52"/>
      <c r="O50" s="52"/>
      <c r="P50" s="52"/>
      <c r="Q50" s="52"/>
      <c r="R50" s="52"/>
      <c r="S50" s="52"/>
      <c r="T50" s="52" t="s">
        <v>16</v>
      </c>
      <c r="U50" s="52"/>
      <c r="V50" s="52"/>
      <c r="W50" s="52"/>
      <c r="X50" s="52"/>
      <c r="Y50" s="52"/>
      <c r="Z50" s="1820" t="str">
        <f>IF('1 System specification'!S172=0,"-",'1 System specification'!S172)</f>
        <v>-</v>
      </c>
      <c r="AA50" s="1820"/>
      <c r="AB50" s="1820"/>
      <c r="AC50" s="1820"/>
      <c r="AD50" s="212"/>
      <c r="AE50" s="52"/>
      <c r="AF50" s="52"/>
      <c r="AG50" s="52"/>
      <c r="AH50" s="52"/>
      <c r="AI50" s="52"/>
      <c r="AJ50" s="52"/>
      <c r="AK50" s="52"/>
      <c r="AL50" s="52"/>
      <c r="AM50" s="52"/>
      <c r="AN50" s="52"/>
      <c r="AO50" s="52"/>
      <c r="AP50" s="52"/>
      <c r="AQ50" s="52"/>
      <c r="AR50" s="1820" t="str">
        <f>IF('1 System specification'!BJ172=0,"-",'1 System specification'!BJ172)</f>
        <v>-</v>
      </c>
      <c r="AS50" s="1820"/>
      <c r="AT50" s="1820"/>
      <c r="AU50" s="1820"/>
      <c r="AV50" s="212"/>
      <c r="AW50" s="52"/>
      <c r="AX50" s="52"/>
      <c r="AY50" s="52"/>
      <c r="AZ50" s="52"/>
      <c r="BA50" s="52"/>
      <c r="BB50" s="52"/>
      <c r="BC50" s="52"/>
      <c r="BD50" s="52"/>
      <c r="BE50" s="52"/>
      <c r="BF50" s="52"/>
      <c r="BG50" s="52"/>
      <c r="BH50" s="50"/>
      <c r="BI50" s="52"/>
      <c r="BJ50" s="52"/>
      <c r="BK50" s="52"/>
      <c r="BL50" s="52"/>
      <c r="BM50" s="52"/>
      <c r="BU50" s="52"/>
    </row>
    <row r="51" spans="2:73" ht="15.95" customHeight="1">
      <c r="B51" s="47"/>
      <c r="C51" s="52"/>
      <c r="D51" s="580"/>
      <c r="E51" s="52" t="str">
        <f>X!C332</f>
        <v>Energieeffizienz-Zahl (Wärme)</v>
      </c>
      <c r="F51" s="52"/>
      <c r="G51" s="52"/>
      <c r="H51" s="52"/>
      <c r="I51" s="52"/>
      <c r="J51" s="52"/>
      <c r="K51" s="52"/>
      <c r="L51" s="52"/>
      <c r="M51" s="52"/>
      <c r="N51" s="52"/>
      <c r="O51" s="52"/>
      <c r="P51" s="52"/>
      <c r="Q51" s="52"/>
      <c r="R51" s="52"/>
      <c r="S51" s="52"/>
      <c r="T51" s="52" t="s">
        <v>16</v>
      </c>
      <c r="U51" s="52"/>
      <c r="V51" s="52"/>
      <c r="W51" s="52"/>
      <c r="X51" s="52"/>
      <c r="Y51" s="52"/>
      <c r="Z51" s="1820" t="str">
        <f>IF('1 System specification'!Z172=0,"-",'1 System specification'!Z172)</f>
        <v>-</v>
      </c>
      <c r="AA51" s="1820"/>
      <c r="AB51" s="1820"/>
      <c r="AC51" s="1820"/>
      <c r="AD51" s="1081"/>
      <c r="AE51" s="52"/>
      <c r="AF51" s="52"/>
      <c r="AG51" s="52"/>
      <c r="AH51" s="52"/>
      <c r="AI51" s="52"/>
      <c r="AJ51" s="52"/>
      <c r="AK51" s="52"/>
      <c r="AL51" s="52"/>
      <c r="AM51" s="52"/>
      <c r="AN51" s="52"/>
      <c r="AO51" s="52"/>
      <c r="AP51" s="52"/>
      <c r="AQ51" s="52"/>
      <c r="AR51" s="1820" t="str">
        <f>IF('1 System specification'!BQ172=0,"-",'1 System specification'!BQ172)</f>
        <v>-</v>
      </c>
      <c r="AS51" s="1820"/>
      <c r="AT51" s="1820"/>
      <c r="AU51" s="1820"/>
      <c r="AV51" s="1081"/>
      <c r="AW51" s="52"/>
      <c r="AX51" s="52"/>
      <c r="AY51" s="52"/>
      <c r="AZ51" s="52"/>
      <c r="BA51" s="52"/>
      <c r="BB51" s="52"/>
      <c r="BC51" s="52"/>
      <c r="BD51" s="52"/>
      <c r="BE51" s="52"/>
      <c r="BF51" s="52"/>
      <c r="BG51" s="52"/>
      <c r="BH51" s="50"/>
      <c r="BI51" s="52"/>
      <c r="BJ51" s="52"/>
      <c r="BK51" s="52"/>
      <c r="BL51" s="52"/>
      <c r="BM51" s="52"/>
      <c r="BU51" s="52"/>
    </row>
    <row r="52" spans="2:73" ht="15.95" customHeight="1">
      <c r="B52" s="47"/>
      <c r="C52" s="52"/>
      <c r="D52" s="580"/>
      <c r="E52" s="52" t="str">
        <f>X!C337</f>
        <v>Energieeffizienz-Zahl (Kälte + Wärme)</v>
      </c>
      <c r="F52" s="52"/>
      <c r="G52" s="52"/>
      <c r="H52" s="52"/>
      <c r="I52" s="52"/>
      <c r="J52" s="52"/>
      <c r="K52" s="52"/>
      <c r="L52" s="52"/>
      <c r="M52" s="52"/>
      <c r="N52" s="52"/>
      <c r="O52" s="52"/>
      <c r="P52" s="52"/>
      <c r="Q52" s="52"/>
      <c r="R52" s="52"/>
      <c r="S52" s="52"/>
      <c r="T52" s="52" t="s">
        <v>16</v>
      </c>
      <c r="U52" s="52"/>
      <c r="V52" s="52"/>
      <c r="W52" s="52"/>
      <c r="X52" s="52"/>
      <c r="Y52" s="52"/>
      <c r="Z52" s="1820" t="str">
        <f>IF('1 System specification'!AG172=0,"-",'1 System specification'!AG172)</f>
        <v>-</v>
      </c>
      <c r="AA52" s="1820"/>
      <c r="AB52" s="1820"/>
      <c r="AC52" s="1820"/>
      <c r="AD52" s="1081"/>
      <c r="AE52" s="52"/>
      <c r="AF52" s="52"/>
      <c r="AG52" s="52"/>
      <c r="AH52" s="52"/>
      <c r="AI52" s="52"/>
      <c r="AJ52" s="52"/>
      <c r="AK52" s="52"/>
      <c r="AL52" s="52"/>
      <c r="AM52" s="52"/>
      <c r="AN52" s="52"/>
      <c r="AO52" s="52"/>
      <c r="AP52" s="52"/>
      <c r="AQ52" s="52"/>
      <c r="AR52" s="1820" t="str">
        <f>IF('1 System specification'!BX172=0,"-",'1 System specification'!BX172)</f>
        <v>-</v>
      </c>
      <c r="AS52" s="1820"/>
      <c r="AT52" s="1820"/>
      <c r="AU52" s="1820"/>
      <c r="AV52" s="1081"/>
      <c r="AW52" s="52"/>
      <c r="AX52" s="52"/>
      <c r="AY52" s="52"/>
      <c r="AZ52" s="52"/>
      <c r="BA52" s="52"/>
      <c r="BB52" s="52"/>
      <c r="BC52" s="52"/>
      <c r="BD52" s="52"/>
      <c r="BE52" s="52"/>
      <c r="BF52" s="52"/>
      <c r="BG52" s="52"/>
      <c r="BH52" s="50"/>
      <c r="BI52" s="52"/>
      <c r="BJ52" s="52"/>
      <c r="BK52" s="52"/>
      <c r="BL52" s="52"/>
      <c r="BM52" s="52"/>
      <c r="BU52" s="52"/>
    </row>
    <row r="53" spans="2:73" ht="6.95" customHeight="1">
      <c r="B53" s="47"/>
      <c r="C53" s="52"/>
      <c r="D53" s="52"/>
      <c r="E53" s="52"/>
      <c r="F53" s="52"/>
      <c r="G53" s="52"/>
      <c r="H53" s="52"/>
      <c r="I53" s="52"/>
      <c r="J53" s="52"/>
      <c r="K53" s="52"/>
      <c r="L53" s="52"/>
      <c r="M53" s="52"/>
      <c r="N53" s="52"/>
      <c r="O53" s="52"/>
      <c r="P53" s="52"/>
      <c r="Q53" s="52"/>
      <c r="R53" s="52"/>
      <c r="S53" s="52"/>
      <c r="T53" s="52"/>
      <c r="U53" s="52"/>
      <c r="V53" s="52"/>
      <c r="W53" s="52"/>
      <c r="X53" s="52"/>
      <c r="Y53" s="52"/>
      <c r="Z53" s="383"/>
      <c r="AA53" s="383"/>
      <c r="AB53" s="383"/>
      <c r="AC53" s="383"/>
      <c r="AD53" s="212"/>
      <c r="AE53" s="52"/>
      <c r="AF53" s="52"/>
      <c r="AG53" s="52"/>
      <c r="AH53" s="52"/>
      <c r="AI53" s="52"/>
      <c r="AJ53" s="52"/>
      <c r="AK53" s="52"/>
      <c r="AL53" s="52"/>
      <c r="AM53" s="52"/>
      <c r="AN53" s="52"/>
      <c r="AO53" s="52"/>
      <c r="AP53" s="52"/>
      <c r="AQ53" s="52"/>
      <c r="AR53" s="383"/>
      <c r="AS53" s="383"/>
      <c r="AT53" s="383"/>
      <c r="AU53" s="383"/>
      <c r="AV53" s="212"/>
      <c r="AW53" s="52"/>
      <c r="AX53" s="52"/>
      <c r="AY53" s="52"/>
      <c r="AZ53" s="52"/>
      <c r="BA53" s="52"/>
      <c r="BB53" s="52"/>
      <c r="BC53" s="52"/>
      <c r="BD53" s="52"/>
      <c r="BE53" s="52"/>
      <c r="BF53" s="52"/>
      <c r="BG53" s="52"/>
      <c r="BH53" s="50"/>
      <c r="BI53" s="52"/>
      <c r="BJ53" s="52"/>
      <c r="BK53" s="52"/>
      <c r="BL53" s="52"/>
      <c r="BM53" s="52"/>
    </row>
    <row r="54" spans="2:73" ht="6.95" customHeight="1">
      <c r="B54" s="47"/>
      <c r="C54" s="52"/>
      <c r="D54" s="52"/>
      <c r="E54" s="52"/>
      <c r="F54" s="52"/>
      <c r="G54" s="52"/>
      <c r="H54" s="52"/>
      <c r="I54" s="52"/>
      <c r="J54" s="52"/>
      <c r="K54" s="52"/>
      <c r="L54" s="52"/>
      <c r="M54" s="52"/>
      <c r="N54" s="52"/>
      <c r="O54" s="52"/>
      <c r="P54" s="52"/>
      <c r="Q54" s="52"/>
      <c r="R54" s="52"/>
      <c r="S54" s="52"/>
      <c r="T54" s="52"/>
      <c r="U54" s="52"/>
      <c r="V54" s="52"/>
      <c r="W54" s="52"/>
      <c r="X54" s="52"/>
      <c r="Y54" s="52"/>
      <c r="Z54" s="383"/>
      <c r="AA54" s="383"/>
      <c r="AB54" s="383"/>
      <c r="AC54" s="383"/>
      <c r="AD54" s="212"/>
      <c r="AE54" s="52"/>
      <c r="AF54" s="52"/>
      <c r="AG54" s="52"/>
      <c r="AH54" s="52"/>
      <c r="AI54" s="52"/>
      <c r="AJ54" s="52"/>
      <c r="AK54" s="52"/>
      <c r="AL54" s="52"/>
      <c r="AM54" s="52"/>
      <c r="AN54" s="52"/>
      <c r="AO54" s="52"/>
      <c r="AP54" s="52"/>
      <c r="AQ54" s="52"/>
      <c r="AR54" s="383"/>
      <c r="AS54" s="383"/>
      <c r="AT54" s="383"/>
      <c r="AU54" s="383"/>
      <c r="AV54" s="212"/>
      <c r="AW54" s="52"/>
      <c r="AX54" s="52"/>
      <c r="AY54" s="52"/>
      <c r="AZ54" s="52"/>
      <c r="BA54" s="52"/>
      <c r="BB54" s="52"/>
      <c r="BC54" s="52"/>
      <c r="BD54" s="52"/>
      <c r="BE54" s="52"/>
      <c r="BF54" s="52"/>
      <c r="BG54" s="52"/>
      <c r="BH54" s="50"/>
      <c r="BI54" s="52"/>
      <c r="BJ54" s="52"/>
      <c r="BK54" s="52"/>
      <c r="BL54" s="52"/>
      <c r="BM54" s="52"/>
    </row>
    <row r="55" spans="2:73" s="209" customFormat="1" ht="14.1" customHeight="1">
      <c r="B55" s="384"/>
      <c r="C55" s="320"/>
      <c r="D55" s="581" t="str">
        <f>X!$C$43</f>
        <v>Bemerkung</v>
      </c>
      <c r="E55" s="385"/>
      <c r="F55" s="385"/>
      <c r="G55" s="385"/>
      <c r="H55" s="385"/>
      <c r="I55" s="385"/>
      <c r="J55" s="385"/>
      <c r="K55" s="385"/>
      <c r="L55" s="385"/>
      <c r="M55" s="385"/>
      <c r="N55" s="385"/>
      <c r="O55" s="385"/>
      <c r="P55" s="385"/>
      <c r="Q55" s="385"/>
      <c r="R55" s="385"/>
      <c r="S55" s="385"/>
      <c r="T55" s="385"/>
      <c r="U55" s="385"/>
      <c r="V55" s="385"/>
      <c r="W55" s="320"/>
      <c r="X55" s="320"/>
      <c r="Y55" s="320"/>
      <c r="Z55" s="1834" t="str">
        <f>'1 System specification'!AX158</f>
        <v/>
      </c>
      <c r="AA55" s="1834"/>
      <c r="AB55" s="1834"/>
      <c r="AC55" s="1834"/>
      <c r="AD55" s="1834"/>
      <c r="AE55" s="1834"/>
      <c r="AF55" s="1834"/>
      <c r="AG55" s="1834"/>
      <c r="AH55" s="1834"/>
      <c r="AI55" s="1834"/>
      <c r="AJ55" s="1834"/>
      <c r="AK55" s="1834"/>
      <c r="AL55" s="1834"/>
      <c r="AM55" s="1834"/>
      <c r="AN55" s="1834"/>
      <c r="AO55" s="386"/>
      <c r="AP55" s="320"/>
      <c r="AQ55" s="320"/>
      <c r="AR55" s="1821" t="str">
        <f>'1 System specification'!BX158</f>
        <v/>
      </c>
      <c r="AS55" s="1821"/>
      <c r="AT55" s="1821"/>
      <c r="AU55" s="1821"/>
      <c r="AV55" s="1821"/>
      <c r="AW55" s="1821"/>
      <c r="AX55" s="1821"/>
      <c r="AY55" s="1821"/>
      <c r="AZ55" s="1821"/>
      <c r="BA55" s="1821"/>
      <c r="BB55" s="1821"/>
      <c r="BC55" s="1821"/>
      <c r="BD55" s="1821"/>
      <c r="BE55" s="1821"/>
      <c r="BF55" s="1821"/>
      <c r="BG55" s="320"/>
      <c r="BH55" s="387"/>
      <c r="BI55" s="320"/>
      <c r="BJ55" s="320"/>
      <c r="BK55" s="320"/>
      <c r="BL55" s="320"/>
      <c r="BM55" s="320"/>
    </row>
    <row r="56" spans="2:73">
      <c r="B56" s="47"/>
      <c r="C56" s="52"/>
      <c r="D56" s="52"/>
      <c r="E56" s="52"/>
      <c r="F56" s="52"/>
      <c r="G56" s="52"/>
      <c r="H56" s="52"/>
      <c r="I56" s="52"/>
      <c r="J56" s="52"/>
      <c r="K56" s="52"/>
      <c r="L56" s="52"/>
      <c r="M56" s="52"/>
      <c r="N56" s="52"/>
      <c r="O56" s="52"/>
      <c r="P56" s="52"/>
      <c r="Q56" s="52"/>
      <c r="R56" s="52"/>
      <c r="S56" s="52"/>
      <c r="T56" s="52"/>
      <c r="U56" s="52"/>
      <c r="V56" s="52"/>
      <c r="W56" s="52"/>
      <c r="X56" s="52"/>
      <c r="Y56" s="52"/>
      <c r="Z56" s="92"/>
      <c r="AA56" s="92"/>
      <c r="AB56" s="92"/>
      <c r="AC56" s="92"/>
      <c r="AD56" s="52"/>
      <c r="AE56" s="52"/>
      <c r="AF56" s="52"/>
      <c r="AG56" s="52"/>
      <c r="AH56" s="52"/>
      <c r="AI56" s="52"/>
      <c r="AJ56" s="52"/>
      <c r="AK56" s="52"/>
      <c r="AL56" s="52"/>
      <c r="AM56" s="52"/>
      <c r="AN56" s="52"/>
      <c r="AO56" s="52"/>
      <c r="AP56" s="52"/>
      <c r="AQ56" s="52"/>
      <c r="AR56" s="92"/>
      <c r="AS56" s="92"/>
      <c r="AT56" s="92"/>
      <c r="AU56" s="92"/>
      <c r="AV56" s="52"/>
      <c r="AW56" s="52"/>
      <c r="AX56" s="52"/>
      <c r="AY56" s="52"/>
      <c r="AZ56" s="52"/>
      <c r="BA56" s="52"/>
      <c r="BB56" s="52"/>
      <c r="BC56" s="52"/>
      <c r="BD56" s="52"/>
      <c r="BE56" s="52"/>
      <c r="BF56" s="52"/>
      <c r="BG56" s="52"/>
      <c r="BH56" s="50"/>
      <c r="BI56" s="52"/>
      <c r="BJ56" s="52"/>
      <c r="BK56" s="52"/>
      <c r="BL56" s="52"/>
      <c r="BM56" s="52"/>
    </row>
    <row r="57" spans="2:73">
      <c r="B57" s="47"/>
      <c r="C57" s="52"/>
      <c r="D57" s="52"/>
      <c r="E57" s="52"/>
      <c r="F57" s="52"/>
      <c r="G57" s="52"/>
      <c r="H57" s="52"/>
      <c r="I57" s="52"/>
      <c r="J57" s="52"/>
      <c r="K57" s="52"/>
      <c r="L57" s="52"/>
      <c r="M57" s="52"/>
      <c r="N57" s="52"/>
      <c r="O57" s="52"/>
      <c r="P57" s="52"/>
      <c r="Q57" s="52"/>
      <c r="R57" s="52"/>
      <c r="S57" s="52"/>
      <c r="T57" s="52"/>
      <c r="U57" s="52"/>
      <c r="V57" s="52"/>
      <c r="W57" s="52"/>
      <c r="X57" s="52"/>
      <c r="Y57" s="52"/>
      <c r="Z57" s="1083"/>
      <c r="AA57" s="1083"/>
      <c r="AB57" s="1083"/>
      <c r="AC57" s="1083"/>
      <c r="AD57" s="52"/>
      <c r="AE57" s="52"/>
      <c r="AF57" s="52"/>
      <c r="AG57" s="52"/>
      <c r="AH57" s="52"/>
      <c r="AI57" s="52"/>
      <c r="AJ57" s="52"/>
      <c r="AK57" s="52"/>
      <c r="AL57" s="52"/>
      <c r="AM57" s="52"/>
      <c r="AN57" s="52"/>
      <c r="AO57" s="52"/>
      <c r="AP57" s="52"/>
      <c r="AQ57" s="52"/>
      <c r="AR57" s="1083"/>
      <c r="AS57" s="1083"/>
      <c r="AT57" s="1083"/>
      <c r="AU57" s="1083"/>
      <c r="AV57" s="52"/>
      <c r="AW57" s="52"/>
      <c r="AX57" s="52"/>
      <c r="AY57" s="52"/>
      <c r="AZ57" s="52"/>
      <c r="BA57" s="52"/>
      <c r="BB57" s="52"/>
      <c r="BC57" s="52"/>
      <c r="BD57" s="52"/>
      <c r="BE57" s="52"/>
      <c r="BF57" s="52"/>
      <c r="BG57" s="52"/>
      <c r="BH57" s="50"/>
      <c r="BI57" s="52"/>
      <c r="BJ57" s="52"/>
      <c r="BK57" s="52"/>
      <c r="BL57" s="52"/>
      <c r="BM57" s="52"/>
    </row>
    <row r="58" spans="2:73" s="116" customFormat="1" ht="21" customHeight="1">
      <c r="B58" s="381"/>
      <c r="C58" s="546" t="str">
        <f>X!$C$152</f>
        <v>Klimarelevante Belastung (TEWI)</v>
      </c>
      <c r="D58" s="109"/>
      <c r="E58" s="109"/>
      <c r="F58" s="109"/>
      <c r="G58" s="110"/>
      <c r="H58" s="110"/>
      <c r="I58" s="111"/>
      <c r="J58" s="111"/>
      <c r="K58" s="111"/>
      <c r="L58" s="111"/>
      <c r="M58" s="111"/>
      <c r="N58" s="111"/>
      <c r="O58" s="111"/>
      <c r="P58" s="111"/>
      <c r="Q58" s="111"/>
      <c r="R58" s="111"/>
      <c r="S58" s="109"/>
      <c r="T58" s="111"/>
      <c r="U58" s="110"/>
      <c r="V58" s="110"/>
      <c r="W58" s="114"/>
      <c r="X58" s="114"/>
      <c r="Y58" s="114"/>
      <c r="Z58" s="110"/>
      <c r="AA58" s="110"/>
      <c r="AB58" s="110"/>
      <c r="AC58" s="110"/>
      <c r="AD58" s="110"/>
      <c r="AE58" s="110"/>
      <c r="AF58" s="110"/>
      <c r="AG58" s="110"/>
      <c r="AH58" s="110"/>
      <c r="AI58" s="110"/>
      <c r="AJ58" s="110"/>
      <c r="AK58" s="110"/>
      <c r="AL58" s="110"/>
      <c r="AM58" s="111"/>
      <c r="AN58" s="111"/>
      <c r="AO58" s="112"/>
      <c r="AP58" s="112"/>
      <c r="AQ58" s="113"/>
      <c r="AR58" s="109"/>
      <c r="AS58" s="110"/>
      <c r="AT58" s="110"/>
      <c r="AU58" s="110"/>
      <c r="AV58" s="110"/>
      <c r="AW58" s="110"/>
      <c r="AX58" s="110"/>
      <c r="AY58" s="110"/>
      <c r="AZ58" s="110"/>
      <c r="BA58" s="110"/>
      <c r="BB58" s="110"/>
      <c r="BC58" s="110"/>
      <c r="BD58" s="110"/>
      <c r="BE58" s="110"/>
      <c r="BF58" s="110"/>
      <c r="BG58" s="114"/>
      <c r="BH58" s="382"/>
      <c r="BI58" s="114"/>
      <c r="BJ58" s="112"/>
      <c r="BK58" s="112"/>
      <c r="BL58" s="112"/>
      <c r="BM58" s="112"/>
    </row>
    <row r="59" spans="2:73" s="273" customFormat="1" ht="27" customHeight="1">
      <c r="B59" s="1187"/>
      <c r="C59" s="1141"/>
      <c r="D59" s="1188" t="str">
        <f>X!$C$145</f>
        <v>Kältemittel</v>
      </c>
      <c r="E59" s="1141"/>
      <c r="F59" s="1141"/>
      <c r="G59" s="1141"/>
      <c r="H59" s="1141"/>
      <c r="I59" s="1141"/>
      <c r="J59" s="1141"/>
      <c r="K59" s="1141"/>
      <c r="L59" s="1141"/>
      <c r="M59" s="1141"/>
      <c r="N59" s="1141"/>
      <c r="O59" s="1141"/>
      <c r="P59" s="1141"/>
      <c r="Q59" s="1141"/>
      <c r="R59" s="1141"/>
      <c r="S59" s="1141"/>
      <c r="T59" s="1141" t="s">
        <v>16</v>
      </c>
      <c r="U59" s="1141"/>
      <c r="V59" s="1141"/>
      <c r="W59" s="1141"/>
      <c r="X59" s="1141"/>
      <c r="Y59" s="1141"/>
      <c r="AA59" s="1141"/>
      <c r="AB59" s="1141"/>
      <c r="AC59" s="1141"/>
      <c r="AD59" s="1141"/>
      <c r="AE59" s="1845" t="str">
        <f>IF('3 TEWI'!Y33=0,"",'3 TEWI'!Y33)</f>
        <v/>
      </c>
      <c r="AF59" s="1845"/>
      <c r="AG59" s="1845"/>
      <c r="AH59" s="1845"/>
      <c r="AI59" s="1845"/>
      <c r="AJ59" s="1845"/>
      <c r="AK59" s="1845"/>
      <c r="AL59" s="1845"/>
      <c r="AM59" s="1845"/>
      <c r="AN59" s="1845"/>
      <c r="AO59" s="1139"/>
      <c r="AP59" s="1141"/>
      <c r="AQ59" s="1141"/>
      <c r="AS59" s="1253"/>
      <c r="AT59" s="1253"/>
      <c r="AU59" s="1253"/>
      <c r="AV59" s="1253"/>
      <c r="AW59" s="1838" t="str">
        <f>IF('3 TEWI'!AR33=0,"",'3 TEWI'!AR33)</f>
        <v/>
      </c>
      <c r="AX59" s="1838"/>
      <c r="AY59" s="1838"/>
      <c r="AZ59" s="1838"/>
      <c r="BA59" s="1838"/>
      <c r="BB59" s="1838"/>
      <c r="BC59" s="1838"/>
      <c r="BD59" s="1838"/>
      <c r="BE59" s="1838"/>
      <c r="BF59" s="1838"/>
      <c r="BG59" s="1141"/>
      <c r="BH59" s="1189"/>
      <c r="BI59" s="1141"/>
      <c r="BJ59" s="1141"/>
      <c r="BK59" s="1141"/>
      <c r="BL59" s="1141"/>
      <c r="BM59" s="1141"/>
    </row>
    <row r="60" spans="2:73" s="28" customFormat="1" ht="17.100000000000001" customHeight="1">
      <c r="B60" s="53"/>
      <c r="C60" s="640"/>
      <c r="D60" s="622" t="str">
        <f>'3 TEWI'!C35</f>
        <v>Anlagefüllgewicht</v>
      </c>
      <c r="E60" s="640"/>
      <c r="F60" s="640"/>
      <c r="G60" s="640"/>
      <c r="H60" s="640"/>
      <c r="I60" s="640"/>
      <c r="J60" s="640"/>
      <c r="K60" s="640"/>
      <c r="L60" s="640"/>
      <c r="M60" s="640"/>
      <c r="N60" s="640"/>
      <c r="O60" s="640"/>
      <c r="P60" s="640"/>
      <c r="Q60" s="640"/>
      <c r="R60" s="640"/>
      <c r="S60" s="640"/>
      <c r="T60" s="640" t="str">
        <f>'3 TEWI'!R35</f>
        <v>kg</v>
      </c>
      <c r="U60" s="640"/>
      <c r="V60" s="640"/>
      <c r="W60" s="640"/>
      <c r="X60" s="640"/>
      <c r="Y60" s="640"/>
      <c r="Z60" s="1459">
        <f>'3 TEWI'!Y35</f>
        <v>0</v>
      </c>
      <c r="AA60" s="1449"/>
      <c r="AB60" s="1449"/>
      <c r="AC60" s="1449"/>
      <c r="AD60" s="1085"/>
      <c r="AE60" s="1085"/>
      <c r="AF60" s="1085"/>
      <c r="AG60" s="1085"/>
      <c r="AH60" s="1085"/>
      <c r="AI60" s="1085"/>
      <c r="AJ60" s="1085"/>
      <c r="AK60" s="1085"/>
      <c r="AL60" s="1085"/>
      <c r="AM60" s="1085"/>
      <c r="AN60" s="1085"/>
      <c r="AO60" s="1085"/>
      <c r="AP60" s="640"/>
      <c r="AQ60" s="640"/>
      <c r="AR60" s="1459">
        <f>'3 TEWI'!AR35</f>
        <v>0</v>
      </c>
      <c r="AS60" s="1449"/>
      <c r="AT60" s="1449"/>
      <c r="AU60" s="1449"/>
      <c r="AV60" s="1085"/>
      <c r="AW60" s="1085"/>
      <c r="AX60" s="1085"/>
      <c r="AY60" s="1085"/>
      <c r="AZ60" s="1085"/>
      <c r="BA60" s="1085"/>
      <c r="BB60" s="1085"/>
      <c r="BC60" s="1085"/>
      <c r="BD60" s="1085"/>
      <c r="BE60" s="1085"/>
      <c r="BF60" s="1085"/>
      <c r="BG60" s="640"/>
      <c r="BH60" s="56"/>
      <c r="BI60" s="640"/>
      <c r="BJ60" s="640"/>
      <c r="BK60" s="640"/>
      <c r="BL60" s="640"/>
      <c r="BM60" s="640"/>
    </row>
    <row r="61" spans="2:73" s="522" customFormat="1" ht="27.95" customHeight="1">
      <c r="B61" s="1193"/>
      <c r="C61" s="684"/>
      <c r="D61" s="1194" t="str">
        <f>X!$C$218</f>
        <v>Strom-Mix</v>
      </c>
      <c r="E61" s="684"/>
      <c r="F61" s="684"/>
      <c r="G61" s="684"/>
      <c r="H61" s="684"/>
      <c r="I61" s="684"/>
      <c r="J61" s="684"/>
      <c r="K61" s="684"/>
      <c r="L61" s="684"/>
      <c r="M61" s="684"/>
      <c r="N61" s="684"/>
      <c r="O61" s="684"/>
      <c r="P61" s="684"/>
      <c r="Q61" s="684"/>
      <c r="R61" s="684"/>
      <c r="S61" s="684"/>
      <c r="T61" s="684" t="s">
        <v>16</v>
      </c>
      <c r="U61" s="684"/>
      <c r="V61" s="684"/>
      <c r="W61" s="684"/>
      <c r="X61" s="684"/>
      <c r="Y61" s="684"/>
      <c r="AA61" s="684"/>
      <c r="AB61" s="684"/>
      <c r="AC61" s="684"/>
      <c r="AD61" s="684"/>
      <c r="AE61" s="1843" t="str">
        <f>IF('3 TEWI'!Y38=0,"",'3 TEWI'!Y38)</f>
        <v/>
      </c>
      <c r="AF61" s="1843"/>
      <c r="AG61" s="1843"/>
      <c r="AH61" s="1843"/>
      <c r="AI61" s="1843"/>
      <c r="AJ61" s="1843"/>
      <c r="AK61" s="1843"/>
      <c r="AL61" s="1843"/>
      <c r="AM61" s="1843"/>
      <c r="AN61" s="1843"/>
      <c r="AO61" s="684"/>
      <c r="AP61" s="684"/>
      <c r="AQ61" s="684"/>
      <c r="AS61" s="320"/>
      <c r="AT61" s="320"/>
      <c r="AU61" s="320"/>
      <c r="AV61" s="320"/>
      <c r="AW61" s="1843" t="str">
        <f>IF('3 TEWI'!AR38=0,"",'3 TEWI'!AR38)</f>
        <v/>
      </c>
      <c r="AX61" s="1843"/>
      <c r="AY61" s="1843"/>
      <c r="AZ61" s="1843"/>
      <c r="BA61" s="1843"/>
      <c r="BB61" s="1843"/>
      <c r="BC61" s="1843"/>
      <c r="BD61" s="1843"/>
      <c r="BE61" s="1843"/>
      <c r="BF61" s="1843"/>
      <c r="BG61" s="1198"/>
      <c r="BH61" s="1195"/>
      <c r="BI61" s="684"/>
      <c r="BJ61" s="684"/>
      <c r="BK61" s="684"/>
      <c r="BL61" s="684"/>
      <c r="BM61" s="684"/>
    </row>
    <row r="62" spans="2:73" s="28" customFormat="1" ht="17.100000000000001" customHeight="1">
      <c r="B62" s="53"/>
      <c r="C62" s="55"/>
      <c r="D62" s="566" t="str">
        <f>X!$C$167</f>
        <v>Nutzungsdauer der Anlage</v>
      </c>
      <c r="E62" s="55"/>
      <c r="F62" s="55"/>
      <c r="G62" s="55"/>
      <c r="H62" s="55"/>
      <c r="I62" s="55"/>
      <c r="J62" s="55"/>
      <c r="K62" s="55"/>
      <c r="L62" s="55"/>
      <c r="M62" s="55"/>
      <c r="N62" s="55"/>
      <c r="O62" s="55"/>
      <c r="P62" s="55"/>
      <c r="Q62" s="55"/>
      <c r="R62" s="566"/>
      <c r="S62" s="55"/>
      <c r="T62" s="622" t="str">
        <f>X!$C$131</f>
        <v>Jahre</v>
      </c>
      <c r="U62" s="55"/>
      <c r="V62" s="55"/>
      <c r="W62" s="55"/>
      <c r="X62" s="55"/>
      <c r="Y62" s="55"/>
      <c r="Z62" s="1459" t="str">
        <f>IF('3 TEWI'!Z74=0,"",'3 TEWI'!Z74)</f>
        <v/>
      </c>
      <c r="AA62" s="1449"/>
      <c r="AB62" s="1449"/>
      <c r="AC62" s="1449"/>
      <c r="AD62" s="404"/>
      <c r="AE62" s="404"/>
      <c r="AF62" s="404"/>
      <c r="AG62" s="404"/>
      <c r="AH62" s="404"/>
      <c r="AI62" s="404"/>
      <c r="AJ62" s="404"/>
      <c r="AK62" s="55"/>
      <c r="AL62" s="120"/>
      <c r="AM62" s="55"/>
      <c r="AN62" s="55"/>
      <c r="AO62" s="55"/>
      <c r="AP62" s="55"/>
      <c r="AQ62" s="55"/>
      <c r="AR62" s="1459" t="str">
        <f>IF('3 TEWI'!AS74=0,"",'3 TEWI'!AS74)</f>
        <v/>
      </c>
      <c r="AS62" s="1449"/>
      <c r="AT62" s="1449"/>
      <c r="AU62" s="1449"/>
      <c r="AV62" s="404"/>
      <c r="AW62" s="404"/>
      <c r="AX62" s="404"/>
      <c r="AY62" s="404"/>
      <c r="AZ62" s="404"/>
      <c r="BA62" s="404"/>
      <c r="BB62" s="404"/>
      <c r="BC62" s="55"/>
      <c r="BD62" s="120"/>
      <c r="BE62" s="55"/>
      <c r="BF62" s="55"/>
      <c r="BG62" s="640"/>
      <c r="BH62" s="56"/>
      <c r="BI62" s="55"/>
      <c r="BJ62" s="55"/>
      <c r="BK62" s="55"/>
      <c r="BL62" s="55"/>
      <c r="BM62" s="55"/>
    </row>
    <row r="63" spans="2:73" s="360" customFormat="1" ht="18.95" customHeight="1">
      <c r="B63" s="388"/>
      <c r="C63" s="224"/>
      <c r="D63" s="582" t="str">
        <f>X!$C$67</f>
        <v>CO2-Ausstoss pro Jahr</v>
      </c>
      <c r="E63" s="429"/>
      <c r="F63" s="429"/>
      <c r="G63" s="429"/>
      <c r="H63" s="429"/>
      <c r="I63" s="429"/>
      <c r="J63" s="429"/>
      <c r="K63" s="429"/>
      <c r="L63" s="429"/>
      <c r="M63" s="429"/>
      <c r="N63" s="429"/>
      <c r="O63" s="429"/>
      <c r="P63" s="429"/>
      <c r="Q63" s="429"/>
      <c r="R63" s="429"/>
      <c r="S63" s="429"/>
      <c r="T63" s="429" t="s">
        <v>265</v>
      </c>
      <c r="U63" s="429"/>
      <c r="V63" s="429"/>
      <c r="W63" s="224"/>
      <c r="X63" s="224"/>
      <c r="Y63" s="224"/>
      <c r="Z63" s="1827">
        <f>'3 TEWI'!Z77</f>
        <v>0</v>
      </c>
      <c r="AA63" s="1827"/>
      <c r="AB63" s="1827"/>
      <c r="AC63" s="1827"/>
      <c r="AD63" s="429"/>
      <c r="AE63" s="429"/>
      <c r="AF63" s="429"/>
      <c r="AG63" s="429"/>
      <c r="AH63" s="429"/>
      <c r="AI63" s="429"/>
      <c r="AJ63" s="429"/>
      <c r="AK63" s="429"/>
      <c r="AL63" s="429"/>
      <c r="AM63" s="429"/>
      <c r="AN63" s="429"/>
      <c r="AO63" s="224"/>
      <c r="AP63" s="224"/>
      <c r="AQ63" s="224"/>
      <c r="AR63" s="1827">
        <f>'3 TEWI'!AS77</f>
        <v>0</v>
      </c>
      <c r="AS63" s="1827"/>
      <c r="AT63" s="1827"/>
      <c r="AU63" s="1827"/>
      <c r="AV63" s="429"/>
      <c r="AW63" s="429"/>
      <c r="AX63" s="429"/>
      <c r="AY63" s="429"/>
      <c r="AZ63" s="429"/>
      <c r="BA63" s="429"/>
      <c r="BB63" s="429"/>
      <c r="BC63" s="429"/>
      <c r="BD63" s="429"/>
      <c r="BE63" s="429"/>
      <c r="BF63" s="429"/>
      <c r="BG63" s="224"/>
      <c r="BH63" s="389"/>
      <c r="BI63" s="224"/>
      <c r="BJ63" s="224"/>
      <c r="BK63" s="224"/>
      <c r="BL63" s="224"/>
      <c r="BM63" s="224"/>
    </row>
    <row r="64" spans="2:73" ht="18" customHeight="1">
      <c r="B64" s="47"/>
      <c r="C64" s="52"/>
      <c r="D64" s="52"/>
      <c r="E64" s="52"/>
      <c r="F64" s="52"/>
      <c r="G64" s="52"/>
      <c r="H64" s="52"/>
      <c r="I64" s="52"/>
      <c r="J64" s="52"/>
      <c r="K64" s="52"/>
      <c r="L64" s="52"/>
      <c r="M64" s="52"/>
      <c r="N64" s="52"/>
      <c r="O64" s="52"/>
      <c r="P64" s="52"/>
      <c r="Q64" s="52"/>
      <c r="R64" s="55"/>
      <c r="S64" s="52"/>
      <c r="T64" s="623"/>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0"/>
      <c r="BI64" s="52"/>
      <c r="BJ64" s="52"/>
      <c r="BK64" s="52"/>
      <c r="BL64" s="52"/>
      <c r="BM64" s="52"/>
    </row>
    <row r="65" spans="2:68" ht="18" customHeight="1">
      <c r="B65" s="47"/>
      <c r="C65" s="52"/>
      <c r="D65" s="52"/>
      <c r="E65" s="52"/>
      <c r="F65" s="52"/>
      <c r="G65" s="52"/>
      <c r="H65" s="52"/>
      <c r="I65" s="52"/>
      <c r="J65" s="52"/>
      <c r="K65" s="52"/>
      <c r="L65" s="52"/>
      <c r="M65" s="52"/>
      <c r="N65" s="52"/>
      <c r="O65" s="52"/>
      <c r="P65" s="52"/>
      <c r="Q65" s="52"/>
      <c r="R65" s="640"/>
      <c r="S65" s="52"/>
      <c r="T65" s="640"/>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0"/>
      <c r="BI65" s="52"/>
      <c r="BJ65" s="52"/>
      <c r="BK65" s="52"/>
      <c r="BL65" s="52"/>
      <c r="BM65" s="52"/>
    </row>
    <row r="66" spans="2:68" s="116" customFormat="1" ht="21" customHeight="1">
      <c r="B66" s="381"/>
      <c r="C66" s="546" t="str">
        <f>X!$C$270</f>
        <v>Wirtschaftlichkeit</v>
      </c>
      <c r="D66" s="109"/>
      <c r="E66" s="109"/>
      <c r="F66" s="109"/>
      <c r="G66" s="110"/>
      <c r="H66" s="110"/>
      <c r="I66" s="111"/>
      <c r="J66" s="111"/>
      <c r="K66" s="111"/>
      <c r="L66" s="111"/>
      <c r="M66" s="111"/>
      <c r="N66" s="111"/>
      <c r="O66" s="111"/>
      <c r="P66" s="111"/>
      <c r="Q66" s="111"/>
      <c r="R66" s="111"/>
      <c r="S66" s="109"/>
      <c r="T66" s="111"/>
      <c r="U66" s="110"/>
      <c r="V66" s="110"/>
      <c r="W66" s="114"/>
      <c r="X66" s="114"/>
      <c r="Y66" s="114"/>
      <c r="Z66" s="110"/>
      <c r="AA66" s="110"/>
      <c r="AB66" s="110"/>
      <c r="AC66" s="110"/>
      <c r="AD66" s="110"/>
      <c r="AE66" s="110"/>
      <c r="AF66" s="110"/>
      <c r="AG66" s="110"/>
      <c r="AH66" s="110"/>
      <c r="AI66" s="110"/>
      <c r="AJ66" s="110"/>
      <c r="AK66" s="110"/>
      <c r="AL66" s="110"/>
      <c r="AM66" s="111"/>
      <c r="AN66" s="111"/>
      <c r="AO66" s="112"/>
      <c r="AP66" s="112"/>
      <c r="AQ66" s="113"/>
      <c r="AR66" s="109"/>
      <c r="AS66" s="110"/>
      <c r="AT66" s="110"/>
      <c r="AU66" s="110"/>
      <c r="AV66" s="110"/>
      <c r="AW66" s="110"/>
      <c r="AX66" s="110"/>
      <c r="AY66" s="110"/>
      <c r="AZ66" s="110"/>
      <c r="BA66" s="110"/>
      <c r="BB66" s="110"/>
      <c r="BC66" s="110"/>
      <c r="BD66" s="110"/>
      <c r="BE66" s="110"/>
      <c r="BF66" s="110"/>
      <c r="BG66" s="114"/>
      <c r="BH66" s="382"/>
      <c r="BI66" s="114"/>
      <c r="BJ66" s="112"/>
      <c r="BK66" s="112"/>
      <c r="BL66" s="112"/>
      <c r="BM66" s="112"/>
    </row>
    <row r="67" spans="2:68" ht="8.1" customHeight="1">
      <c r="B67" s="47"/>
      <c r="C67" s="52"/>
      <c r="D67" s="583"/>
      <c r="E67" s="224"/>
      <c r="F67" s="224"/>
      <c r="G67" s="224"/>
      <c r="H67" s="224"/>
      <c r="I67" s="224"/>
      <c r="J67" s="224"/>
      <c r="K67" s="224"/>
      <c r="L67" s="224"/>
      <c r="M67" s="224"/>
      <c r="N67" s="224"/>
      <c r="O67" s="224"/>
      <c r="P67" s="224"/>
      <c r="Q67" s="224"/>
      <c r="R67" s="224"/>
      <c r="S67" s="224"/>
      <c r="T67" s="224"/>
      <c r="U67" s="224"/>
      <c r="V67" s="224"/>
      <c r="W67" s="224"/>
      <c r="X67" s="224"/>
      <c r="Y67" s="224"/>
      <c r="Z67" s="1218"/>
      <c r="AA67" s="1218"/>
      <c r="AB67" s="1218"/>
      <c r="AC67" s="1218"/>
      <c r="AD67" s="224"/>
      <c r="AE67" s="224"/>
      <c r="AF67" s="224"/>
      <c r="AG67" s="224"/>
      <c r="AH67" s="224"/>
      <c r="AI67" s="224"/>
      <c r="AJ67" s="224"/>
      <c r="AK67" s="224"/>
      <c r="AL67" s="224"/>
      <c r="AM67" s="224"/>
      <c r="AN67" s="224"/>
      <c r="AO67" s="224"/>
      <c r="AP67" s="224"/>
      <c r="AQ67" s="224"/>
      <c r="AR67" s="1218"/>
      <c r="AS67" s="1218"/>
      <c r="AT67" s="1218"/>
      <c r="AU67" s="1218"/>
      <c r="AV67" s="52"/>
      <c r="AW67" s="52"/>
      <c r="AX67" s="52"/>
      <c r="AY67" s="52"/>
      <c r="AZ67" s="52"/>
      <c r="BA67" s="52"/>
      <c r="BB67" s="52"/>
      <c r="BC67" s="52"/>
      <c r="BD67" s="52"/>
      <c r="BE67" s="52"/>
      <c r="BF67" s="52"/>
      <c r="BG67" s="52"/>
      <c r="BH67" s="50"/>
      <c r="BI67" s="52"/>
      <c r="BJ67" s="52"/>
      <c r="BK67" s="52"/>
      <c r="BL67" s="52"/>
      <c r="BM67" s="52"/>
    </row>
    <row r="68" spans="2:68" s="28" customFormat="1" ht="20.100000000000001" customHeight="1">
      <c r="B68" s="53"/>
      <c r="C68" s="640"/>
      <c r="D68" s="1230" t="str">
        <f>X!$C$128</f>
        <v>Investitionskosten</v>
      </c>
      <c r="E68" s="156"/>
      <c r="F68" s="156"/>
      <c r="G68" s="156"/>
      <c r="H68" s="156"/>
      <c r="I68" s="156"/>
      <c r="J68" s="156"/>
      <c r="K68" s="156"/>
      <c r="L68" s="156"/>
      <c r="M68" s="156"/>
      <c r="N68" s="156"/>
      <c r="O68" s="156"/>
      <c r="P68" s="156"/>
      <c r="Q68" s="156"/>
      <c r="R68" s="156"/>
      <c r="S68" s="156"/>
      <c r="T68" s="156" t="s">
        <v>232</v>
      </c>
      <c r="U68" s="156"/>
      <c r="V68" s="156"/>
      <c r="W68" s="156"/>
      <c r="X68" s="156"/>
      <c r="Y68" s="156"/>
      <c r="Z68" s="1786">
        <f>'4 Economics'!Z37</f>
        <v>0</v>
      </c>
      <c r="AA68" s="1786"/>
      <c r="AB68" s="1786"/>
      <c r="AC68" s="1786"/>
      <c r="AD68" s="156"/>
      <c r="AE68" s="156"/>
      <c r="AF68" s="156"/>
      <c r="AG68" s="156"/>
      <c r="AH68" s="156"/>
      <c r="AI68" s="156"/>
      <c r="AJ68" s="156"/>
      <c r="AK68" s="156"/>
      <c r="AL68" s="156"/>
      <c r="AM68" s="156"/>
      <c r="AN68" s="156"/>
      <c r="AO68" s="156"/>
      <c r="AP68" s="156"/>
      <c r="AQ68" s="156"/>
      <c r="AR68" s="1786">
        <f>'4 Economics'!AR37</f>
        <v>0</v>
      </c>
      <c r="AS68" s="1786"/>
      <c r="AT68" s="1786"/>
      <c r="AU68" s="1786"/>
      <c r="AV68" s="640"/>
      <c r="AW68" s="640"/>
      <c r="AX68" s="640"/>
      <c r="AY68" s="640"/>
      <c r="AZ68" s="640"/>
      <c r="BA68" s="640"/>
      <c r="BB68" s="640"/>
      <c r="BC68" s="640"/>
      <c r="BD68" s="640"/>
      <c r="BE68" s="640"/>
      <c r="BF68" s="640"/>
      <c r="BG68" s="640"/>
      <c r="BH68" s="56"/>
      <c r="BI68" s="640"/>
      <c r="BJ68" s="640"/>
      <c r="BK68" s="640"/>
      <c r="BL68" s="640"/>
      <c r="BM68" s="640"/>
    </row>
    <row r="69" spans="2:68" ht="8.1" customHeight="1">
      <c r="B69" s="47"/>
      <c r="C69" s="52"/>
      <c r="D69" s="583"/>
      <c r="E69" s="224"/>
      <c r="F69" s="224"/>
      <c r="G69" s="224"/>
      <c r="H69" s="224"/>
      <c r="I69" s="224"/>
      <c r="J69" s="224"/>
      <c r="K69" s="224"/>
      <c r="L69" s="224"/>
      <c r="M69" s="224"/>
      <c r="N69" s="224"/>
      <c r="O69" s="224"/>
      <c r="P69" s="224"/>
      <c r="Q69" s="224"/>
      <c r="R69" s="224"/>
      <c r="S69" s="224"/>
      <c r="T69" s="224"/>
      <c r="U69" s="224"/>
      <c r="V69" s="224"/>
      <c r="W69" s="224"/>
      <c r="X69" s="224"/>
      <c r="Y69" s="224"/>
      <c r="Z69" s="1084"/>
      <c r="AA69" s="1084"/>
      <c r="AB69" s="1084"/>
      <c r="AC69" s="1084"/>
      <c r="AD69" s="224"/>
      <c r="AE69" s="224"/>
      <c r="AF69" s="224"/>
      <c r="AG69" s="224"/>
      <c r="AH69" s="224"/>
      <c r="AI69" s="224"/>
      <c r="AJ69" s="224"/>
      <c r="AK69" s="224"/>
      <c r="AL69" s="224"/>
      <c r="AM69" s="224"/>
      <c r="AN69" s="224"/>
      <c r="AO69" s="224"/>
      <c r="AP69" s="224"/>
      <c r="AQ69" s="224"/>
      <c r="AR69" s="1084"/>
      <c r="AS69" s="1084"/>
      <c r="AT69" s="1084"/>
      <c r="AU69" s="1084"/>
      <c r="AV69" s="52"/>
      <c r="AW69" s="52"/>
      <c r="AX69" s="52"/>
      <c r="AY69" s="52"/>
      <c r="AZ69" s="52"/>
      <c r="BA69" s="52"/>
      <c r="BB69" s="52"/>
      <c r="BC69" s="52"/>
      <c r="BD69" s="52"/>
      <c r="BE69" s="52"/>
      <c r="BF69" s="52"/>
      <c r="BG69" s="52"/>
      <c r="BH69" s="50"/>
      <c r="BI69" s="52"/>
      <c r="BJ69" s="52"/>
      <c r="BK69" s="52"/>
      <c r="BL69" s="52"/>
      <c r="BM69" s="52"/>
    </row>
    <row r="70" spans="2:68" ht="15.95" customHeight="1">
      <c r="B70" s="47"/>
      <c r="C70" s="52"/>
      <c r="D70" s="580" t="str">
        <f>X!$C$219</f>
        <v>Strompreis</v>
      </c>
      <c r="E70" s="52"/>
      <c r="F70" s="52"/>
      <c r="G70" s="52"/>
      <c r="H70" s="52"/>
      <c r="I70" s="52"/>
      <c r="J70" s="52"/>
      <c r="K70" s="52"/>
      <c r="L70" s="52"/>
      <c r="M70" s="52"/>
      <c r="N70" s="52"/>
      <c r="O70" s="52"/>
      <c r="P70" s="52"/>
      <c r="Q70" s="52"/>
      <c r="R70" s="52"/>
      <c r="S70" s="52"/>
      <c r="T70" s="52" t="str">
        <f>X!C294</f>
        <v>Rp./kWh</v>
      </c>
      <c r="U70" s="52"/>
      <c r="V70" s="52"/>
      <c r="W70" s="52"/>
      <c r="X70" s="52"/>
      <c r="Y70" s="52"/>
      <c r="Z70" s="1820">
        <f>'4 Economics'!Z39</f>
        <v>0</v>
      </c>
      <c r="AA70" s="1820"/>
      <c r="AB70" s="1820"/>
      <c r="AC70" s="1820"/>
      <c r="AD70" s="52"/>
      <c r="AE70" s="52"/>
      <c r="AF70" s="52"/>
      <c r="AG70" s="52"/>
      <c r="AH70" s="52"/>
      <c r="AI70" s="52"/>
      <c r="AJ70" s="52"/>
      <c r="AK70" s="52"/>
      <c r="AL70" s="52"/>
      <c r="AM70" s="52"/>
      <c r="AN70" s="52"/>
      <c r="AO70" s="52"/>
      <c r="AP70" s="52"/>
      <c r="AQ70" s="52"/>
      <c r="AR70" s="1820">
        <f>'4 Economics'!AR39</f>
        <v>0</v>
      </c>
      <c r="AS70" s="1820"/>
      <c r="AT70" s="1820"/>
      <c r="AU70" s="1820"/>
      <c r="AV70" s="52"/>
      <c r="AW70" s="52"/>
      <c r="AX70" s="52"/>
      <c r="AY70" s="52"/>
      <c r="AZ70" s="52"/>
      <c r="BA70" s="52"/>
      <c r="BB70" s="52"/>
      <c r="BC70" s="52"/>
      <c r="BD70" s="52"/>
      <c r="BE70" s="52"/>
      <c r="BF70" s="52"/>
      <c r="BG70" s="52"/>
      <c r="BH70" s="50"/>
      <c r="BI70" s="52"/>
      <c r="BJ70" s="52"/>
      <c r="BK70" s="52"/>
      <c r="BL70" s="52"/>
      <c r="BM70" s="52"/>
    </row>
    <row r="71" spans="2:68" ht="15.95" customHeight="1">
      <c r="B71" s="47"/>
      <c r="C71" s="52"/>
      <c r="D71" s="580" t="str">
        <f>'4 Economics'!C72</f>
        <v/>
      </c>
      <c r="E71" s="52"/>
      <c r="F71" s="52"/>
      <c r="G71" s="52"/>
      <c r="H71" s="52"/>
      <c r="I71" s="52"/>
      <c r="J71" s="52"/>
      <c r="K71" s="52"/>
      <c r="L71" s="52"/>
      <c r="M71" s="52"/>
      <c r="N71" s="52"/>
      <c r="O71" s="52"/>
      <c r="P71" s="52"/>
      <c r="Q71" s="52"/>
      <c r="R71" s="52"/>
      <c r="S71" s="52"/>
      <c r="T71" s="52" t="str">
        <f>'4 Economics'!R72</f>
        <v>Rp./kWh</v>
      </c>
      <c r="U71" s="52"/>
      <c r="V71" s="52"/>
      <c r="W71" s="52"/>
      <c r="X71" s="52"/>
      <c r="Y71" s="52"/>
      <c r="Z71" s="1820">
        <f>'4 Economics'!Z72</f>
        <v>0</v>
      </c>
      <c r="AA71" s="1820"/>
      <c r="AB71" s="1820"/>
      <c r="AC71" s="1820"/>
      <c r="AD71" s="52"/>
      <c r="AE71" s="52"/>
      <c r="AF71" s="52"/>
      <c r="AG71" s="52"/>
      <c r="AH71" s="52"/>
      <c r="AI71" s="52"/>
      <c r="AJ71" s="52"/>
      <c r="AK71" s="52"/>
      <c r="AL71" s="52"/>
      <c r="AM71" s="52"/>
      <c r="AN71" s="52"/>
      <c r="AO71" s="52"/>
      <c r="AP71" s="52"/>
      <c r="AQ71" s="52"/>
      <c r="AR71" s="1820">
        <f>Z71</f>
        <v>0</v>
      </c>
      <c r="AS71" s="1820"/>
      <c r="AT71" s="1820"/>
      <c r="AU71" s="1820"/>
      <c r="AV71" s="52"/>
      <c r="AW71" s="52"/>
      <c r="AX71" s="52"/>
      <c r="AY71" s="52"/>
      <c r="AZ71" s="52"/>
      <c r="BA71" s="52"/>
      <c r="BB71" s="52"/>
      <c r="BC71" s="52"/>
      <c r="BD71" s="52"/>
      <c r="BE71" s="52"/>
      <c r="BF71" s="52"/>
      <c r="BG71" s="52"/>
      <c r="BH71" s="50"/>
      <c r="BI71" s="52"/>
      <c r="BJ71" s="52"/>
      <c r="BK71" s="52"/>
      <c r="BL71" s="52"/>
      <c r="BM71" s="52"/>
      <c r="BN71" s="1205">
        <f>'4 Economics'!BM47</f>
        <v>0</v>
      </c>
      <c r="BO71" s="28"/>
      <c r="BP71" s="28" t="s">
        <v>1073</v>
      </c>
    </row>
    <row r="72" spans="2:68" ht="15" customHeight="1">
      <c r="B72" s="47"/>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0"/>
      <c r="BI72" s="52"/>
      <c r="BJ72" s="52"/>
      <c r="BK72" s="52"/>
      <c r="BL72" s="52"/>
      <c r="BM72" s="52"/>
    </row>
    <row r="73" spans="2:68" ht="15.95" customHeight="1">
      <c r="B73" s="47"/>
      <c r="C73" s="52"/>
      <c r="D73" s="580" t="str">
        <f>X!$C$128</f>
        <v>Investitionskosten</v>
      </c>
      <c r="E73" s="52"/>
      <c r="F73" s="52"/>
      <c r="G73" s="52"/>
      <c r="H73" s="52"/>
      <c r="I73" s="52"/>
      <c r="J73" s="52"/>
      <c r="K73" s="52"/>
      <c r="L73" s="52"/>
      <c r="M73" s="52"/>
      <c r="N73" s="52"/>
      <c r="O73" s="52"/>
      <c r="P73" s="52"/>
      <c r="Q73" s="52"/>
      <c r="R73" s="52"/>
      <c r="S73" s="52"/>
      <c r="T73" s="52" t="s">
        <v>48</v>
      </c>
      <c r="U73" s="52"/>
      <c r="V73" s="52"/>
      <c r="W73" s="52"/>
      <c r="X73" s="52"/>
      <c r="Y73" s="52"/>
      <c r="Z73" s="1822">
        <f>'4 Economics'!Z79</f>
        <v>0</v>
      </c>
      <c r="AA73" s="1822"/>
      <c r="AB73" s="1822"/>
      <c r="AC73" s="1822"/>
      <c r="AD73" s="52"/>
      <c r="AE73" s="52"/>
      <c r="AF73" s="52"/>
      <c r="AG73" s="52"/>
      <c r="AH73" s="52"/>
      <c r="AI73" s="52"/>
      <c r="AJ73" s="52"/>
      <c r="AK73" s="52"/>
      <c r="AL73" s="52"/>
      <c r="AM73" s="52"/>
      <c r="AN73" s="52"/>
      <c r="AO73" s="52"/>
      <c r="AP73" s="52"/>
      <c r="AQ73" s="52"/>
      <c r="AR73" s="1822">
        <f>'4 Economics'!AR79</f>
        <v>0</v>
      </c>
      <c r="AS73" s="1822"/>
      <c r="AT73" s="1822"/>
      <c r="AU73" s="1822"/>
      <c r="AV73" s="52"/>
      <c r="AW73" s="52"/>
      <c r="AX73" s="52"/>
      <c r="AY73" s="52"/>
      <c r="AZ73" s="52"/>
      <c r="BA73" s="52"/>
      <c r="BB73" s="52"/>
      <c r="BC73" s="52"/>
      <c r="BD73" s="52"/>
      <c r="BE73" s="52"/>
      <c r="BF73" s="52"/>
      <c r="BG73" s="52"/>
      <c r="BH73" s="50"/>
      <c r="BI73" s="52"/>
      <c r="BJ73" s="52"/>
      <c r="BK73" s="52"/>
      <c r="BL73" s="52"/>
      <c r="BM73" s="52"/>
    </row>
    <row r="74" spans="2:68" ht="15.95" customHeight="1">
      <c r="B74" s="47"/>
      <c r="C74" s="52"/>
      <c r="D74" s="580" t="str">
        <f>X!$C$237</f>
        <v>Unterhaltskosten</v>
      </c>
      <c r="E74" s="52"/>
      <c r="F74" s="52"/>
      <c r="G74" s="52"/>
      <c r="H74" s="52"/>
      <c r="I74" s="52"/>
      <c r="J74" s="52"/>
      <c r="K74" s="52"/>
      <c r="L74" s="52"/>
      <c r="M74" s="52"/>
      <c r="N74" s="52"/>
      <c r="O74" s="52"/>
      <c r="P74" s="52"/>
      <c r="Q74" s="52"/>
      <c r="R74" s="52"/>
      <c r="S74" s="52"/>
      <c r="T74" s="52" t="s">
        <v>48</v>
      </c>
      <c r="U74" s="52"/>
      <c r="V74" s="52"/>
      <c r="W74" s="52"/>
      <c r="X74" s="52"/>
      <c r="Y74" s="52"/>
      <c r="Z74" s="1822">
        <f>'4 Economics'!Z85</f>
        <v>0</v>
      </c>
      <c r="AA74" s="1822"/>
      <c r="AB74" s="1822"/>
      <c r="AC74" s="1822"/>
      <c r="AD74" s="52"/>
      <c r="AE74" s="52"/>
      <c r="AF74" s="52"/>
      <c r="AG74" s="52"/>
      <c r="AH74" s="52"/>
      <c r="AI74" s="52"/>
      <c r="AJ74" s="52"/>
      <c r="AK74" s="52"/>
      <c r="AL74" s="52"/>
      <c r="AM74" s="52"/>
      <c r="AN74" s="52"/>
      <c r="AO74" s="52"/>
      <c r="AP74" s="52"/>
      <c r="AQ74" s="52"/>
      <c r="AR74" s="1822">
        <f>'4 Economics'!AR85</f>
        <v>0</v>
      </c>
      <c r="AS74" s="1822"/>
      <c r="AT74" s="1822"/>
      <c r="AU74" s="1822"/>
      <c r="AV74" s="52"/>
      <c r="AW74" s="52"/>
      <c r="AX74" s="52"/>
      <c r="AY74" s="52"/>
      <c r="AZ74" s="52"/>
      <c r="BA74" s="52"/>
      <c r="BB74" s="52"/>
      <c r="BC74" s="52"/>
      <c r="BD74" s="52"/>
      <c r="BE74" s="52"/>
      <c r="BF74" s="52"/>
      <c r="BG74" s="52"/>
      <c r="BH74" s="50"/>
      <c r="BI74" s="52"/>
      <c r="BJ74" s="52"/>
      <c r="BK74" s="52"/>
      <c r="BL74" s="52"/>
      <c r="BM74" s="52"/>
    </row>
    <row r="75" spans="2:68" ht="15.95" customHeight="1">
      <c r="B75" s="47"/>
      <c r="C75" s="52"/>
      <c r="D75" s="580" t="str">
        <f>X!$C$97</f>
        <v>Energiekosten</v>
      </c>
      <c r="E75" s="52"/>
      <c r="F75" s="52"/>
      <c r="G75" s="52"/>
      <c r="H75" s="52"/>
      <c r="I75" s="52"/>
      <c r="J75" s="52"/>
      <c r="K75" s="52"/>
      <c r="L75" s="52"/>
      <c r="M75" s="52"/>
      <c r="N75" s="52"/>
      <c r="O75" s="52"/>
      <c r="P75" s="52"/>
      <c r="Q75" s="52"/>
      <c r="R75" s="52"/>
      <c r="S75" s="52"/>
      <c r="T75" s="52" t="s">
        <v>48</v>
      </c>
      <c r="U75" s="52"/>
      <c r="V75" s="52"/>
      <c r="W75" s="591" t="s">
        <v>292</v>
      </c>
      <c r="X75" s="591" t="s">
        <v>292</v>
      </c>
      <c r="Y75" s="591" t="s">
        <v>292</v>
      </c>
      <c r="Z75" s="1822">
        <f>'4 Economics'!Z90</f>
        <v>0</v>
      </c>
      <c r="AA75" s="1822"/>
      <c r="AB75" s="1822"/>
      <c r="AC75" s="1822"/>
      <c r="AD75" s="52"/>
      <c r="AH75" s="52"/>
      <c r="AI75" s="52"/>
      <c r="AJ75" s="52"/>
      <c r="AK75" s="52"/>
      <c r="AL75" s="52"/>
      <c r="AM75" s="52"/>
      <c r="AN75" s="52"/>
      <c r="AO75" s="52"/>
      <c r="AP75" s="52"/>
      <c r="AQ75" s="52"/>
      <c r="AR75" s="1822">
        <f>'4 Economics'!AR90</f>
        <v>0</v>
      </c>
      <c r="AS75" s="1822"/>
      <c r="AT75" s="1822"/>
      <c r="AU75" s="1822"/>
      <c r="AV75" s="52"/>
      <c r="AW75" s="591"/>
      <c r="AX75" s="591"/>
      <c r="AY75" s="591"/>
      <c r="AZ75" s="52"/>
      <c r="BA75" s="52"/>
      <c r="BB75" s="52"/>
      <c r="BC75" s="52"/>
      <c r="BD75" s="52"/>
      <c r="BE75" s="52"/>
      <c r="BF75" s="52"/>
      <c r="BG75" s="52"/>
      <c r="BH75" s="50"/>
      <c r="BI75" s="52"/>
      <c r="BJ75" s="52"/>
      <c r="BK75" s="52"/>
      <c r="BL75" s="52"/>
      <c r="BM75" s="52"/>
    </row>
    <row r="76" spans="2:68" ht="15.95" customHeight="1">
      <c r="B76" s="47"/>
      <c r="C76" s="52"/>
      <c r="D76" s="580"/>
      <c r="E76" s="52" t="str">
        <f>X!C394</f>
        <v>Free-Cooling reduziert die Energiekosten um</v>
      </c>
      <c r="F76" s="52"/>
      <c r="G76" s="52"/>
      <c r="H76" s="52"/>
      <c r="I76" s="52"/>
      <c r="J76" s="52"/>
      <c r="K76" s="52"/>
      <c r="L76" s="52"/>
      <c r="M76" s="52"/>
      <c r="N76" s="52"/>
      <c r="O76" s="52"/>
      <c r="P76" s="52"/>
      <c r="Q76" s="52"/>
      <c r="R76" s="52"/>
      <c r="S76" s="52"/>
      <c r="T76" s="52" t="s">
        <v>48</v>
      </c>
      <c r="U76" s="52"/>
      <c r="V76" s="52"/>
      <c r="W76" s="52"/>
      <c r="X76" s="52"/>
      <c r="Y76" s="52"/>
      <c r="Z76" s="1822">
        <f>'4 Economics'!Z97</f>
        <v>0</v>
      </c>
      <c r="AA76" s="1822"/>
      <c r="AB76" s="1822"/>
      <c r="AC76" s="1822"/>
      <c r="AD76" s="52"/>
      <c r="AE76" s="1254"/>
      <c r="AF76" s="1254"/>
      <c r="AG76" s="1254"/>
      <c r="AH76" s="1254"/>
      <c r="AI76" s="1254"/>
      <c r="AJ76" s="1254"/>
      <c r="AK76" s="1254"/>
      <c r="AL76" s="1254"/>
      <c r="AM76" s="1254"/>
      <c r="AN76" s="1254"/>
      <c r="AR76" s="1822">
        <f>'4 Economics'!AR97</f>
        <v>0</v>
      </c>
      <c r="AS76" s="1822"/>
      <c r="AT76" s="1822"/>
      <c r="AU76" s="1822"/>
      <c r="AV76" s="52"/>
      <c r="AW76" s="1254"/>
      <c r="AX76" s="1254"/>
      <c r="AY76" s="1254"/>
      <c r="AZ76" s="1254"/>
      <c r="BA76" s="1254"/>
      <c r="BB76" s="1254"/>
      <c r="BC76" s="1254"/>
      <c r="BD76" s="1254"/>
      <c r="BE76" s="1254"/>
      <c r="BF76" s="1254"/>
      <c r="BG76" s="52"/>
      <c r="BH76" s="50"/>
      <c r="BI76" s="52"/>
      <c r="BJ76" s="52"/>
      <c r="BK76" s="52"/>
      <c r="BL76" s="52"/>
      <c r="BM76" s="52"/>
    </row>
    <row r="77" spans="2:68" ht="15.95" customHeight="1">
      <c r="B77" s="47"/>
      <c r="C77" s="52"/>
      <c r="D77" s="580" t="str">
        <f>'4 Economics'!D105</f>
        <v>Einsparungen durch die Wärmenutzung</v>
      </c>
      <c r="E77" s="52"/>
      <c r="F77" s="52"/>
      <c r="G77" s="52"/>
      <c r="H77" s="52"/>
      <c r="I77" s="52"/>
      <c r="J77" s="52"/>
      <c r="K77" s="52"/>
      <c r="L77" s="52"/>
      <c r="M77" s="52"/>
      <c r="N77" s="52"/>
      <c r="O77" s="52"/>
      <c r="P77" s="52"/>
      <c r="Q77" s="52"/>
      <c r="R77" s="52"/>
      <c r="S77" s="52"/>
      <c r="T77" s="52" t="s">
        <v>48</v>
      </c>
      <c r="U77" s="52"/>
      <c r="V77" s="52"/>
      <c r="W77" s="52"/>
      <c r="X77" s="52"/>
      <c r="Y77" s="52"/>
      <c r="Z77" s="1836">
        <f>'4 Economics'!Z105</f>
        <v>0</v>
      </c>
      <c r="AA77" s="1836"/>
      <c r="AB77" s="1836"/>
      <c r="AC77" s="1836"/>
      <c r="AD77" s="52"/>
      <c r="AE77" s="52"/>
      <c r="AF77" s="52"/>
      <c r="AG77" s="52"/>
      <c r="AH77" s="52"/>
      <c r="AI77" s="52"/>
      <c r="AJ77" s="52"/>
      <c r="AK77" s="52"/>
      <c r="AL77" s="52"/>
      <c r="AM77" s="52"/>
      <c r="AN77" s="52"/>
      <c r="AO77" s="52"/>
      <c r="AP77" s="52"/>
      <c r="AQ77" s="52"/>
      <c r="AR77" s="1822">
        <f>'4 Economics'!AR105</f>
        <v>0</v>
      </c>
      <c r="AS77" s="1822"/>
      <c r="AT77" s="1822"/>
      <c r="AU77" s="1822"/>
      <c r="AV77" s="52"/>
      <c r="AW77" s="52"/>
      <c r="AX77" s="52"/>
      <c r="AY77" s="52"/>
      <c r="AZ77" s="52"/>
      <c r="BA77" s="52"/>
      <c r="BB77" s="52"/>
      <c r="BC77" s="52"/>
      <c r="BD77" s="52"/>
      <c r="BE77" s="52"/>
      <c r="BF77" s="52"/>
      <c r="BG77" s="52"/>
      <c r="BH77" s="50"/>
      <c r="BI77" s="52"/>
      <c r="BJ77" s="52"/>
      <c r="BK77" s="52"/>
      <c r="BL77" s="52"/>
      <c r="BM77" s="52"/>
    </row>
    <row r="78" spans="2:68" s="360" customFormat="1" ht="18.95" customHeight="1">
      <c r="B78" s="388"/>
      <c r="C78" s="224"/>
      <c r="D78" s="582" t="str">
        <f>X!$C$132</f>
        <v>Jahreskosten</v>
      </c>
      <c r="E78" s="429"/>
      <c r="F78" s="429"/>
      <c r="G78" s="429"/>
      <c r="H78" s="429"/>
      <c r="I78" s="429"/>
      <c r="J78" s="429"/>
      <c r="K78" s="429"/>
      <c r="L78" s="429"/>
      <c r="M78" s="429"/>
      <c r="N78" s="429"/>
      <c r="O78" s="429"/>
      <c r="P78" s="429"/>
      <c r="Q78" s="429"/>
      <c r="R78" s="429"/>
      <c r="S78" s="429"/>
      <c r="T78" s="429" t="s">
        <v>48</v>
      </c>
      <c r="U78" s="429"/>
      <c r="V78" s="429"/>
      <c r="W78" s="224"/>
      <c r="X78" s="224"/>
      <c r="Y78" s="224"/>
      <c r="Z78" s="1833">
        <f>'4 Economics'!Z107</f>
        <v>0</v>
      </c>
      <c r="AA78" s="1833"/>
      <c r="AB78" s="1833"/>
      <c r="AC78" s="1833"/>
      <c r="AD78" s="429"/>
      <c r="AE78" s="429"/>
      <c r="AF78" s="429"/>
      <c r="AG78" s="429"/>
      <c r="AH78" s="429"/>
      <c r="AI78" s="429"/>
      <c r="AJ78" s="429"/>
      <c r="AK78" s="429"/>
      <c r="AL78" s="429"/>
      <c r="AM78" s="429"/>
      <c r="AN78" s="429"/>
      <c r="AO78" s="224"/>
      <c r="AP78" s="224"/>
      <c r="AQ78" s="224"/>
      <c r="AR78" s="1833">
        <f>'4 Economics'!AR107</f>
        <v>0</v>
      </c>
      <c r="AS78" s="1833"/>
      <c r="AT78" s="1833"/>
      <c r="AU78" s="1833"/>
      <c r="AV78" s="429"/>
      <c r="AW78" s="429"/>
      <c r="AX78" s="429"/>
      <c r="AY78" s="429"/>
      <c r="AZ78" s="429"/>
      <c r="BA78" s="429"/>
      <c r="BB78" s="429"/>
      <c r="BC78" s="429"/>
      <c r="BD78" s="429"/>
      <c r="BE78" s="429"/>
      <c r="BF78" s="429"/>
      <c r="BG78" s="224"/>
      <c r="BH78" s="389"/>
      <c r="BI78" s="224"/>
      <c r="BJ78" s="224"/>
      <c r="BK78" s="224"/>
      <c r="BL78" s="224"/>
      <c r="BM78" s="224"/>
    </row>
    <row r="79" spans="2:68" ht="9.9499999999999993" customHeight="1">
      <c r="B79" s="47"/>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0"/>
      <c r="BI79" s="52"/>
      <c r="BJ79" s="52"/>
      <c r="BK79" s="52"/>
      <c r="BL79" s="52"/>
      <c r="BM79" s="52"/>
    </row>
    <row r="80" spans="2:68" s="273" customFormat="1" ht="27.95" hidden="1" customHeight="1" outlineLevel="1">
      <c r="B80" s="1187"/>
      <c r="C80" s="1083"/>
      <c r="D80" s="1194" t="str">
        <f>'3 TEWI'!C40</f>
        <v>Art der CO2-Kompensation</v>
      </c>
      <c r="E80" s="1083"/>
      <c r="F80" s="1083"/>
      <c r="G80" s="1083"/>
      <c r="H80" s="1083"/>
      <c r="I80" s="1083"/>
      <c r="J80" s="1083"/>
      <c r="K80" s="1083"/>
      <c r="L80" s="1083"/>
      <c r="M80" s="1083"/>
      <c r="N80" s="1083"/>
      <c r="O80" s="1083"/>
      <c r="P80" s="1083"/>
      <c r="Q80" s="1083"/>
      <c r="R80" s="1083"/>
      <c r="S80" s="1083"/>
      <c r="T80" s="320"/>
      <c r="U80" s="1083"/>
      <c r="V80" s="1083"/>
      <c r="W80" s="1083"/>
      <c r="X80" s="1083"/>
      <c r="Y80" s="1083"/>
      <c r="AA80" s="763"/>
      <c r="AB80" s="763"/>
      <c r="AC80" s="763"/>
      <c r="AD80" s="763"/>
      <c r="AO80" s="1085"/>
      <c r="AP80" s="1083"/>
      <c r="AQ80" s="1083"/>
      <c r="AS80" s="763"/>
      <c r="AT80" s="763"/>
      <c r="AU80" s="763"/>
      <c r="AV80" s="763"/>
      <c r="BG80" s="1190"/>
      <c r="BH80" s="1189"/>
      <c r="BI80" s="1083"/>
      <c r="BJ80" s="1083"/>
      <c r="BK80" s="1083"/>
      <c r="BL80" s="1083"/>
      <c r="BM80" s="1083"/>
    </row>
    <row r="81" spans="2:66" s="209" customFormat="1" ht="29.1" customHeight="1" collapsed="1">
      <c r="B81" s="384"/>
      <c r="C81" s="320"/>
      <c r="D81" s="609" t="str">
        <f>X!C157</f>
        <v>Kosten CO2-Kompensation</v>
      </c>
      <c r="E81" s="320"/>
      <c r="F81" s="320"/>
      <c r="G81" s="320"/>
      <c r="H81" s="320"/>
      <c r="I81" s="320"/>
      <c r="J81" s="320"/>
      <c r="K81" s="320"/>
      <c r="L81" s="320"/>
      <c r="M81" s="320"/>
      <c r="N81" s="320"/>
      <c r="O81" s="320"/>
      <c r="P81" s="320"/>
      <c r="Q81" s="320"/>
      <c r="R81" s="320"/>
      <c r="S81" s="320"/>
      <c r="T81" s="320" t="s">
        <v>48</v>
      </c>
      <c r="U81" s="320"/>
      <c r="V81" s="320"/>
      <c r="W81" s="320"/>
      <c r="X81" s="320"/>
      <c r="Y81" s="320"/>
      <c r="Z81" s="1832">
        <f>'4 Economics'!Z117</f>
        <v>0</v>
      </c>
      <c r="AA81" s="1832"/>
      <c r="AB81" s="1832"/>
      <c r="AC81" s="1832"/>
      <c r="AD81" s="320"/>
      <c r="AE81" s="1844" t="str">
        <f>'3 TEWI'!AG235</f>
        <v>Kompensation mit ausländischen Zertifikaten</v>
      </c>
      <c r="AF81" s="1844"/>
      <c r="AG81" s="1844"/>
      <c r="AH81" s="1844"/>
      <c r="AI81" s="1844"/>
      <c r="AJ81" s="1844"/>
      <c r="AK81" s="1844"/>
      <c r="AL81" s="1844"/>
      <c r="AM81" s="1844"/>
      <c r="AN81" s="1844"/>
      <c r="AO81" s="320"/>
      <c r="AP81" s="320"/>
      <c r="AQ81" s="320"/>
      <c r="AR81" s="1832">
        <f>'4 Economics'!AR117</f>
        <v>0</v>
      </c>
      <c r="AS81" s="1832"/>
      <c r="AT81" s="1832"/>
      <c r="AU81" s="1832"/>
      <c r="AV81" s="320"/>
      <c r="AW81" s="1844" t="str">
        <f>'3 TEWI'!AZ235</f>
        <v>Kompensation mit ausländischen Zertifikaten</v>
      </c>
      <c r="AX81" s="1844"/>
      <c r="AY81" s="1844"/>
      <c r="AZ81" s="1844"/>
      <c r="BA81" s="1844"/>
      <c r="BB81" s="1844"/>
      <c r="BC81" s="1844"/>
      <c r="BD81" s="1844"/>
      <c r="BE81" s="1844"/>
      <c r="BF81" s="1844"/>
      <c r="BG81" s="320"/>
      <c r="BH81" s="387"/>
      <c r="BI81" s="320"/>
      <c r="BJ81" s="320"/>
      <c r="BK81" s="320"/>
      <c r="BL81" s="320"/>
      <c r="BM81" s="320"/>
    </row>
    <row r="82" spans="2:66" ht="18.95" customHeight="1">
      <c r="B82" s="47"/>
      <c r="C82" s="52"/>
      <c r="D82" s="584" t="str">
        <f>X!C133</f>
        <v>Jahreskosten (CO2-neutraler Betrieb)</v>
      </c>
      <c r="E82" s="428"/>
      <c r="F82" s="428"/>
      <c r="G82" s="428"/>
      <c r="H82" s="428"/>
      <c r="I82" s="428"/>
      <c r="J82" s="428"/>
      <c r="K82" s="428"/>
      <c r="L82" s="428"/>
      <c r="M82" s="428"/>
      <c r="N82" s="428"/>
      <c r="O82" s="428"/>
      <c r="P82" s="428"/>
      <c r="Q82" s="428"/>
      <c r="R82" s="428"/>
      <c r="S82" s="428"/>
      <c r="T82" s="428" t="s">
        <v>48</v>
      </c>
      <c r="U82" s="428"/>
      <c r="V82" s="428"/>
      <c r="W82" s="224"/>
      <c r="X82" s="224"/>
      <c r="Y82" s="224"/>
      <c r="Z82" s="1826">
        <f>'4 Economics'!Z118</f>
        <v>0</v>
      </c>
      <c r="AA82" s="1826"/>
      <c r="AB82" s="1826"/>
      <c r="AC82" s="1826"/>
      <c r="AD82" s="428"/>
      <c r="AE82" s="428"/>
      <c r="AF82" s="428"/>
      <c r="AG82" s="428"/>
      <c r="AH82" s="428"/>
      <c r="AI82" s="428"/>
      <c r="AJ82" s="428"/>
      <c r="AK82" s="428"/>
      <c r="AL82" s="428"/>
      <c r="AM82" s="428"/>
      <c r="AN82" s="428"/>
      <c r="AO82" s="224"/>
      <c r="AP82" s="224"/>
      <c r="AQ82" s="224"/>
      <c r="AR82" s="1826">
        <f>'4 Economics'!AR118</f>
        <v>0</v>
      </c>
      <c r="AS82" s="1826"/>
      <c r="AT82" s="1826"/>
      <c r="AU82" s="1826"/>
      <c r="AV82" s="350"/>
      <c r="AW82" s="350"/>
      <c r="AX82" s="350"/>
      <c r="AY82" s="350"/>
      <c r="AZ82" s="350"/>
      <c r="BA82" s="350"/>
      <c r="BB82" s="350"/>
      <c r="BC82" s="350"/>
      <c r="BD82" s="350"/>
      <c r="BE82" s="350"/>
      <c r="BF82" s="350"/>
      <c r="BG82" s="52"/>
      <c r="BH82" s="50"/>
      <c r="BI82" s="52"/>
      <c r="BJ82" s="52"/>
      <c r="BK82" s="52"/>
      <c r="BL82" s="52"/>
      <c r="BM82" s="52"/>
    </row>
    <row r="83" spans="2:66" ht="18.95" customHeight="1">
      <c r="B83" s="47"/>
      <c r="C83" s="52"/>
      <c r="D83" s="583"/>
      <c r="E83" s="224"/>
      <c r="F83" s="224"/>
      <c r="G83" s="224"/>
      <c r="H83" s="224"/>
      <c r="I83" s="224"/>
      <c r="J83" s="224"/>
      <c r="K83" s="224"/>
      <c r="L83" s="224"/>
      <c r="M83" s="224"/>
      <c r="N83" s="224"/>
      <c r="O83" s="224"/>
      <c r="P83" s="224"/>
      <c r="Q83" s="224"/>
      <c r="R83" s="224"/>
      <c r="S83" s="224"/>
      <c r="T83" s="224"/>
      <c r="U83" s="224"/>
      <c r="V83" s="224"/>
      <c r="W83" s="224"/>
      <c r="X83" s="224"/>
      <c r="Y83" s="224"/>
      <c r="Z83" s="791"/>
      <c r="AA83" s="791"/>
      <c r="AB83" s="791"/>
      <c r="AC83" s="791"/>
      <c r="AD83" s="224"/>
      <c r="AE83" s="224"/>
      <c r="AF83" s="224"/>
      <c r="AG83" s="224"/>
      <c r="AH83" s="224"/>
      <c r="AI83" s="224"/>
      <c r="AJ83" s="224"/>
      <c r="AK83" s="224"/>
      <c r="AL83" s="224"/>
      <c r="AM83" s="224"/>
      <c r="AN83" s="224"/>
      <c r="AO83" s="224"/>
      <c r="AP83" s="224"/>
      <c r="AQ83" s="224"/>
      <c r="AR83" s="791"/>
      <c r="AS83" s="791"/>
      <c r="AT83" s="791"/>
      <c r="AU83" s="791"/>
      <c r="AV83" s="52"/>
      <c r="AW83" s="52"/>
      <c r="AX83" s="52"/>
      <c r="AY83" s="52"/>
      <c r="AZ83" s="52"/>
      <c r="BA83" s="52"/>
      <c r="BB83" s="52"/>
      <c r="BC83" s="52"/>
      <c r="BD83" s="52"/>
      <c r="BE83" s="52"/>
      <c r="BF83" s="52"/>
      <c r="BG83" s="52"/>
      <c r="BH83" s="50"/>
      <c r="BI83" s="52"/>
      <c r="BJ83" s="52"/>
      <c r="BK83" s="52"/>
      <c r="BL83" s="52"/>
      <c r="BM83" s="52"/>
    </row>
    <row r="84" spans="2:66" ht="18" customHeight="1">
      <c r="B84" s="47"/>
      <c r="C84" s="52"/>
      <c r="D84" s="52"/>
      <c r="E84" s="52"/>
      <c r="F84" s="52"/>
      <c r="G84" s="52"/>
      <c r="H84" s="52"/>
      <c r="I84" s="52"/>
      <c r="J84" s="52"/>
      <c r="K84" s="52"/>
      <c r="L84" s="52"/>
      <c r="M84" s="52"/>
      <c r="N84" s="52"/>
      <c r="O84" s="52"/>
      <c r="P84" s="52"/>
      <c r="Q84" s="52"/>
      <c r="R84" s="595"/>
      <c r="S84" s="52"/>
      <c r="T84" s="623"/>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0"/>
      <c r="BI84" s="52"/>
      <c r="BJ84" s="52"/>
      <c r="BK84" s="52"/>
      <c r="BL84" s="52"/>
      <c r="BM84" s="52"/>
    </row>
    <row r="85" spans="2:66" s="116" customFormat="1" ht="21" customHeight="1">
      <c r="B85" s="381"/>
      <c r="C85" s="546" t="str">
        <f>X!$C$170</f>
        <v>Lebenszykluskosten (Life Cycle Cost LCC)</v>
      </c>
      <c r="D85" s="109"/>
      <c r="E85" s="109"/>
      <c r="F85" s="109"/>
      <c r="G85" s="110"/>
      <c r="H85" s="110"/>
      <c r="I85" s="111"/>
      <c r="J85" s="111"/>
      <c r="K85" s="111"/>
      <c r="L85" s="111"/>
      <c r="M85" s="111"/>
      <c r="N85" s="111"/>
      <c r="O85" s="111"/>
      <c r="P85" s="111"/>
      <c r="Q85" s="111"/>
      <c r="R85" s="111"/>
      <c r="S85" s="109"/>
      <c r="T85" s="111"/>
      <c r="U85" s="110"/>
      <c r="V85" s="110"/>
      <c r="W85" s="114"/>
      <c r="X85" s="114"/>
      <c r="Y85" s="114"/>
      <c r="Z85" s="110"/>
      <c r="AA85" s="110"/>
      <c r="AB85" s="110"/>
      <c r="AC85" s="110"/>
      <c r="AD85" s="110"/>
      <c r="AE85" s="110"/>
      <c r="AF85" s="110"/>
      <c r="AG85" s="110"/>
      <c r="AH85" s="110"/>
      <c r="AI85" s="110"/>
      <c r="AJ85" s="110"/>
      <c r="AK85" s="110"/>
      <c r="AL85" s="110"/>
      <c r="AM85" s="111"/>
      <c r="AN85" s="111"/>
      <c r="AO85" s="112"/>
      <c r="AP85" s="112"/>
      <c r="AQ85" s="113"/>
      <c r="AR85" s="109"/>
      <c r="AS85" s="110"/>
      <c r="AT85" s="110"/>
      <c r="AU85" s="110"/>
      <c r="AV85" s="110"/>
      <c r="AW85" s="110"/>
      <c r="AX85" s="110"/>
      <c r="AY85" s="110"/>
      <c r="AZ85" s="110"/>
      <c r="BA85" s="110"/>
      <c r="BB85" s="110"/>
      <c r="BC85" s="110"/>
      <c r="BD85" s="110"/>
      <c r="BE85" s="110"/>
      <c r="BF85" s="110"/>
      <c r="BG85" s="114"/>
      <c r="BH85" s="382"/>
      <c r="BI85" s="114"/>
      <c r="BJ85" s="112"/>
      <c r="BK85" s="112"/>
      <c r="BL85" s="112"/>
      <c r="BM85" s="112"/>
    </row>
    <row r="86" spans="2:66" s="925" customFormat="1" ht="21" customHeight="1">
      <c r="B86" s="1179"/>
      <c r="C86" s="1180"/>
      <c r="D86" s="1181" t="str">
        <f>X!$C$169</f>
        <v>Lebenszykluskosten</v>
      </c>
      <c r="E86" s="1180"/>
      <c r="F86" s="1180"/>
      <c r="G86" s="1180"/>
      <c r="H86" s="1180"/>
      <c r="I86" s="1180"/>
      <c r="J86" s="1180"/>
      <c r="K86" s="1180"/>
      <c r="L86" s="1180"/>
      <c r="M86" s="1180"/>
      <c r="N86" s="1180"/>
      <c r="O86" s="1180"/>
      <c r="P86" s="1180"/>
      <c r="Q86" s="1180"/>
      <c r="R86" s="1180"/>
      <c r="S86" s="1180"/>
      <c r="T86" s="1180" t="s">
        <v>232</v>
      </c>
      <c r="U86" s="1180"/>
      <c r="V86" s="1180"/>
      <c r="W86" s="1180"/>
      <c r="X86" s="1180"/>
      <c r="Y86" s="1180"/>
      <c r="Z86" s="1831">
        <f>'4 Economics'!Z143</f>
        <v>0</v>
      </c>
      <c r="AA86" s="1831"/>
      <c r="AB86" s="1831"/>
      <c r="AC86" s="1831"/>
      <c r="AD86" s="1180"/>
      <c r="AE86" s="1180"/>
      <c r="AF86" s="1180"/>
      <c r="AG86" s="1180"/>
      <c r="AH86" s="1180"/>
      <c r="AI86" s="1180"/>
      <c r="AJ86" s="1180"/>
      <c r="AK86" s="1180"/>
      <c r="AL86" s="1180"/>
      <c r="AM86" s="1180"/>
      <c r="AN86" s="1180"/>
      <c r="AO86" s="1180"/>
      <c r="AP86" s="1180"/>
      <c r="AQ86" s="1180"/>
      <c r="AR86" s="1831">
        <f>'4 Economics'!AR143</f>
        <v>0</v>
      </c>
      <c r="AS86" s="1831"/>
      <c r="AT86" s="1831"/>
      <c r="AU86" s="1831"/>
      <c r="AV86" s="1180"/>
      <c r="AW86" s="1180"/>
      <c r="AX86" s="1180"/>
      <c r="AY86" s="1180"/>
      <c r="AZ86" s="1180"/>
      <c r="BA86" s="1180"/>
      <c r="BB86" s="1180"/>
      <c r="BC86" s="1180"/>
      <c r="BD86" s="1180"/>
      <c r="BE86" s="1180"/>
      <c r="BF86" s="1180"/>
      <c r="BG86" s="1180"/>
      <c r="BH86" s="1182"/>
      <c r="BI86" s="1180"/>
      <c r="BJ86" s="1180"/>
      <c r="BK86" s="1180"/>
      <c r="BL86" s="1180"/>
      <c r="BM86" s="1180"/>
    </row>
    <row r="87" spans="2:66" s="925" customFormat="1" ht="21" customHeight="1">
      <c r="B87" s="1179"/>
      <c r="C87" s="1180"/>
      <c r="D87" s="1835" t="str">
        <f>X!$C$168</f>
        <v>Lebenszykluskosten CO2-neutraler Betrieb</v>
      </c>
      <c r="E87" s="1835"/>
      <c r="F87" s="1835"/>
      <c r="G87" s="1835"/>
      <c r="H87" s="1835"/>
      <c r="I87" s="1835"/>
      <c r="J87" s="1835"/>
      <c r="K87" s="1835"/>
      <c r="L87" s="1835"/>
      <c r="M87" s="1835"/>
      <c r="N87" s="1835"/>
      <c r="O87" s="1835"/>
      <c r="P87" s="1835"/>
      <c r="Q87" s="1835"/>
      <c r="R87" s="1835"/>
      <c r="S87" s="1180"/>
      <c r="T87" s="1180" t="s">
        <v>232</v>
      </c>
      <c r="U87" s="1180"/>
      <c r="V87" s="1180"/>
      <c r="W87" s="1180"/>
      <c r="X87" s="1180"/>
      <c r="Y87" s="1180"/>
      <c r="Z87" s="1831">
        <f>'4 Economics'!Z154</f>
        <v>0</v>
      </c>
      <c r="AA87" s="1831"/>
      <c r="AB87" s="1831"/>
      <c r="AC87" s="1831"/>
      <c r="AD87" s="1180"/>
      <c r="AE87" s="1180"/>
      <c r="AF87" s="1180"/>
      <c r="AG87" s="1180"/>
      <c r="AH87" s="1180"/>
      <c r="AI87" s="1180"/>
      <c r="AJ87" s="1180"/>
      <c r="AK87" s="1180"/>
      <c r="AL87" s="1180"/>
      <c r="AM87" s="1180"/>
      <c r="AN87" s="1180"/>
      <c r="AO87" s="1180"/>
      <c r="AP87" s="1180"/>
      <c r="AQ87" s="1180"/>
      <c r="AR87" s="1831">
        <f>'4 Economics'!AR154</f>
        <v>0</v>
      </c>
      <c r="AS87" s="1831"/>
      <c r="AT87" s="1831"/>
      <c r="AU87" s="1831"/>
      <c r="AV87" s="1180"/>
      <c r="AW87" s="1180"/>
      <c r="AX87" s="1180"/>
      <c r="AY87" s="1180"/>
      <c r="AZ87" s="1180"/>
      <c r="BA87" s="1180"/>
      <c r="BB87" s="1180"/>
      <c r="BC87" s="1180"/>
      <c r="BD87" s="1180"/>
      <c r="BE87" s="1180"/>
      <c r="BF87" s="1180"/>
      <c r="BG87" s="1180"/>
      <c r="BH87" s="1182"/>
      <c r="BI87" s="1180"/>
      <c r="BJ87" s="1180"/>
      <c r="BK87" s="1180"/>
      <c r="BL87" s="1180"/>
      <c r="BM87" s="1180"/>
    </row>
    <row r="88" spans="2:66" ht="17.100000000000001" customHeight="1">
      <c r="B88" s="47"/>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619"/>
      <c r="AK88" s="52"/>
      <c r="AL88" s="93"/>
      <c r="AM88" s="52"/>
      <c r="AN88" s="52"/>
      <c r="AO88" s="52"/>
      <c r="AP88" s="52"/>
      <c r="AQ88" s="52"/>
      <c r="AR88" s="52"/>
      <c r="AS88" s="52"/>
      <c r="AT88" s="52"/>
      <c r="AU88" s="52"/>
      <c r="AV88" s="52"/>
      <c r="AW88" s="52"/>
      <c r="AX88" s="52"/>
      <c r="AY88" s="52"/>
      <c r="AZ88" s="52"/>
      <c r="BA88" s="52"/>
      <c r="BB88" s="619"/>
      <c r="BC88" s="52"/>
      <c r="BD88" s="93"/>
      <c r="BE88" s="52"/>
      <c r="BF88" s="52"/>
      <c r="BG88" s="52"/>
      <c r="BH88" s="50"/>
      <c r="BI88" s="52"/>
      <c r="BJ88" s="52"/>
      <c r="BK88" s="52"/>
      <c r="BL88" s="52"/>
      <c r="BM88" s="52"/>
    </row>
    <row r="89" spans="2:66" ht="17.100000000000001" customHeight="1">
      <c r="B89" s="47"/>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1083"/>
      <c r="AK89" s="52"/>
      <c r="AL89" s="93"/>
      <c r="AM89" s="52"/>
      <c r="AN89" s="52"/>
      <c r="AO89" s="52"/>
      <c r="AP89" s="52"/>
      <c r="AQ89" s="52"/>
      <c r="AR89" s="52"/>
      <c r="AS89" s="52"/>
      <c r="AT89" s="52"/>
      <c r="AU89" s="52"/>
      <c r="AV89" s="52"/>
      <c r="AW89" s="52"/>
      <c r="AX89" s="52"/>
      <c r="AY89" s="52"/>
      <c r="AZ89" s="52"/>
      <c r="BA89" s="52"/>
      <c r="BB89" s="1083"/>
      <c r="BC89" s="52"/>
      <c r="BD89" s="93"/>
      <c r="BE89" s="52"/>
      <c r="BF89" s="52"/>
      <c r="BG89" s="52"/>
      <c r="BH89" s="50"/>
      <c r="BI89" s="52"/>
      <c r="BJ89" s="52"/>
      <c r="BK89" s="52"/>
      <c r="BL89" s="52"/>
      <c r="BM89" s="52"/>
    </row>
    <row r="90" spans="2:66" s="116" customFormat="1" ht="21" customHeight="1">
      <c r="B90" s="381"/>
      <c r="C90" s="546" t="str">
        <f>D55</f>
        <v>Bemerkung</v>
      </c>
      <c r="D90" s="109"/>
      <c r="E90" s="109"/>
      <c r="F90" s="109"/>
      <c r="G90" s="110"/>
      <c r="H90" s="110"/>
      <c r="I90" s="111"/>
      <c r="J90" s="111"/>
      <c r="K90" s="111"/>
      <c r="L90" s="111"/>
      <c r="M90" s="111"/>
      <c r="N90" s="111"/>
      <c r="O90" s="111"/>
      <c r="P90" s="111"/>
      <c r="Q90" s="111"/>
      <c r="R90" s="111"/>
      <c r="S90" s="109"/>
      <c r="T90" s="111"/>
      <c r="U90" s="110"/>
      <c r="V90" s="110"/>
      <c r="W90" s="114"/>
      <c r="X90" s="114"/>
      <c r="Y90" s="114"/>
      <c r="Z90" s="110"/>
      <c r="AA90" s="110"/>
      <c r="AB90" s="110"/>
      <c r="AC90" s="110"/>
      <c r="AD90" s="110"/>
      <c r="AE90" s="110"/>
      <c r="AF90" s="110"/>
      <c r="AG90" s="110"/>
      <c r="AH90" s="110"/>
      <c r="AI90" s="110"/>
      <c r="AJ90" s="110"/>
      <c r="AK90" s="110"/>
      <c r="AL90" s="110"/>
      <c r="AM90" s="111"/>
      <c r="AN90" s="111"/>
      <c r="AO90" s="112"/>
      <c r="AP90" s="112"/>
      <c r="AQ90" s="113"/>
      <c r="AR90" s="110"/>
      <c r="AS90" s="110"/>
      <c r="AT90" s="110"/>
      <c r="AU90" s="110"/>
      <c r="AV90" s="110"/>
      <c r="AW90" s="110"/>
      <c r="AX90" s="110"/>
      <c r="AY90" s="110"/>
      <c r="AZ90" s="110"/>
      <c r="BA90" s="110"/>
      <c r="BB90" s="110"/>
      <c r="BC90" s="110"/>
      <c r="BD90" s="110"/>
      <c r="BE90" s="111"/>
      <c r="BF90" s="111"/>
      <c r="BG90" s="114"/>
      <c r="BH90" s="382"/>
      <c r="BI90" s="114"/>
      <c r="BJ90" s="112"/>
      <c r="BK90" s="112"/>
      <c r="BL90" s="112"/>
      <c r="BM90" s="112"/>
    </row>
    <row r="91" spans="2:66" ht="18.95" customHeight="1">
      <c r="B91" s="47"/>
      <c r="C91" s="52"/>
      <c r="D91" s="535"/>
      <c r="E91" s="52"/>
      <c r="F91" s="52"/>
      <c r="G91" s="52"/>
      <c r="H91" s="52"/>
      <c r="I91" s="52"/>
      <c r="J91" s="52"/>
      <c r="K91" s="52"/>
      <c r="L91" s="52"/>
      <c r="M91" s="52"/>
      <c r="N91" s="52"/>
      <c r="O91" s="52"/>
      <c r="P91" s="52"/>
      <c r="Q91" s="52"/>
      <c r="R91" s="52"/>
      <c r="S91" s="52"/>
      <c r="T91" s="52"/>
      <c r="U91" s="52"/>
      <c r="V91" s="52"/>
      <c r="W91" s="52"/>
      <c r="X91" s="52"/>
      <c r="Y91" s="52"/>
      <c r="Z91" s="1459" t="str">
        <f>IF('1 System specification'!S229=0,"",'1 System specification'!S229)</f>
        <v/>
      </c>
      <c r="AA91" s="1449"/>
      <c r="AB91" s="1449"/>
      <c r="AC91" s="1449"/>
      <c r="AD91" s="52"/>
      <c r="AE91" s="52"/>
      <c r="AF91" s="52"/>
      <c r="AG91" s="52"/>
      <c r="AH91" s="52"/>
      <c r="AI91" s="52"/>
      <c r="AJ91" s="52"/>
      <c r="AK91" s="52"/>
      <c r="AL91" s="52"/>
      <c r="AM91" s="52"/>
      <c r="AN91" s="52"/>
      <c r="AO91" s="52"/>
      <c r="AP91" s="52"/>
      <c r="AQ91" s="52"/>
      <c r="AR91" s="1459" t="str">
        <f>IF('1 System specification'!BJ229=0,"",'1 System specification'!BJ229)</f>
        <v/>
      </c>
      <c r="AS91" s="1449"/>
      <c r="AT91" s="1449"/>
      <c r="AU91" s="1449"/>
      <c r="AV91" s="52"/>
      <c r="AW91" s="52"/>
      <c r="AX91" s="52"/>
      <c r="AY91" s="52"/>
      <c r="AZ91" s="52"/>
      <c r="BA91" s="52"/>
      <c r="BB91" s="52"/>
      <c r="BC91" s="52"/>
      <c r="BD91" s="52"/>
      <c r="BE91" s="52"/>
      <c r="BF91" s="52"/>
      <c r="BG91" s="52"/>
      <c r="BH91" s="50"/>
      <c r="BI91" s="52"/>
      <c r="BJ91" s="52"/>
      <c r="BK91" s="52"/>
      <c r="BL91" s="52"/>
      <c r="BM91" s="52"/>
      <c r="BN91" s="31" t="s">
        <v>1054</v>
      </c>
    </row>
    <row r="92" spans="2:66" ht="45" customHeight="1">
      <c r="B92" s="47"/>
      <c r="C92" s="1839"/>
      <c r="D92" s="1839"/>
      <c r="E92" s="1839"/>
      <c r="F92" s="1839"/>
      <c r="G92" s="1839"/>
      <c r="H92" s="1839"/>
      <c r="I92" s="1839"/>
      <c r="J92" s="1839"/>
      <c r="K92" s="1839"/>
      <c r="L92" s="1839"/>
      <c r="M92" s="1839"/>
      <c r="N92" s="1839"/>
      <c r="O92" s="1839"/>
      <c r="P92" s="1839"/>
      <c r="Q92" s="1839"/>
      <c r="R92" s="1839"/>
      <c r="S92" s="1839"/>
      <c r="T92" s="1839"/>
      <c r="U92" s="1839"/>
      <c r="V92" s="1839"/>
      <c r="W92" s="1839"/>
      <c r="X92" s="1839"/>
      <c r="Y92" s="1839"/>
      <c r="Z92" s="1839"/>
      <c r="AA92" s="1839"/>
      <c r="AB92" s="1839"/>
      <c r="AC92" s="1839"/>
      <c r="AD92" s="1839"/>
      <c r="AE92" s="1839"/>
      <c r="AF92" s="1839"/>
      <c r="AG92" s="1839"/>
      <c r="AH92" s="1839"/>
      <c r="AI92" s="1839"/>
      <c r="AJ92" s="1839"/>
      <c r="AK92" s="1839"/>
      <c r="AL92" s="1839"/>
      <c r="AM92" s="1839"/>
      <c r="AN92" s="1839"/>
      <c r="AO92" s="1839"/>
      <c r="AP92" s="1839"/>
      <c r="AQ92" s="1839"/>
      <c r="AR92" s="1839"/>
      <c r="AS92" s="1839"/>
      <c r="AT92" s="1839"/>
      <c r="AU92" s="1839"/>
      <c r="AV92" s="1839"/>
      <c r="AW92" s="1839"/>
      <c r="AX92" s="1839"/>
      <c r="AY92" s="1839"/>
      <c r="AZ92" s="1839"/>
      <c r="BA92" s="1839"/>
      <c r="BB92" s="1839"/>
      <c r="BC92" s="1839"/>
      <c r="BD92" s="1839"/>
      <c r="BE92" s="1839"/>
      <c r="BF92" s="1840"/>
      <c r="BG92" s="1199"/>
      <c r="BH92" s="50"/>
      <c r="BI92" s="52"/>
      <c r="BJ92" s="52"/>
      <c r="BK92" s="52"/>
      <c r="BL92" s="52"/>
      <c r="BM92" s="52"/>
    </row>
    <row r="93" spans="2:66" ht="15.95" customHeight="1">
      <c r="B93" s="57"/>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60"/>
      <c r="BI93" s="52"/>
      <c r="BJ93" s="52"/>
      <c r="BK93" s="52"/>
      <c r="BL93" s="52"/>
      <c r="BM93" s="52"/>
    </row>
    <row r="94" spans="2:66">
      <c r="BI94" s="52"/>
      <c r="BJ94" s="52"/>
      <c r="BK94" s="52"/>
      <c r="BL94" s="52"/>
      <c r="BM94" s="52"/>
    </row>
    <row r="95" spans="2:66">
      <c r="BI95" s="52"/>
      <c r="BJ95" s="52"/>
      <c r="BK95" s="52"/>
      <c r="BL95" s="52"/>
      <c r="BM95" s="52"/>
    </row>
    <row r="96" spans="2:66">
      <c r="BI96" s="52"/>
      <c r="BJ96" s="52"/>
      <c r="BK96" s="52"/>
      <c r="BL96" s="52"/>
      <c r="BM96" s="52"/>
    </row>
    <row r="97" spans="49:65">
      <c r="BI97" s="52"/>
      <c r="BJ97" s="52"/>
      <c r="BK97" s="52"/>
      <c r="BL97" s="52"/>
      <c r="BM97" s="52"/>
    </row>
    <row r="98" spans="49:65">
      <c r="BI98" s="52"/>
      <c r="BJ98" s="52"/>
      <c r="BK98" s="52"/>
      <c r="BL98" s="52"/>
      <c r="BM98" s="52"/>
    </row>
    <row r="99" spans="49:65">
      <c r="BI99" s="52"/>
      <c r="BJ99" s="52"/>
      <c r="BK99" s="52"/>
      <c r="BL99" s="52"/>
      <c r="BM99" s="52"/>
    </row>
    <row r="100" spans="49:65">
      <c r="AW100" s="1439" t="str">
        <f>X!C291</f>
        <v>nach oben</v>
      </c>
      <c r="AX100" s="1439"/>
      <c r="AY100" s="1439"/>
      <c r="AZ100" s="1439"/>
      <c r="BA100" s="1439"/>
      <c r="BB100" s="1439"/>
      <c r="BC100" s="1439"/>
      <c r="BD100" s="1439"/>
      <c r="BE100" s="627" t="s">
        <v>670</v>
      </c>
      <c r="BI100" s="52"/>
      <c r="BJ100" s="52"/>
      <c r="BK100" s="52"/>
      <c r="BL100" s="52"/>
      <c r="BM100" s="52"/>
    </row>
    <row r="101" spans="49:65">
      <c r="BI101" s="52"/>
      <c r="BJ101" s="52"/>
      <c r="BK101" s="52"/>
      <c r="BL101" s="52"/>
      <c r="BM101" s="52"/>
    </row>
    <row r="102" spans="49:65">
      <c r="BI102" s="52"/>
      <c r="BJ102" s="52"/>
      <c r="BK102" s="52"/>
      <c r="BL102" s="52"/>
      <c r="BM102" s="52"/>
    </row>
    <row r="103" spans="49:65">
      <c r="BI103" s="52"/>
      <c r="BJ103" s="52"/>
      <c r="BK103" s="52"/>
      <c r="BL103" s="52"/>
      <c r="BM103" s="52"/>
    </row>
    <row r="104" spans="49:65">
      <c r="BI104" s="52"/>
      <c r="BJ104" s="52"/>
      <c r="BK104" s="52"/>
      <c r="BL104" s="52"/>
      <c r="BM104" s="52"/>
    </row>
    <row r="105" spans="49:65">
      <c r="BI105" s="52"/>
      <c r="BJ105" s="52"/>
      <c r="BK105" s="52"/>
      <c r="BL105" s="52"/>
      <c r="BM105" s="52"/>
    </row>
  </sheetData>
  <sheetProtection algorithmName="SHA-512" hashValue="ofOKWvFTO2TqqyQjYP06YK4rsXZ/PecscTIA4K1PF7g0lnna+OZr5lVHC4AaKSbyzJ1822Ow5DmdY64w7nmAVw==" saltValue="FONPqoKy9ROfQdazDWCZRQ==" spinCount="100000" sheet="1" objects="1" scenarios="1" selectLockedCells="1"/>
  <mergeCells count="83">
    <mergeCell ref="AW59:BF59"/>
    <mergeCell ref="C92:BF92"/>
    <mergeCell ref="AW35:BF35"/>
    <mergeCell ref="AW44:BF44"/>
    <mergeCell ref="AW61:BF61"/>
    <mergeCell ref="AW81:BF81"/>
    <mergeCell ref="AE61:AN61"/>
    <mergeCell ref="AE81:AN81"/>
    <mergeCell ref="AE44:AN44"/>
    <mergeCell ref="AE35:AN35"/>
    <mergeCell ref="AE59:AN59"/>
    <mergeCell ref="AR70:AU70"/>
    <mergeCell ref="AR81:AU81"/>
    <mergeCell ref="AR87:AU87"/>
    <mergeCell ref="AR86:AU86"/>
    <mergeCell ref="Z62:AC62"/>
    <mergeCell ref="D4:R4"/>
    <mergeCell ref="D3:R3"/>
    <mergeCell ref="D2:R2"/>
    <mergeCell ref="Z26:BF26"/>
    <mergeCell ref="Z41:AC41"/>
    <mergeCell ref="AR41:AU41"/>
    <mergeCell ref="Z40:AC40"/>
    <mergeCell ref="AR40:AU40"/>
    <mergeCell ref="AR31:BF31"/>
    <mergeCell ref="Z39:AC39"/>
    <mergeCell ref="C18:N18"/>
    <mergeCell ref="Q18:U18"/>
    <mergeCell ref="W18:AE18"/>
    <mergeCell ref="AR23:BG23"/>
    <mergeCell ref="AR18:BH18"/>
    <mergeCell ref="AR77:AU77"/>
    <mergeCell ref="Z75:AC75"/>
    <mergeCell ref="AR71:AU71"/>
    <mergeCell ref="D87:R87"/>
    <mergeCell ref="AR75:AU75"/>
    <mergeCell ref="AR78:AU78"/>
    <mergeCell ref="AR82:AU82"/>
    <mergeCell ref="AR74:AU74"/>
    <mergeCell ref="Z74:AC74"/>
    <mergeCell ref="Z77:AC77"/>
    <mergeCell ref="Z43:AC43"/>
    <mergeCell ref="Z50:AC50"/>
    <mergeCell ref="Z87:AC87"/>
    <mergeCell ref="Z81:AC81"/>
    <mergeCell ref="Z78:AC78"/>
    <mergeCell ref="Z55:AN55"/>
    <mergeCell ref="Z86:AC86"/>
    <mergeCell ref="Z71:AC71"/>
    <mergeCell ref="Z60:AC60"/>
    <mergeCell ref="Z70:AC70"/>
    <mergeCell ref="AW100:BD100"/>
    <mergeCell ref="AG18:AO18"/>
    <mergeCell ref="Z33:AC33"/>
    <mergeCell ref="AR33:AU33"/>
    <mergeCell ref="Z34:AC34"/>
    <mergeCell ref="AR34:AU34"/>
    <mergeCell ref="Z82:AC82"/>
    <mergeCell ref="AR62:AU62"/>
    <mergeCell ref="AR63:AU63"/>
    <mergeCell ref="AR68:AU68"/>
    <mergeCell ref="AR73:AU73"/>
    <mergeCell ref="Z31:AN31"/>
    <mergeCell ref="AR43:AU43"/>
    <mergeCell ref="Z73:AC73"/>
    <mergeCell ref="AR50:AU50"/>
    <mergeCell ref="Z63:AC63"/>
    <mergeCell ref="Z91:AC91"/>
    <mergeCell ref="AW47:BF47"/>
    <mergeCell ref="AR39:AU39"/>
    <mergeCell ref="AR60:AU60"/>
    <mergeCell ref="Z52:AC52"/>
    <mergeCell ref="AR52:AU52"/>
    <mergeCell ref="Z51:AC51"/>
    <mergeCell ref="AR51:AU51"/>
    <mergeCell ref="AE47:AN47"/>
    <mergeCell ref="AR55:BF55"/>
    <mergeCell ref="AR46:AU46"/>
    <mergeCell ref="Z76:AC76"/>
    <mergeCell ref="AR76:AU76"/>
    <mergeCell ref="Z46:AC46"/>
    <mergeCell ref="AR91:AU91"/>
    <mergeCell ref="Z68:AC68"/>
  </mergeCells>
  <phoneticPr fontId="9" type="noConversion"/>
  <conditionalFormatting sqref="D47:Y47 AE47">
    <cfRule type="expression" dxfId="10" priority="1373">
      <formula>IF($BN$47=1,0,1)</formula>
    </cfRule>
  </conditionalFormatting>
  <conditionalFormatting sqref="AR68:BF74 AR30:BF46 AS47:AW47 AR75:AV76 AZ75:BF75 AR77:BF79 AR80:AV80 AR81:BF91 AR48:BF58 AR60:BF66 AS59:AW59">
    <cfRule type="expression" dxfId="9" priority="1374">
      <formula>IF($BN$30=1,0,1)</formula>
    </cfRule>
  </conditionalFormatting>
  <conditionalFormatting sqref="D71:BF71">
    <cfRule type="expression" dxfId="8" priority="8">
      <formula>IF($BN$71=1,0,1)</formula>
    </cfRule>
  </conditionalFormatting>
  <conditionalFormatting sqref="AR67:BF67">
    <cfRule type="expression" dxfId="7" priority="7">
      <formula>IF($BN$30=1,0,1)</formula>
    </cfRule>
  </conditionalFormatting>
  <conditionalFormatting sqref="W75">
    <cfRule type="expression" dxfId="6" priority="6">
      <formula>IF($AE$2=1,0,1)</formula>
    </cfRule>
  </conditionalFormatting>
  <conditionalFormatting sqref="X75">
    <cfRule type="expression" dxfId="5" priority="5">
      <formula>IF($AF$2=1,0,1)</formula>
    </cfRule>
  </conditionalFormatting>
  <conditionalFormatting sqref="Y75">
    <cfRule type="expression" dxfId="4" priority="4">
      <formula>IF($AG$2=1,0,1)</formula>
    </cfRule>
  </conditionalFormatting>
  <conditionalFormatting sqref="AW75">
    <cfRule type="expression" dxfId="3" priority="3">
      <formula>IF($AE$2=1,0,1)</formula>
    </cfRule>
  </conditionalFormatting>
  <conditionalFormatting sqref="AX75">
    <cfRule type="expression" dxfId="2" priority="2">
      <formula>IF($AF$2=1,0,1)</formula>
    </cfRule>
  </conditionalFormatting>
  <conditionalFormatting sqref="AY75">
    <cfRule type="expression" dxfId="1" priority="1">
      <formula>IF($AG$2=1,0,1)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Y75"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X75"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W75" xr:uid="{1EBDA2E0-9116-3C45-B814-57D694978150}"/>
    <dataValidation allowBlank="1" showInputMessage="1" showErrorMessage="1" sqref="AX75 AY75" xr:uid="{5C481D23-94BF-2D43-8975-2D40548A4365}"/>
  </dataValidations>
  <hyperlinks>
    <hyperlink ref="D2" location="'1 System specification'!A1" display="'1 System specification'!A1" xr:uid="{00000000-0004-0000-0600-000000000000}"/>
    <hyperlink ref="D3" location="'4 Economics'!A1" display="'4 Economics'!A1" xr:uid="{00000000-0004-0000-0600-000001000000}"/>
    <hyperlink ref="D4" location="'3 TEWI'!A1" display="zurück zur TEWI-Berechnung" xr:uid="{00000000-0004-0000-0600-000002000000}"/>
    <hyperlink ref="AW100" location="z16" display="z16" xr:uid="{00000000-0004-0000-0600-000003000000}"/>
    <hyperlink ref="AX100" location="z16" display="z16" xr:uid="{00000000-0004-0000-0600-000004000000}"/>
    <hyperlink ref="AY100" location="z16" display="z16" xr:uid="{00000000-0004-0000-0600-000005000000}"/>
    <hyperlink ref="AZ100" location="z16" display="z16" xr:uid="{00000000-0004-0000-0600-000006000000}"/>
    <hyperlink ref="BA100" location="z16" display="z16" xr:uid="{00000000-0004-0000-0600-000007000000}"/>
    <hyperlink ref="BB100" location="z16" display="z16" xr:uid="{00000000-0004-0000-0600-000008000000}"/>
    <hyperlink ref="BC100" location="z16" display="z16" xr:uid="{00000000-0004-0000-0600-000009000000}"/>
    <hyperlink ref="BD100" location="z16" display="z16" xr:uid="{00000000-0004-0000-0600-00000A000000}"/>
    <hyperlink ref="E2" location="'1 System specification'!A1" display="'1 System specification'!A1" xr:uid="{00000000-0004-0000-0600-00000B000000}"/>
    <hyperlink ref="F2" location="'1 System specification'!A1" display="'1 System specification'!A1" xr:uid="{00000000-0004-0000-0600-00000C000000}"/>
    <hyperlink ref="G2" location="'1 System specification'!A1" display="'1 System specification'!A1" xr:uid="{00000000-0004-0000-0600-00000D000000}"/>
    <hyperlink ref="H2" location="'1 System specification'!A1" display="'1 System specification'!A1" xr:uid="{00000000-0004-0000-0600-00000E000000}"/>
    <hyperlink ref="I2" location="'1 System specification'!A1" display="'1 System specification'!A1" xr:uid="{00000000-0004-0000-0600-00000F000000}"/>
    <hyperlink ref="J2" location="'1 System specification'!A1" display="'1 System specification'!A1" xr:uid="{00000000-0004-0000-0600-000010000000}"/>
    <hyperlink ref="K2" location="'1 System specification'!A1" display="'1 System specification'!A1" xr:uid="{00000000-0004-0000-0600-000011000000}"/>
    <hyperlink ref="L2" location="'1 System specification'!A1" display="'1 System specification'!A1" xr:uid="{00000000-0004-0000-0600-000012000000}"/>
    <hyperlink ref="M2" location="'1 System specification'!A1" display="'1 System specification'!A1" xr:uid="{00000000-0004-0000-0600-000013000000}"/>
    <hyperlink ref="N2" location="'1 System specification'!A1" display="'1 System specification'!A1" xr:uid="{00000000-0004-0000-0600-000014000000}"/>
    <hyperlink ref="O2" location="'1 System specification'!A1" display="'1 System specification'!A1" xr:uid="{00000000-0004-0000-0600-000015000000}"/>
    <hyperlink ref="P2" location="'1 System specification'!A1" display="'1 System specification'!A1" xr:uid="{00000000-0004-0000-0600-000016000000}"/>
    <hyperlink ref="Q2" location="'1 System specification'!A1" display="'1 System specification'!A1" xr:uid="{00000000-0004-0000-0600-000017000000}"/>
    <hyperlink ref="R2" location="'1 System specification'!A1" display="'1 System specification'!A1" xr:uid="{00000000-0004-0000-0600-000018000000}"/>
    <hyperlink ref="E3" location="'4 Economics'!A1" display="'4 Economics'!A1" xr:uid="{00000000-0004-0000-0600-000019000000}"/>
    <hyperlink ref="F3" location="'4 Economics'!A1" display="'4 Economics'!A1" xr:uid="{00000000-0004-0000-0600-00001A000000}"/>
    <hyperlink ref="G3" location="'4 Economics'!A1" display="'4 Economics'!A1" xr:uid="{00000000-0004-0000-0600-00001B000000}"/>
    <hyperlink ref="H3" location="'4 Economics'!A1" display="'4 Economics'!A1" xr:uid="{00000000-0004-0000-0600-00001C000000}"/>
    <hyperlink ref="I3" location="'4 Economics'!A1" display="'4 Economics'!A1" xr:uid="{00000000-0004-0000-0600-00001D000000}"/>
    <hyperlink ref="J3" location="'4 Economics'!A1" display="'4 Economics'!A1" xr:uid="{00000000-0004-0000-0600-00001E000000}"/>
    <hyperlink ref="K3" location="'4 Economics'!A1" display="'4 Economics'!A1" xr:uid="{00000000-0004-0000-0600-00001F000000}"/>
    <hyperlink ref="L3" location="'4 Economics'!A1" display="'4 Economics'!A1" xr:uid="{00000000-0004-0000-0600-000020000000}"/>
    <hyperlink ref="M3" location="'4 Economics'!A1" display="'4 Economics'!A1" xr:uid="{00000000-0004-0000-0600-000021000000}"/>
    <hyperlink ref="N3" location="'4 Economics'!A1" display="'4 Economics'!A1" xr:uid="{00000000-0004-0000-0600-000022000000}"/>
    <hyperlink ref="O3" location="'4 Economics'!A1" display="'4 Economics'!A1" xr:uid="{00000000-0004-0000-0600-000023000000}"/>
    <hyperlink ref="P3" location="'4 Economics'!A1" display="'4 Economics'!A1" xr:uid="{00000000-0004-0000-0600-000024000000}"/>
    <hyperlink ref="Q3" location="'4 Economics'!A1" display="'4 Economics'!A1" xr:uid="{00000000-0004-0000-0600-000025000000}"/>
    <hyperlink ref="R3" location="'4 Economics'!A1" display="'4 Economics'!A1" xr:uid="{00000000-0004-0000-0600-000026000000}"/>
  </hyperlinks>
  <printOptions horizontalCentered="1"/>
  <pageMargins left="0" right="0" top="0.59055118110236227" bottom="1.3779527559055118" header="0.51181102362204722" footer="0"/>
  <pageSetup paperSize="9" scale="45" orientation="portrait" horizontalDpi="4294967292" verticalDpi="4294967292"/>
  <headerFooter>
    <oddFooter>&amp;C&amp;"Systemschrift,Standard"&amp;K000000&amp;G&amp;R&amp;K000000Scheet 5 - &amp;P</oddFooter>
  </headerFooter>
  <drawing r:id="rId1"/>
  <legacyDrawingHF r:id="rId2"/>
  <extLst>
    <ext xmlns:x14="http://schemas.microsoft.com/office/spreadsheetml/2009/9/main" uri="{78C0D931-6437-407d-A8EE-F0AAD7539E65}">
      <x14:conditionalFormattings>
        <x14:conditionalFormatting xmlns:xm="http://schemas.microsoft.com/office/excel/2006/main">
          <x14:cfRule type="expression" priority="19" id="{BD566EC3-DCAC-EF43-AC5D-6FA3D619139E}">
            <xm:f>IF(X!$C$458=X!$G$459,1,0)</xm:f>
            <x14:dxf>
              <font>
                <b/>
                <i val="0"/>
                <color rgb="FFFF0000"/>
              </font>
              <fill>
                <patternFill patternType="none">
                  <fgColor indexed="64"/>
                  <bgColor auto="1"/>
                </patternFill>
              </fill>
              <border>
                <left/>
                <right/>
                <top/>
                <bottom/>
              </border>
            </x14:dxf>
          </x14:cfRule>
          <xm:sqref>AR18:BH18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simplified</vt:lpstr>
      <vt:lpstr>3 TEWI</vt:lpstr>
      <vt:lpstr>4 Economics</vt:lpstr>
      <vt:lpstr>5 Result</vt:lpstr>
      <vt:lpstr>'1 System specification'!Druckbereich</vt:lpstr>
      <vt:lpstr>'2A Electricity regular'!Druckbereich</vt:lpstr>
      <vt:lpstr>'2B Electricity simplified'!Druckbereich</vt:lpstr>
      <vt:lpstr>'3 TEWI'!Druckbereich</vt:lpstr>
      <vt:lpstr>'4 Economics'!Druckbereich</vt:lpstr>
      <vt:lpstr>'5 Result'!Druckbereich</vt:lpstr>
      <vt:lpstr>'2A Electricity regular'!Drucktitel</vt:lpstr>
      <vt:lpstr>'2B Electricity simplified'!Drucktitel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Wanzenried Benjamin</cp:lastModifiedBy>
  <cp:lastPrinted>2019-04-02T08:54:37Z</cp:lastPrinted>
  <dcterms:created xsi:type="dcterms:W3CDTF">2016-01-07T07:56:56Z</dcterms:created>
  <dcterms:modified xsi:type="dcterms:W3CDTF">2021-03-02T10:17:55Z</dcterms:modified>
</cp:coreProperties>
</file>